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fice" sheetId="1" state="visible" r:id="rId2"/>
  </sheets>
  <definedNames>
    <definedName function="false" hidden="true" localSheetId="0" name="_xlnm._FilterDatabase" vbProcedure="false">Office!$BE$1:$BE$262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<sst xmlns="http://schemas.openxmlformats.org/spreadsheetml/2006/main" count="54535" uniqueCount="20602">
  <si>
    <t xml:space="preserve">Keep in Collection? (Yes/No)</t>
  </si>
  <si>
    <t xml:space="preserve">Display Call Number</t>
  </si>
  <si>
    <t xml:space="preserve">Display Call Number Normalized</t>
  </si>
  <si>
    <t xml:space="preserve">Title</t>
  </si>
  <si>
    <t xml:space="preserve">Enumeration</t>
  </si>
  <si>
    <t xml:space="preserve">Possible Multi-Volume Set</t>
  </si>
  <si>
    <t xml:space="preserve">Copy Number</t>
  </si>
  <si>
    <t xml:space="preserve">Possible Duplicate</t>
  </si>
  <si>
    <t xml:space="preserve">Multi-Edition Title</t>
  </si>
  <si>
    <t xml:space="preserve">Number of Related Ebooks</t>
  </si>
  <si>
    <t xml:space="preserve">Author</t>
  </si>
  <si>
    <t xml:space="preserve">Publisher</t>
  </si>
  <si>
    <t xml:space="preserve">Publication Year</t>
  </si>
  <si>
    <t xml:space="preserve">Edition</t>
  </si>
  <si>
    <t xml:space="preserve">Primary Language</t>
  </si>
  <si>
    <t xml:space="preserve">Place of Publication</t>
  </si>
  <si>
    <t xml:space="preserve">Series</t>
  </si>
  <si>
    <t xml:space="preserve">LC Subclass</t>
  </si>
  <si>
    <t xml:space="preserve">Recorded Uses - Item</t>
  </si>
  <si>
    <t xml:space="preserve">Recorded Uses - Title</t>
  </si>
  <si>
    <t xml:space="preserve">Last Charge Date - Item</t>
  </si>
  <si>
    <t xml:space="preserve">Last Charge Date - Title</t>
  </si>
  <si>
    <t xml:space="preserve">Last Add Date - Item</t>
  </si>
  <si>
    <t xml:space="preserve">Last Add Date - Title</t>
  </si>
  <si>
    <t xml:space="preserve">Global Holdings - Same Edition</t>
  </si>
  <si>
    <t xml:space="preserve">US Holdings - Same Edition</t>
  </si>
  <si>
    <t xml:space="preserve">US Holdings </t>
  </si>
  <si>
    <t xml:space="preserve">Nebraska Holdings - Same Edition</t>
  </si>
  <si>
    <t xml:space="preserve">Nebraska Holdings</t>
  </si>
  <si>
    <t xml:space="preserve">All Comparator Library Holdings - Same Edition</t>
  </si>
  <si>
    <t xml:space="preserve">All Comparator Library Holdings</t>
  </si>
  <si>
    <t xml:space="preserve">Affinity Libraries - Same Edition</t>
  </si>
  <si>
    <t xml:space="preserve">Affinity Libraries - Any Edition</t>
  </si>
  <si>
    <t xml:space="preserve">Big East - Same Edition</t>
  </si>
  <si>
    <t xml:space="preserve">Big East - Any Edition</t>
  </si>
  <si>
    <t xml:space="preserve">AJCU - Same Edition</t>
  </si>
  <si>
    <t xml:space="preserve">AJCU - Any Edition</t>
  </si>
  <si>
    <t xml:space="preserve">Nebraska Colleges &amp; Universities - Same Edition</t>
  </si>
  <si>
    <t xml:space="preserve">Nebraska Colleges &amp; Universities - Any Edition</t>
  </si>
  <si>
    <t xml:space="preserve">MALLCO - Same Edition</t>
  </si>
  <si>
    <t xml:space="preserve">MALLCO - Any Edition</t>
  </si>
  <si>
    <t xml:space="preserve">HathiTrust Public Domain</t>
  </si>
  <si>
    <t xml:space="preserve">HathiTrust In Copyright</t>
  </si>
  <si>
    <t xml:space="preserve">HathiTrust URL</t>
  </si>
  <si>
    <t xml:space="preserve">OPAC URL</t>
  </si>
  <si>
    <t xml:space="preserve">WorldCat URL</t>
  </si>
  <si>
    <t xml:space="preserve">OCLC Work ID</t>
  </si>
  <si>
    <t xml:space="preserve">WorldCat OCLC Number</t>
  </si>
  <si>
    <t xml:space="preserve">Bib Record Number</t>
  </si>
  <si>
    <t xml:space="preserve">Bib Control Number</t>
  </si>
  <si>
    <t xml:space="preserve">Item Control Number</t>
  </si>
  <si>
    <t xml:space="preserve">Item Type Code</t>
  </si>
  <si>
    <t xml:space="preserve">Item Status Code</t>
  </si>
  <si>
    <t xml:space="preserve">ISBN</t>
  </si>
  <si>
    <t xml:space="preserve">Barcode</t>
  </si>
  <si>
    <t xml:space="preserve">SCS Item ID</t>
  </si>
  <si>
    <t xml:space="preserve">Faculty</t>
  </si>
  <si>
    <t xml:space="preserve">Yes</t>
  </si>
  <si>
    <t xml:space="preserve">QD453 .A27 v.85</t>
  </si>
  <si>
    <t xml:space="preserve">0                      QD 0453000A  27                                                      v.85</t>
  </si>
  <si>
    <t xml:space="preserve">Modern nonlinear optics / edited by Myron Evans, Stanisław Kielich.</t>
  </si>
  <si>
    <t xml:space="preserve">V. 85 PT. 2</t>
  </si>
  <si>
    <t xml:space="preserve">1</t>
  </si>
  <si>
    <t xml:space="preserve">No</t>
  </si>
  <si>
    <t xml:space="preserve">0</t>
  </si>
  <si>
    <t xml:space="preserve">New York : Wiley, c1993.</t>
  </si>
  <si>
    <t xml:space="preserve">1993</t>
  </si>
  <si>
    <t xml:space="preserve">eng</t>
  </si>
  <si>
    <t xml:space="preserve">nyu</t>
  </si>
  <si>
    <t xml:space="preserve">Advances in chemical physics ; v. 85, pt. 1</t>
  </si>
  <si>
    <t xml:space="preserve">QD </t>
  </si>
  <si>
    <t xml:space="preserve">1998-05-28</t>
  </si>
  <si>
    <t xml:space="preserve">1994-01-26</t>
  </si>
  <si>
    <t xml:space="preserve">5377699132:eng</t>
  </si>
  <si>
    <t xml:space="preserve">28828912</t>
  </si>
  <si>
    <t xml:space="preserve">991002235709702656</t>
  </si>
  <si>
    <t xml:space="preserve">2254723900002656</t>
  </si>
  <si>
    <t xml:space="preserve">BOOK</t>
  </si>
  <si>
    <t xml:space="preserve">893347267</t>
  </si>
  <si>
    <t xml:space="preserve">Parsons</t>
  </si>
  <si>
    <t xml:space="preserve">V. 85 PT. 1</t>
  </si>
  <si>
    <t xml:space="preserve">1993-10-07</t>
  </si>
  <si>
    <t xml:space="preserve">893316553</t>
  </si>
  <si>
    <t xml:space="preserve">V. 85 PT. 3</t>
  </si>
  <si>
    <t xml:space="preserve">893352213</t>
  </si>
  <si>
    <t xml:space="preserve">QD453 .A27 v. 119</t>
  </si>
  <si>
    <t xml:space="preserve">0                      QD 0453000A  27                                                      v. 119</t>
  </si>
  <si>
    <t xml:space="preserve">Modern nonlinear optics / edited by Myron W. Evans ; series editors, I. Prigogine and Stuart A. Rice.</t>
  </si>
  <si>
    <t xml:space="preserve">V. 119 PT. 1</t>
  </si>
  <si>
    <t xml:space="preserve">New York : J. Wiley, c2001.</t>
  </si>
  <si>
    <t xml:space="preserve">2001</t>
  </si>
  <si>
    <t xml:space="preserve">[2nd ed.]</t>
  </si>
  <si>
    <t xml:space="preserve">Advances in chemical physics, 0065-2385 ; 119</t>
  </si>
  <si>
    <t xml:space="preserve">2002-10-14</t>
  </si>
  <si>
    <t xml:space="preserve">2001-12-05</t>
  </si>
  <si>
    <t xml:space="preserve">4095822433:eng</t>
  </si>
  <si>
    <t xml:space="preserve">47995316</t>
  </si>
  <si>
    <t xml:space="preserve">991003685849702656</t>
  </si>
  <si>
    <t xml:space="preserve">2272325880002656</t>
  </si>
  <si>
    <t xml:space="preserve">893711658</t>
  </si>
  <si>
    <t xml:space="preserve">V. 119 PT. 3</t>
  </si>
  <si>
    <t xml:space="preserve">893711657</t>
  </si>
  <si>
    <t xml:space="preserve">V. 119 PT. 2</t>
  </si>
  <si>
    <t xml:space="preserve">893711659</t>
  </si>
  <si>
    <t xml:space="preserve">QD281.O9 S528</t>
  </si>
  <si>
    <t xml:space="preserve">0                      QD 0281000O  9                  S  528</t>
  </si>
  <si>
    <t xml:space="preserve">Singlet oxygen / [edited by] Harry H. Wasserman, Robert W. Murray.</t>
  </si>
  <si>
    <t xml:space="preserve">New York : Academic Press, 1978.</t>
  </si>
  <si>
    <t xml:space="preserve">1978</t>
  </si>
  <si>
    <t xml:space="preserve">Organic chemistry, a series of monographs ; vol. 40</t>
  </si>
  <si>
    <t xml:space="preserve">1997-10-22</t>
  </si>
  <si>
    <t xml:space="preserve">1993-01-28</t>
  </si>
  <si>
    <t xml:space="preserve">355548387:eng</t>
  </si>
  <si>
    <t xml:space="preserve">4500003</t>
  </si>
  <si>
    <t xml:space="preserve">991004664599702656</t>
  </si>
  <si>
    <t xml:space="preserve">2266643510002656</t>
  </si>
  <si>
    <t xml:space="preserve">893624942</t>
  </si>
  <si>
    <t xml:space="preserve">QD453 .A27 v.10</t>
  </si>
  <si>
    <t xml:space="preserve">0                      QD 0453000A  27                                                      v.10</t>
  </si>
  <si>
    <t xml:space="preserve">Molecular beams / edited by John Ross.</t>
  </si>
  <si>
    <t xml:space="preserve">V. 10</t>
  </si>
  <si>
    <t xml:space="preserve">New York : Interscience Publishers, [1966]</t>
  </si>
  <si>
    <t xml:space="preserve">1966</t>
  </si>
  <si>
    <t xml:space="preserve">xx </t>
  </si>
  <si>
    <t xml:space="preserve">Advances in chemical physics ; v. 10</t>
  </si>
  <si>
    <t xml:space="preserve">1998-07-30</t>
  </si>
  <si>
    <t xml:space="preserve">1991-09-11</t>
  </si>
  <si>
    <t xml:space="preserve">766779408:eng</t>
  </si>
  <si>
    <t xml:space="preserve">1263558</t>
  </si>
  <si>
    <t xml:space="preserve">991005358119702656</t>
  </si>
  <si>
    <t xml:space="preserve">2262464820002656</t>
  </si>
  <si>
    <t xml:space="preserve">893896286</t>
  </si>
  <si>
    <t xml:space="preserve">QD79.C454 L324 1997</t>
  </si>
  <si>
    <t xml:space="preserve">0                      QD 0079000C  454                L  324         1997</t>
  </si>
  <si>
    <t xml:space="preserve">Pulsed electrochemical detection in high-performance liquid chromatography / William R. LaCourse.</t>
  </si>
  <si>
    <t xml:space="preserve">LaCourse, William R., 1957-</t>
  </si>
  <si>
    <t xml:space="preserve">New York : Wiley, 1997.</t>
  </si>
  <si>
    <t xml:space="preserve">1997</t>
  </si>
  <si>
    <t xml:space="preserve">Techniques in analytical chemistry series</t>
  </si>
  <si>
    <t xml:space="preserve">2002-08-26</t>
  </si>
  <si>
    <t xml:space="preserve">1999-01-04</t>
  </si>
  <si>
    <t xml:space="preserve">9593910867:eng</t>
  </si>
  <si>
    <t xml:space="preserve">10799301</t>
  </si>
  <si>
    <t xml:space="preserve">991005220849702656</t>
  </si>
  <si>
    <t xml:space="preserve">2269866590002656</t>
  </si>
  <si>
    <t xml:space="preserve">893254669</t>
  </si>
  <si>
    <t xml:space="preserve">Dobberpuhl</t>
  </si>
  <si>
    <t xml:space="preserve">NA4830 .G5313 1984</t>
  </si>
  <si>
    <t xml:space="preserve">0                      NA 4830000G  5313        1984</t>
  </si>
  <si>
    <t xml:space="preserve">The cathedral builders / by Jean Gimpel ; translated by Teresa Waugh.</t>
  </si>
  <si>
    <t xml:space="preserve">Gimpel, Jean.</t>
  </si>
  <si>
    <t xml:space="preserve">New York : Harper &amp; Row, 1984, c1983.</t>
  </si>
  <si>
    <t xml:space="preserve">1984</t>
  </si>
  <si>
    <t xml:space="preserve">1st Harper colophon ed.</t>
  </si>
  <si>
    <t xml:space="preserve">Harper colophon books</t>
  </si>
  <si>
    <t xml:space="preserve">NA </t>
  </si>
  <si>
    <t xml:space="preserve">2008-05-14</t>
  </si>
  <si>
    <t xml:space="preserve">366951287:eng</t>
  </si>
  <si>
    <t xml:space="preserve">4798818</t>
  </si>
  <si>
    <t xml:space="preserve">991004720029702656</t>
  </si>
  <si>
    <t xml:space="preserve">2260550810002656</t>
  </si>
  <si>
    <t xml:space="preserve">893889185</t>
  </si>
  <si>
    <t xml:space="preserve">NA680 .S39</t>
  </si>
  <si>
    <t xml:space="preserve">0                      NA 0680000S  39</t>
  </si>
  <si>
    <t xml:space="preserve">Modern Architecture; the architecture of democracy.</t>
  </si>
  <si>
    <t xml:space="preserve">Scully, Vincent, Jr., 1920-2017.</t>
  </si>
  <si>
    <t xml:space="preserve">New York, G. Braziller [1965]</t>
  </si>
  <si>
    <t xml:space="preserve">1965</t>
  </si>
  <si>
    <t xml:space="preserve">The Great ages of world architecture</t>
  </si>
  <si>
    <t xml:space="preserve">2003-04-25</t>
  </si>
  <si>
    <t xml:space="preserve">1997-07-01</t>
  </si>
  <si>
    <t xml:space="preserve">8909492358:eng</t>
  </si>
  <si>
    <t xml:space="preserve">519360</t>
  </si>
  <si>
    <t xml:space="preserve">991002905819702656</t>
  </si>
  <si>
    <t xml:space="preserve">2256800510002656</t>
  </si>
  <si>
    <t xml:space="preserve">893329700</t>
  </si>
  <si>
    <t xml:space="preserve">NA7207 .S38</t>
  </si>
  <si>
    <t xml:space="preserve">0                      NA 7207000S  38</t>
  </si>
  <si>
    <t xml:space="preserve">The shingle style / architectural theory and design from Richardson to the origins of Wright.</t>
  </si>
  <si>
    <t xml:space="preserve">New Haven : Yale University Press, 1955.</t>
  </si>
  <si>
    <t xml:space="preserve">1955</t>
  </si>
  <si>
    <t xml:space="preserve">ctu</t>
  </si>
  <si>
    <t xml:space="preserve">Yale historical publications. History of art ; 10</t>
  </si>
  <si>
    <t xml:space="preserve">2000-03-18</t>
  </si>
  <si>
    <t xml:space="preserve">1993-04-07</t>
  </si>
  <si>
    <t xml:space="preserve">339626:eng</t>
  </si>
  <si>
    <t xml:space="preserve">274424</t>
  </si>
  <si>
    <t xml:space="preserve">991002163369702656</t>
  </si>
  <si>
    <t xml:space="preserve">2260808450002656</t>
  </si>
  <si>
    <t xml:space="preserve">893322626</t>
  </si>
  <si>
    <t xml:space="preserve">NA7208 .W68</t>
  </si>
  <si>
    <t xml:space="preserve">0                      NA 7208000W  68</t>
  </si>
  <si>
    <t xml:space="preserve">The natural house.</t>
  </si>
  <si>
    <t xml:space="preserve">Wright, Frank Lloyd, 1867-1959.</t>
  </si>
  <si>
    <t xml:space="preserve">New York, Horizon Press, 1954.</t>
  </si>
  <si>
    <t xml:space="preserve">1954</t>
  </si>
  <si>
    <t xml:space="preserve">2006-11-26</t>
  </si>
  <si>
    <t xml:space="preserve">1997-07-02</t>
  </si>
  <si>
    <t xml:space="preserve">196567014:eng</t>
  </si>
  <si>
    <t xml:space="preserve">15793181</t>
  </si>
  <si>
    <t xml:space="preserve">991001065389702656</t>
  </si>
  <si>
    <t xml:space="preserve">2261148430002656</t>
  </si>
  <si>
    <t xml:space="preserve">893334022</t>
  </si>
  <si>
    <t xml:space="preserve">NA737.W7 G54 1987</t>
  </si>
  <si>
    <t xml:space="preserve">0                      NA 0737000W  7                  G  54          1987</t>
  </si>
  <si>
    <t xml:space="preserve">Many masks : a life of Frank Lloyd Wright / Brendan Gill.</t>
  </si>
  <si>
    <t xml:space="preserve">Gill, Brendan, 1914-1997.</t>
  </si>
  <si>
    <t xml:space="preserve">New York : Putnam, c1987.</t>
  </si>
  <si>
    <t xml:space="preserve">1987</t>
  </si>
  <si>
    <t xml:space="preserve">2004-09-08</t>
  </si>
  <si>
    <t xml:space="preserve">1993-05-13</t>
  </si>
  <si>
    <t xml:space="preserve">836618998:eng</t>
  </si>
  <si>
    <t xml:space="preserve">9533407</t>
  </si>
  <si>
    <t xml:space="preserve">991000209889702656</t>
  </si>
  <si>
    <t xml:space="preserve">2263107370002656</t>
  </si>
  <si>
    <t xml:space="preserve">893502344</t>
  </si>
  <si>
    <t xml:space="preserve">NA737.W7 M87 1983</t>
  </si>
  <si>
    <t xml:space="preserve">0                      NA 0737000W  7                  M  87          1983</t>
  </si>
  <si>
    <t xml:space="preserve">Man about town : Frank Lloyd Wright in New York City / Herbert Muschamp.</t>
  </si>
  <si>
    <t xml:space="preserve">Muschamp, Herbert.</t>
  </si>
  <si>
    <t xml:space="preserve">Cambridge, Mass. : MIT Press, c1983.</t>
  </si>
  <si>
    <t xml:space="preserve">1983</t>
  </si>
  <si>
    <t xml:space="preserve">mau</t>
  </si>
  <si>
    <t xml:space="preserve">1993-11-02</t>
  </si>
  <si>
    <t xml:space="preserve">1255793543:eng</t>
  </si>
  <si>
    <t xml:space="preserve">518770</t>
  </si>
  <si>
    <t xml:space="preserve">991002904349702656</t>
  </si>
  <si>
    <t xml:space="preserve">2255957990002656</t>
  </si>
  <si>
    <t xml:space="preserve">893809720</t>
  </si>
  <si>
    <t xml:space="preserve">NA737.W7 S3 1960</t>
  </si>
  <si>
    <t xml:space="preserve">0                      NA 0737000W  7                  S  3           1960</t>
  </si>
  <si>
    <t xml:space="preserve">Frank Lloyd Wright / by Vincent Scully, Jr.</t>
  </si>
  <si>
    <t xml:space="preserve">New York : G. Braziller, 1960.</t>
  </si>
  <si>
    <t xml:space="preserve">1960</t>
  </si>
  <si>
    <t xml:space="preserve">The Masters of world architecture series</t>
  </si>
  <si>
    <t xml:space="preserve">1992-03-16</t>
  </si>
  <si>
    <t xml:space="preserve">501177301:eng</t>
  </si>
  <si>
    <t xml:space="preserve">4004690</t>
  </si>
  <si>
    <t xml:space="preserve">991004566719702656</t>
  </si>
  <si>
    <t xml:space="preserve">2264875170002656</t>
  </si>
  <si>
    <t xml:space="preserve">893436430</t>
  </si>
  <si>
    <t xml:space="preserve">NA737.W7 T33</t>
  </si>
  <si>
    <t xml:space="preserve">0                      NA 0737000W  7                  T  33</t>
  </si>
  <si>
    <t xml:space="preserve">Apprentice to genius : years with Frank Lloyd Wright / Edgar Tafel.</t>
  </si>
  <si>
    <t xml:space="preserve">Tafel, Edgar.</t>
  </si>
  <si>
    <t xml:space="preserve">New York : McGraw-Hill, c1979.</t>
  </si>
  <si>
    <t xml:space="preserve">1979</t>
  </si>
  <si>
    <t xml:space="preserve">2008-10-16</t>
  </si>
  <si>
    <t xml:space="preserve">1992-05-04</t>
  </si>
  <si>
    <t xml:space="preserve">NC999.6.J3 K3413</t>
  </si>
  <si>
    <t xml:space="preserve">0                      NC 0999600J  3                  K  3413</t>
  </si>
  <si>
    <t xml:space="preserve">The graphic design of Yusaku Kamekura / with a foreword by Herbert Bayer, an essay by Masaru Katsumi, and comments by the designer.</t>
  </si>
  <si>
    <t xml:space="preserve">Kamekura, Yūsaku, 1915-1997.</t>
  </si>
  <si>
    <t xml:space="preserve">New York : Weatherhill, [1973]</t>
  </si>
  <si>
    <t xml:space="preserve">1973</t>
  </si>
  <si>
    <t xml:space="preserve">[1st ed.]</t>
  </si>
  <si>
    <t xml:space="preserve">NC </t>
  </si>
  <si>
    <t xml:space="preserve">2010-03-23</t>
  </si>
  <si>
    <t xml:space="preserve">1990-02-21</t>
  </si>
  <si>
    <t xml:space="preserve">NC997 .M2913 1970</t>
  </si>
  <si>
    <t xml:space="preserve">0                      NC 0997000M  2913        1970</t>
  </si>
  <si>
    <t xml:space="preserve">Letter and image. Translated by Caroline Hillier and Vivienne Menkes.</t>
  </si>
  <si>
    <t xml:space="preserve">Massin.</t>
  </si>
  <si>
    <t xml:space="preserve">New York, Van Nostrand Reinhold Co. [1970]</t>
  </si>
  <si>
    <t xml:space="preserve">1970</t>
  </si>
  <si>
    <t xml:space="preserve">2001-03-30</t>
  </si>
  <si>
    <t xml:space="preserve">1997-07-17</t>
  </si>
  <si>
    <t xml:space="preserve">NC998.6.I8 H46 1993</t>
  </si>
  <si>
    <t xml:space="preserve">0                      NC 0998600I  8                  H  46          1993</t>
  </si>
  <si>
    <t xml:space="preserve">Italian art deco : graphic design between the wars / Steven Heller &amp; Louise Fili.</t>
  </si>
  <si>
    <t xml:space="preserve">Heller, Steven.</t>
  </si>
  <si>
    <t xml:space="preserve">San Francisco : Chronicle Books, c1993.</t>
  </si>
  <si>
    <t xml:space="preserve">cau</t>
  </si>
  <si>
    <t xml:space="preserve">1994-08-08</t>
  </si>
  <si>
    <t xml:space="preserve">QD453.3 .S56 2003</t>
  </si>
  <si>
    <t xml:space="preserve">An introduction to theoretical chemistry / Jack Simons.</t>
  </si>
  <si>
    <t xml:space="preserve">Simons, Jack.</t>
  </si>
  <si>
    <t xml:space="preserve">New York : Cambridge University Press, 2003.</t>
  </si>
  <si>
    <t xml:space="preserve">Freitag</t>
  </si>
  <si>
    <t xml:space="preserve">QD456 .W64</t>
  </si>
  <si>
    <t xml:space="preserve">Problems in physical chemistry / [by] A. Wood.</t>
  </si>
  <si>
    <t xml:space="preserve">Wood, Alexander.</t>
  </si>
  <si>
    <t xml:space="preserve">Oxford : Clarendon Press, 1974.</t>
  </si>
  <si>
    <t xml:space="preserve">QD502 .E86</t>
  </si>
  <si>
    <t xml:space="preserve">Chemical kinetics and reaction mechanisms / James H. Espenson.</t>
  </si>
  <si>
    <t xml:space="preserve">Espenson, James H.</t>
  </si>
  <si>
    <t xml:space="preserve">New York : McGraw-Hill, c1981.</t>
  </si>
  <si>
    <t xml:space="preserve">QD502 .E97</t>
  </si>
  <si>
    <t xml:space="preserve">Basic chemical kinetics / H. Eyring, S. H. Lin, S. M. Lin.</t>
  </si>
  <si>
    <t xml:space="preserve">Eyring, Henry, 1901-1981.</t>
  </si>
  <si>
    <t xml:space="preserve">New York : Wiley, c1980.</t>
  </si>
  <si>
    <t xml:space="preserve">QD504 .M335 1999</t>
  </si>
  <si>
    <t xml:space="preserve">Molecular thermodynamics / Donald A. McQuarrie, John D. Simon.</t>
  </si>
  <si>
    <t xml:space="preserve">McQuarrie, Donald A. (Donald Allan)</t>
  </si>
  <si>
    <t xml:space="preserve">Sausalito, Calif. : University Science Books, c1999.</t>
  </si>
  <si>
    <t xml:space="preserve">BS1515.3 .C65 1986</t>
  </si>
  <si>
    <t xml:space="preserve">0                      BS 1515300C  65          1986</t>
  </si>
  <si>
    <t xml:space="preserve">Isaiah / John J. Collins.</t>
  </si>
  <si>
    <t xml:space="preserve">Collins, John J. (John Joseph), 1946-</t>
  </si>
  <si>
    <t xml:space="preserve">Collegeville, Minn. : Liturgical Press, c1986.</t>
  </si>
  <si>
    <t xml:space="preserve">mnu</t>
  </si>
  <si>
    <t xml:space="preserve">Collegeville Bible commentary. Old Testament ; 13</t>
  </si>
  <si>
    <t xml:space="preserve">BS </t>
  </si>
  <si>
    <t xml:space="preserve">Catalog Record</t>
  </si>
  <si>
    <t xml:space="preserve">WorldCat Record</t>
  </si>
  <si>
    <t xml:space="preserve">7277449:eng</t>
  </si>
  <si>
    <t xml:space="preserve">S Brown</t>
  </si>
  <si>
    <t xml:space="preserve">BS1520.Z73 C5 1984</t>
  </si>
  <si>
    <t xml:space="preserve">0                      BS 1520000Z  73                 C  5           1984</t>
  </si>
  <si>
    <t xml:space="preserve">Fair spoken and persuading : an interpretation of second Isaiah / Richard J. Clifford.</t>
  </si>
  <si>
    <t xml:space="preserve">Clifford, Richard J.</t>
  </si>
  <si>
    <t xml:space="preserve">New York : Paulist, 1984.</t>
  </si>
  <si>
    <t xml:space="preserve">HathiTrust Record</t>
  </si>
  <si>
    <t xml:space="preserve">889633118:eng</t>
  </si>
  <si>
    <t xml:space="preserve">BS1555.3 .C64 1984</t>
  </si>
  <si>
    <t xml:space="preserve">0                      BS 1555300C  64          1984</t>
  </si>
  <si>
    <t xml:space="preserve">Daniel : with an introduction to apocalyptic literature / John J. Collins.</t>
  </si>
  <si>
    <t xml:space="preserve">Grand Rapids, Mich. : W.B. Eerdmans, c1984.</t>
  </si>
  <si>
    <t xml:space="preserve">miu</t>
  </si>
  <si>
    <t xml:space="preserve">The Forms of the Old Testament literature ; v. 20</t>
  </si>
  <si>
    <t xml:space="preserve">365261416:eng</t>
  </si>
  <si>
    <t xml:space="preserve">BS195 .A5 v. 32B</t>
  </si>
  <si>
    <t xml:space="preserve">0                      BS 0195000A  5                                                       v. 32B</t>
  </si>
  <si>
    <t xml:space="preserve">The letters to the Thessalonians / a new translation with introduction and commentary Abraham J. Malherbe.</t>
  </si>
  <si>
    <t xml:space="preserve">V. 32B</t>
  </si>
  <si>
    <t xml:space="preserve">Bible. Thessalonians. English. Malherbe. 2000.</t>
  </si>
  <si>
    <t xml:space="preserve">New York : Doubleday, c2000.</t>
  </si>
  <si>
    <t xml:space="preserve">1st ed.</t>
  </si>
  <si>
    <t xml:space="preserve">The Anchor Bible ; v. 32B</t>
  </si>
  <si>
    <t xml:space="preserve">892333905:eng</t>
  </si>
  <si>
    <t xml:space="preserve">BS195 .A5 v. 33A</t>
  </si>
  <si>
    <t xml:space="preserve">0                      BS 0195000A  5                                                       v. 33A</t>
  </si>
  <si>
    <t xml:space="preserve">Galatians : a new translation with introduction and commentary / J. Louis Martyn.</t>
  </si>
  <si>
    <t xml:space="preserve">V. 33A</t>
  </si>
  <si>
    <t xml:space="preserve">Bible. Galatians. English. Martyn. 1998.</t>
  </si>
  <si>
    <t xml:space="preserve">New York : Doubleday, 1998.</t>
  </si>
  <si>
    <t xml:space="preserve">The Anchor Bible ; 33A</t>
  </si>
  <si>
    <t xml:space="preserve">1164868744:eng</t>
  </si>
  <si>
    <t xml:space="preserve">BS195 .A5 v. 34B</t>
  </si>
  <si>
    <t xml:space="preserve">0                      BS 0195000A  5                                                       v. 34B</t>
  </si>
  <si>
    <t xml:space="preserve">Colossians : a new translation with introduction and commentary / Markus Barth and Helmut Blanke ; translated by Astrid B. Beck.</t>
  </si>
  <si>
    <t xml:space="preserve">V. 34B</t>
  </si>
  <si>
    <t xml:space="preserve">Bible. Colossians. English. Beck. 1994.</t>
  </si>
  <si>
    <t xml:space="preserve">New York : Doubleday, c1994.</t>
  </si>
  <si>
    <t xml:space="preserve">The Anchor Bible ; 34B</t>
  </si>
  <si>
    <t xml:space="preserve">891481679:eng</t>
  </si>
  <si>
    <t xml:space="preserve">BS195 .A5 v. 35A</t>
  </si>
  <si>
    <t xml:space="preserve">0                      BS 0195000A  5                                                       v. 35A</t>
  </si>
  <si>
    <t xml:space="preserve">The first and second letters to Timothy : a new translation with introduction and commentary / Luke Timothy Johnson.</t>
  </si>
  <si>
    <t xml:space="preserve">V. 35A</t>
  </si>
  <si>
    <t xml:space="preserve">Bible. Timothy. English. Johnson. 2000.</t>
  </si>
  <si>
    <t xml:space="preserve">New York : Doubleday, c2001.</t>
  </si>
  <si>
    <t xml:space="preserve">The Anchor Bible ; v. 35A</t>
  </si>
  <si>
    <t xml:space="preserve">892313936:eng</t>
  </si>
  <si>
    <t xml:space="preserve">BS195 .A5 v. 36A</t>
  </si>
  <si>
    <t xml:space="preserve">0                      BS 0195000A  5                                                       v. 36A</t>
  </si>
  <si>
    <t xml:space="preserve">Hebrews / a new translation with introduction and commentary Craig R. Koester.</t>
  </si>
  <si>
    <t xml:space="preserve">V. 36A</t>
  </si>
  <si>
    <t xml:space="preserve">Bible. Hebrews. English. Koester. 2001.</t>
  </si>
  <si>
    <t xml:space="preserve">The Anchor Bible ; v. 36[A]</t>
  </si>
  <si>
    <t xml:space="preserve">2864107015:eng</t>
  </si>
  <si>
    <t xml:space="preserve">BS195 .A5 v. 37</t>
  </si>
  <si>
    <t xml:space="preserve">0                      BS 0195000A  5                                                       v. 37</t>
  </si>
  <si>
    <t xml:space="preserve">The Epistles of James, Peter and Jude, translated with an introduction and notes by Bo Reicke.</t>
  </si>
  <si>
    <t xml:space="preserve">V. 37</t>
  </si>
  <si>
    <t xml:space="preserve">Bible. Epistles. English. Reicke. 1964.</t>
  </si>
  <si>
    <t xml:space="preserve">Garden City, N.Y., Doubleday, 1964.</t>
  </si>
  <si>
    <t xml:space="preserve">___</t>
  </si>
  <si>
    <t xml:space="preserve">Bible. English. 1964. The Anchor Bible, v.37</t>
  </si>
  <si>
    <t xml:space="preserve">1083024543:eng</t>
  </si>
  <si>
    <t xml:space="preserve">BS195 .A5 v. 37A</t>
  </si>
  <si>
    <t xml:space="preserve">0                      BS 0195000A  5                                                       v. 37A</t>
  </si>
  <si>
    <t xml:space="preserve">The letter of James : a new translation with introduction and commentary / by Luke Timothy Johnson.</t>
  </si>
  <si>
    <t xml:space="preserve">V. 37A</t>
  </si>
  <si>
    <t xml:space="preserve">Bible. James. English. Johnson. 1995.</t>
  </si>
  <si>
    <t xml:space="preserve">New York : Doubleday, 1995.</t>
  </si>
  <si>
    <t xml:space="preserve">The Anchor Bible ; v. 37A</t>
  </si>
  <si>
    <t xml:space="preserve">1434052694:eng</t>
  </si>
  <si>
    <t xml:space="preserve">BS2341 .M6 v.6</t>
  </si>
  <si>
    <t xml:space="preserve">0                      BS 2341000M  6                                                       v.6</t>
  </si>
  <si>
    <t xml:space="preserve">The Epistle of Paul to the Romans / by C.H. Dodd ...</t>
  </si>
  <si>
    <t xml:space="preserve">V. 6</t>
  </si>
  <si>
    <t xml:space="preserve">Dodd, C. H. (Charles Harold), 1884-1973.</t>
  </si>
  <si>
    <t xml:space="preserve">London : Hodder &amp; Stoughton, 1932</t>
  </si>
  <si>
    <t xml:space="preserve">enk</t>
  </si>
  <si>
    <t xml:space="preserve">The Moffatt New Testament commentary ; v.6</t>
  </si>
  <si>
    <t xml:space="preserve">64676799:eng</t>
  </si>
  <si>
    <t xml:space="preserve">BS2341.2 .N382 v.3-4</t>
  </si>
  <si>
    <t xml:space="preserve">0                      BS 2341200N  382                                                     v.3-4</t>
  </si>
  <si>
    <t xml:space="preserve">The Gospel according to St. Mark / [by] Rudolf Schnackenburg.</t>
  </si>
  <si>
    <t xml:space="preserve">V. 3</t>
  </si>
  <si>
    <t xml:space="preserve">Schnackenburg, Rudolf, 1914-</t>
  </si>
  <si>
    <t xml:space="preserve">[New York] Herder and Herder [1971]</t>
  </si>
  <si>
    <t xml:space="preserve">New Testament for spiritual reading, 3-4</t>
  </si>
  <si>
    <t xml:space="preserve">3372297085:eng</t>
  </si>
  <si>
    <t xml:space="preserve">V. 4</t>
  </si>
  <si>
    <t xml:space="preserve">BS2361.2 .B4</t>
  </si>
  <si>
    <t xml:space="preserve">0                      BS 2361200B  4</t>
  </si>
  <si>
    <t xml:space="preserve">Literary criticism of the New Testament, by William A. Beardslee.</t>
  </si>
  <si>
    <t xml:space="preserve">Beardslee, William A.</t>
  </si>
  <si>
    <t xml:space="preserve">Philadelphia, Fortress Press [1970]</t>
  </si>
  <si>
    <t xml:space="preserve">pau</t>
  </si>
  <si>
    <t xml:space="preserve">Guides to biblical scholarship</t>
  </si>
  <si>
    <t xml:space="preserve">1175897:eng</t>
  </si>
  <si>
    <t xml:space="preserve">BS2361.2 .K42</t>
  </si>
  <si>
    <t xml:space="preserve">0                      BS 2361200K  42</t>
  </si>
  <si>
    <t xml:space="preserve">The New Testament experience of faith / by Leander E. Keck.</t>
  </si>
  <si>
    <t xml:space="preserve">Keck, Leander E.</t>
  </si>
  <si>
    <t xml:space="preserve">St. Louis : Bethany Press, c1976.</t>
  </si>
  <si>
    <t xml:space="preserve">mou</t>
  </si>
  <si>
    <t xml:space="preserve">493972:eng</t>
  </si>
  <si>
    <t xml:space="preserve">BS2377 .G74 1988</t>
  </si>
  <si>
    <t xml:space="preserve">0                      BS 2377000G  74          1988</t>
  </si>
  <si>
    <t xml:space="preserve">Greco-Roman literature and the New Testament : selected forms and genres / edited by David E. Aune.</t>
  </si>
  <si>
    <t xml:space="preserve">Atlanta, Ga. : Scholars Press, c1988.</t>
  </si>
  <si>
    <t xml:space="preserve">gau</t>
  </si>
  <si>
    <t xml:space="preserve">Sources for biblical study ; no. 21</t>
  </si>
  <si>
    <t xml:space="preserve">889863543:eng</t>
  </si>
  <si>
    <t xml:space="preserve">BS2379 .S38 1999</t>
  </si>
  <si>
    <t xml:space="preserve">0                      BS 2379000S  38          1999</t>
  </si>
  <si>
    <t xml:space="preserve">Rhetoric and ethic : the politics of biblical studies / Elisabeth Schüssler Fiorenza.</t>
  </si>
  <si>
    <t xml:space="preserve">Schüssler Fiorenza, Elisabeth, 1938-</t>
  </si>
  <si>
    <t xml:space="preserve">Minneapolis : Fortress Press, c1999.</t>
  </si>
  <si>
    <t xml:space="preserve">27880128:eng</t>
  </si>
  <si>
    <t xml:space="preserve">BS2387 .M37 1988</t>
  </si>
  <si>
    <t xml:space="preserve">0                      BS 2387000M  37          1988</t>
  </si>
  <si>
    <t xml:space="preserve">Narrative parallels to the New Testament / compiled and edited by Francis Martin.</t>
  </si>
  <si>
    <t xml:space="preserve">Martin, Francis, 1930-2017.</t>
  </si>
  <si>
    <t xml:space="preserve">Resources for Biblical study / Society of Biblical Literature ; no. 22</t>
  </si>
  <si>
    <t xml:space="preserve">354301820:eng</t>
  </si>
  <si>
    <t xml:space="preserve">BS2387 .M6 1983</t>
  </si>
  <si>
    <t xml:space="preserve">0                      BS 2387000M  6           1983</t>
  </si>
  <si>
    <t xml:space="preserve">The Old Testament in the Gospel Passion narratives / Douglas J. Moo.</t>
  </si>
  <si>
    <t xml:space="preserve">Moo, Douglas J.</t>
  </si>
  <si>
    <t xml:space="preserve">Sheffield, Eng. : Almond Press, c1983.</t>
  </si>
  <si>
    <t xml:space="preserve">3107459:eng</t>
  </si>
  <si>
    <t xml:space="preserve">BS2393 .D57</t>
  </si>
  <si>
    <t xml:space="preserve">0                      BS 2393000D  57</t>
  </si>
  <si>
    <t xml:space="preserve">More New Testament studies [by] C. H. Dodd.</t>
  </si>
  <si>
    <t xml:space="preserve">Grand Rapids, Eerdmans [1968]</t>
  </si>
  <si>
    <t xml:space="preserve">3857356034:eng</t>
  </si>
  <si>
    <t xml:space="preserve">BS2393 .F58</t>
  </si>
  <si>
    <t xml:space="preserve">0                      BS 2393000F  58</t>
  </si>
  <si>
    <t xml:space="preserve">Essays on the Semitic background of the New Testament [by] Joseph A. Fitzmyer.</t>
  </si>
  <si>
    <t xml:space="preserve">Fitzmyer, Joseph A.</t>
  </si>
  <si>
    <t xml:space="preserve">London, G. Chapman, 1971.</t>
  </si>
  <si>
    <t xml:space="preserve">1271553:eng</t>
  </si>
  <si>
    <t xml:space="preserve">BS2395 .B68 1995</t>
  </si>
  <si>
    <t xml:space="preserve">0                      BS 2395000B  68          1995</t>
  </si>
  <si>
    <t xml:space="preserve">New Testament traditions and apocryphal narratives / François Bovon ; translated by Jane Haapiseva-Hunter.</t>
  </si>
  <si>
    <t xml:space="preserve">Bovon, François.</t>
  </si>
  <si>
    <t xml:space="preserve">Allison Park, Pa. : Pickwick Publications, 1995.</t>
  </si>
  <si>
    <t xml:space="preserve">Princeton theological monograph series ; 36</t>
  </si>
  <si>
    <t xml:space="preserve">32834058:eng</t>
  </si>
  <si>
    <t xml:space="preserve">BS2395 .B7</t>
  </si>
  <si>
    <t xml:space="preserve">0                      BS 2395000B  7</t>
  </si>
  <si>
    <t xml:space="preserve">New Testament essays, by Raymond E.Brown.</t>
  </si>
  <si>
    <t xml:space="preserve">Brown, Raymond E. (Raymond Edward), 1928-1998.</t>
  </si>
  <si>
    <t xml:space="preserve">Milwaukee, Bruce Pub. Co. [1965]</t>
  </si>
  <si>
    <t xml:space="preserve">Impact books</t>
  </si>
  <si>
    <t xml:space="preserve">2703520:eng</t>
  </si>
  <si>
    <t xml:space="preserve">BS2395 .D3</t>
  </si>
  <si>
    <t xml:space="preserve">0                      BS 2395000D  3</t>
  </si>
  <si>
    <t xml:space="preserve">The background of the New Testament and its eschatology, edited by W. D. Davies and D. Daube in honour of Charles Harold Dodd.</t>
  </si>
  <si>
    <t xml:space="preserve">Davies, W. D. (William David), 1911-2001, editor.</t>
  </si>
  <si>
    <t xml:space="preserve">Cambridge, University Press, 1964 [c1954]</t>
  </si>
  <si>
    <t xml:space="preserve">426319893:eng</t>
  </si>
  <si>
    <t xml:space="preserve">BS2395 .F58</t>
  </si>
  <si>
    <t xml:space="preserve">0                      BS 2395000F  58</t>
  </si>
  <si>
    <t xml:space="preserve">To advance the Gospel : New Testament studies / Joseph A. Fitzmyer.</t>
  </si>
  <si>
    <t xml:space="preserve">New York : Crossroad, c1981.</t>
  </si>
  <si>
    <t xml:space="preserve">490889:eng</t>
  </si>
  <si>
    <t xml:space="preserve">BS2395 .J4</t>
  </si>
  <si>
    <t xml:space="preserve">0                      BS 2395000J  4</t>
  </si>
  <si>
    <t xml:space="preserve">The central message of the New Testament.</t>
  </si>
  <si>
    <t xml:space="preserve">Jeremias, Joachim, 1900-1979.</t>
  </si>
  <si>
    <t xml:space="preserve">New York, Charles Scribner's Sons [1965]</t>
  </si>
  <si>
    <t xml:space="preserve">19781957:eng</t>
  </si>
  <si>
    <t xml:space="preserve">BS2395 .R59</t>
  </si>
  <si>
    <t xml:space="preserve">0                      BS 2395000R  59</t>
  </si>
  <si>
    <t xml:space="preserve">Trajectories through early Christianity [by] James M. Robinson [and] Helmut Koester.</t>
  </si>
  <si>
    <t xml:space="preserve">Robinson, James M. (James McConkey), 1924-2016.</t>
  </si>
  <si>
    <t xml:space="preserve">Philadelphia, Fortress Press [1971]</t>
  </si>
  <si>
    <t xml:space="preserve">180477472:eng</t>
  </si>
  <si>
    <t xml:space="preserve">BS2397 .D6 1965</t>
  </si>
  <si>
    <t xml:space="preserve">0                      BS 2397000D  6           1965</t>
  </si>
  <si>
    <t xml:space="preserve">According to the Scriptures; the sub-structure of New Testament theology.</t>
  </si>
  <si>
    <t xml:space="preserve">[London] Fontana Books [1965, c1952]</t>
  </si>
  <si>
    <t xml:space="preserve">1348174:eng</t>
  </si>
  <si>
    <t xml:space="preserve">BS2397 .D85</t>
  </si>
  <si>
    <t xml:space="preserve">0                      BS 2397000D  85</t>
  </si>
  <si>
    <t xml:space="preserve">Unity and diversity in the New Testament : an inquiry into the character of earliest Christianity / by James D. G. Dunn.</t>
  </si>
  <si>
    <t xml:space="preserve">Dunn, James D. G., 1939-2020.</t>
  </si>
  <si>
    <t xml:space="preserve">Philadelphia : Westminster Press, c1977.</t>
  </si>
  <si>
    <t xml:space="preserve">2638332:eng</t>
  </si>
  <si>
    <t xml:space="preserve">BS2397 .S3513</t>
  </si>
  <si>
    <t xml:space="preserve">0                      BS 2397000S  3513</t>
  </si>
  <si>
    <t xml:space="preserve">Christian existence in the New Testament. [Translated by F. Wieck.</t>
  </si>
  <si>
    <t xml:space="preserve">V.1</t>
  </si>
  <si>
    <t xml:space="preserve">Notre Dame, Ind.] University of Notre Dame Press, 1968-</t>
  </si>
  <si>
    <t xml:space="preserve">inu</t>
  </si>
  <si>
    <t xml:space="preserve">3372508948:eng</t>
  </si>
  <si>
    <t xml:space="preserve">V.2</t>
  </si>
  <si>
    <t xml:space="preserve">BS2397 .S413</t>
  </si>
  <si>
    <t xml:space="preserve">0                      BS 2397000S  413</t>
  </si>
  <si>
    <t xml:space="preserve">New Testament theology today. Translated by David Askew.</t>
  </si>
  <si>
    <t xml:space="preserve">New York, Herder aand Herder [1963]</t>
  </si>
  <si>
    <t xml:space="preserve">1504093:eng</t>
  </si>
  <si>
    <t xml:space="preserve">BS2397 .S42</t>
  </si>
  <si>
    <t xml:space="preserve">0                      BS 2397000S  42</t>
  </si>
  <si>
    <t xml:space="preserve">Present and future; modern aspects of New Testament theology.</t>
  </si>
  <si>
    <t xml:space="preserve">Notre Dame, University of Notre Dame Press, 1966.</t>
  </si>
  <si>
    <t xml:space="preserve">The Cardinal O'Hara series, v. 3</t>
  </si>
  <si>
    <t xml:space="preserve">366907569:eng</t>
  </si>
  <si>
    <t xml:space="preserve">BS2410 .K613 1982, v.1</t>
  </si>
  <si>
    <t xml:space="preserve">0                      BS 2410000K  613         1982                                        v.1</t>
  </si>
  <si>
    <t xml:space="preserve">History, culture, and religion of the Hellenistic Age / Helmut Koester.</t>
  </si>
  <si>
    <t xml:space="preserve">V. 1</t>
  </si>
  <si>
    <t xml:space="preserve">Koester, Helmut, 1926-2016.</t>
  </si>
  <si>
    <t xml:space="preserve">Philadelphia : Fortress Press, c1982.</t>
  </si>
  <si>
    <t xml:space="preserve">Hermeneia--foundations and facets</t>
  </si>
  <si>
    <t xml:space="preserve">8913086024:eng</t>
  </si>
  <si>
    <t xml:space="preserve">BS2410 .R383 1974</t>
  </si>
  <si>
    <t xml:space="preserve">0                      BS 2410000R  383         1974</t>
  </si>
  <si>
    <t xml:space="preserve">The New Testament era; the world of the Bible from 500 B.C. to A.D. 100, by Bo Reicke. Translated by David E. Green.</t>
  </si>
  <si>
    <t xml:space="preserve">Reicke, Bo, 1914-1987.</t>
  </si>
  <si>
    <t xml:space="preserve">Philadelphia, Fortress Press [1968]</t>
  </si>
  <si>
    <t xml:space="preserve">3901173436:eng</t>
  </si>
  <si>
    <t xml:space="preserve">BS2417.J4 C5 1984</t>
  </si>
  <si>
    <t xml:space="preserve">0                      BS 2417000J  4                  C  5           1984</t>
  </si>
  <si>
    <t xml:space="preserve">A Galilean rabbi and his bible : Jesus' use of the interpreted scripture of his time / by Bruce D. Chilton.</t>
  </si>
  <si>
    <t xml:space="preserve">Chilton, Bruce.</t>
  </si>
  <si>
    <t xml:space="preserve">Wilmington, Del. : M. Glazier, 1984.</t>
  </si>
  <si>
    <t xml:space="preserve">deu</t>
  </si>
  <si>
    <t xml:space="preserve">Good news studies ; v. 8</t>
  </si>
  <si>
    <t xml:space="preserve">2794631:eng</t>
  </si>
  <si>
    <t xml:space="preserve">BS2456 .T38 1997</t>
  </si>
  <si>
    <t xml:space="preserve">0                      BS 2456000T  38          1997</t>
  </si>
  <si>
    <t xml:space="preserve">The immerser : John the Baptist within Second Temple Judaism / Joan E. Taylor.</t>
  </si>
  <si>
    <t xml:space="preserve">Taylor, Joan E.</t>
  </si>
  <si>
    <t xml:space="preserve">Grand Rapids, Mich. : W.B. Eerdmans Pub. Co., c1997.</t>
  </si>
  <si>
    <t xml:space="preserve">Studying the historical Jesus</t>
  </si>
  <si>
    <t xml:space="preserve">3901347030:eng</t>
  </si>
  <si>
    <t xml:space="preserve">BS2506 .U8513</t>
  </si>
  <si>
    <t xml:space="preserve">0                      BS 2506000U  8513</t>
  </si>
  <si>
    <t xml:space="preserve">Tarsus or Jerusalem, the city of Paul's youth. Translated out of the Dutch by George Ogg.</t>
  </si>
  <si>
    <t xml:space="preserve">Unnik, W. C. van (Willem Cornelis), 1910-1978.</t>
  </si>
  <si>
    <t xml:space="preserve">London, Epworth Press [1962]</t>
  </si>
  <si>
    <t xml:space="preserve">11074109:eng</t>
  </si>
  <si>
    <t xml:space="preserve">BS2506 .W37 1986</t>
  </si>
  <si>
    <t xml:space="preserve">0                      BS 2506000W  37          1986</t>
  </si>
  <si>
    <t xml:space="preserve">Paul, Judaism, and the gentiles : a sociological approach / Francis Watson.</t>
  </si>
  <si>
    <t xml:space="preserve">Watson, Francis, 1956-</t>
  </si>
  <si>
    <t xml:space="preserve">Cambridge [Cambridgeshire] ; New York : Cambridge University Press, 1986.</t>
  </si>
  <si>
    <t xml:space="preserve">Monograph series (Society for New Testament Studies) ; 56</t>
  </si>
  <si>
    <t xml:space="preserve">836626254:eng</t>
  </si>
  <si>
    <t xml:space="preserve">BS2545.A8 H46 1981</t>
  </si>
  <si>
    <t xml:space="preserve">0                      BS 2545000A  8                  H  46          1981</t>
  </si>
  <si>
    <t xml:space="preserve">The atonement : the origins of the doctrine in the New Testament / Martin Hengel.</t>
  </si>
  <si>
    <t xml:space="preserve">Hengel, Martin.</t>
  </si>
  <si>
    <t xml:space="preserve">Philadelphia : Fortress Press, 1981.</t>
  </si>
  <si>
    <t xml:space="preserve">1st American ed.</t>
  </si>
  <si>
    <t xml:space="preserve">864086041:eng</t>
  </si>
  <si>
    <t xml:space="preserve">BS2545.C59 G38 1986</t>
  </si>
  <si>
    <t xml:space="preserve">0                      BS 2545000C  59                 G  38          1986</t>
  </si>
  <si>
    <t xml:space="preserve">From darkness to light : aspects of conversion in the New Testament / Beverly Roberts Gaventa.</t>
  </si>
  <si>
    <t xml:space="preserve">Gaventa, Beverly Roberts.</t>
  </si>
  <si>
    <t xml:space="preserve">Philadelphia : Fortress Press, c1986.</t>
  </si>
  <si>
    <t xml:space="preserve">Overtures to biblical theology ; 20</t>
  </si>
  <si>
    <t xml:space="preserve">890175167:eng</t>
  </si>
  <si>
    <t xml:space="preserve">BS2545.D45 L4513 1986</t>
  </si>
  <si>
    <t xml:space="preserve">0                      BS 2545000D  45                 L  4513        1986</t>
  </si>
  <si>
    <t xml:space="preserve">Life and death in the New Testament : the teachings of Jesus and Paul / Xavier Léon-Dufour ; translated from the French by Terrence Prendergast.</t>
  </si>
  <si>
    <t xml:space="preserve">Léon-Dufour, Xavier.</t>
  </si>
  <si>
    <t xml:space="preserve">San Francisco : Harper &amp; Row, c1986.</t>
  </si>
  <si>
    <t xml:space="preserve">403794:eng</t>
  </si>
  <si>
    <t xml:space="preserve">BS2545.F35 K87 1990</t>
  </si>
  <si>
    <t xml:space="preserve">0                      BS 2545000F  35                 K  87          1990</t>
  </si>
  <si>
    <t xml:space="preserve">Farewell addresses in the New Testament / by William S. Kurz.</t>
  </si>
  <si>
    <t xml:space="preserve">Kurz, William S., 1939-</t>
  </si>
  <si>
    <t xml:space="preserve">Collegeville, Minn. : Liturgical Press, c1990.</t>
  </si>
  <si>
    <t xml:space="preserve">Zacchaeus studies. New Testament</t>
  </si>
  <si>
    <t xml:space="preserve">23413097:eng</t>
  </si>
  <si>
    <t xml:space="preserve">BS2545.H634 D47 1999</t>
  </si>
  <si>
    <t xml:space="preserve">0                      BS 2545000H  634                D  47          1999</t>
  </si>
  <si>
    <t xml:space="preserve">The hope of glory : honor discourse and New Testament interpretation / David A. deSilva.</t>
  </si>
  <si>
    <t xml:space="preserve">DeSilva, David Arthur.</t>
  </si>
  <si>
    <t xml:space="preserve">Collegeville, Minn. : Liturgical Press, c1999.</t>
  </si>
  <si>
    <t xml:space="preserve">20665865:eng</t>
  </si>
  <si>
    <t xml:space="preserve">BS2545.L6 S43</t>
  </si>
  <si>
    <t xml:space="preserve">0                      BS 2545000L  6                  S  43</t>
  </si>
  <si>
    <t xml:space="preserve">Love relationships in the Johannine tradition : agapē/agapan in I John and the fourth gospel / Fernando F. Segovia.</t>
  </si>
  <si>
    <t xml:space="preserve">Segovia, Fernando F.</t>
  </si>
  <si>
    <t xml:space="preserve">Chico, CA : Scholars Press, c1982.</t>
  </si>
  <si>
    <t xml:space="preserve">Dissertation series (Society of Biblical Literature) ; no. 58</t>
  </si>
  <si>
    <t xml:space="preserve">290219515:eng</t>
  </si>
  <si>
    <t xml:space="preserve">BS2545.S55 O65 1992</t>
  </si>
  <si>
    <t xml:space="preserve">0                      BS 2545000S  55                 O  65          1992</t>
  </si>
  <si>
    <t xml:space="preserve">What are they saying about the social setting of the New Testament? / Carolyn Osiek.</t>
  </si>
  <si>
    <t xml:space="preserve">Osiek, Carolyn.</t>
  </si>
  <si>
    <t xml:space="preserve">New York : Paulist Press, c1992.</t>
  </si>
  <si>
    <t xml:space="preserve">Rev. and expanded ed.</t>
  </si>
  <si>
    <t xml:space="preserve">3720217:eng</t>
  </si>
  <si>
    <t xml:space="preserve">BS2545.S55 S62 1996</t>
  </si>
  <si>
    <t xml:space="preserve">0                      BS 2545000S  55                 S  62          1996</t>
  </si>
  <si>
    <t xml:space="preserve">The social sciences and New Testament interpretation / edited by Richard L. Rohrbaugh.</t>
  </si>
  <si>
    <t xml:space="preserve">Peabody, Mass. : Hendrickson Publishers, c1996.</t>
  </si>
  <si>
    <t xml:space="preserve">56102132:eng</t>
  </si>
  <si>
    <t xml:space="preserve">BS2555 .S55 1968</t>
  </si>
  <si>
    <t xml:space="preserve">0                      BS 2555000S  55          1968</t>
  </si>
  <si>
    <t xml:space="preserve">Tannaitic parallels to the Gospels.</t>
  </si>
  <si>
    <t xml:space="preserve">Smith, Morton, 1915-1991.</t>
  </si>
  <si>
    <t xml:space="preserve">Philadelphia, Society of Biblical Literature, 1968,1951.</t>
  </si>
  <si>
    <t xml:space="preserve">Journal of Biblical literature. Monograph series ; v. VI</t>
  </si>
  <si>
    <t xml:space="preserve">377342833:eng</t>
  </si>
  <si>
    <t xml:space="preserve">BS2555.4 .S6</t>
  </si>
  <si>
    <t xml:space="preserve">0                      BS 2555400S  6</t>
  </si>
  <si>
    <t xml:space="preserve">Interpreting the Gospels for preaching / D. Moody Smith.</t>
  </si>
  <si>
    <t xml:space="preserve">Smith, D. Moody (Dwight Moody)</t>
  </si>
  <si>
    <t xml:space="preserve">Philadelphia : Fortress Press, c1980.</t>
  </si>
  <si>
    <t xml:space="preserve">449146:eng</t>
  </si>
  <si>
    <t xml:space="preserve">BS2575.2 .S28 1982</t>
  </si>
  <si>
    <t xml:space="preserve">0                      BS 2575200S  28          1982</t>
  </si>
  <si>
    <t xml:space="preserve">The Father, the Son, and the Holy Spirit : the triadic phrase in Matthew 28:19b.</t>
  </si>
  <si>
    <t xml:space="preserve">Schaberg, Jane.</t>
  </si>
  <si>
    <t xml:space="preserve">Chico, Calif. : Scholars Press, c1982.</t>
  </si>
  <si>
    <t xml:space="preserve">Dissertation series (Society of Biblical Literature) ; no. 61</t>
  </si>
  <si>
    <t xml:space="preserve">3512221:eng</t>
  </si>
  <si>
    <t xml:space="preserve">BS2585.2 .A42 1996</t>
  </si>
  <si>
    <t xml:space="preserve">0                      BS 2585200A  42          1996</t>
  </si>
  <si>
    <t xml:space="preserve">Jesus framed / George Aichele.</t>
  </si>
  <si>
    <t xml:space="preserve">Aichele, George.</t>
  </si>
  <si>
    <t xml:space="preserve">London ; New York : Routledge, 1996.</t>
  </si>
  <si>
    <t xml:space="preserve">Biblical limits</t>
  </si>
  <si>
    <t xml:space="preserve">8908683588:eng</t>
  </si>
  <si>
    <t xml:space="preserve">BS2585.2 .C3413 1986</t>
  </si>
  <si>
    <t xml:space="preserve">0                      BS 2585200C  3413        1986</t>
  </si>
  <si>
    <t xml:space="preserve">A poor man called Jesus : reflections on the Gospel of Mark / José Cárdenas Pallares ; translated from the Spanish by Robert R. Barr.</t>
  </si>
  <si>
    <t xml:space="preserve">Cárdenas Pallares, José.</t>
  </si>
  <si>
    <t xml:space="preserve">Maryknoll, NY : Orbis Books, c1986.</t>
  </si>
  <si>
    <t xml:space="preserve">4956465:eng</t>
  </si>
  <si>
    <t xml:space="preserve">BS2585.2 .C45 1973</t>
  </si>
  <si>
    <t xml:space="preserve">0                      BS 2585200C  45          1973</t>
  </si>
  <si>
    <t xml:space="preserve">Christology and a modern pilgrimage; a discussion with Norman Perrin. Edited by Hans Dieter Betz.</t>
  </si>
  <si>
    <t xml:space="preserve">[Missoula, Mont.] Society of Biblical Literature, 1971 [reprinted 1973, c1971]</t>
  </si>
  <si>
    <t xml:space="preserve">365533130:eng</t>
  </si>
  <si>
    <t xml:space="preserve">BS2585.2 .F35</t>
  </si>
  <si>
    <t xml:space="preserve">0                      BS 2585200F  35</t>
  </si>
  <si>
    <t xml:space="preserve">The last twelve verses of Mark / by William R. Farmer.</t>
  </si>
  <si>
    <t xml:space="preserve">Farmer, William R. (William Reuben), 1921-2000.</t>
  </si>
  <si>
    <t xml:space="preserve">[London, New York] : Cambridge University Press, [1974]</t>
  </si>
  <si>
    <t xml:space="preserve">Society for New Testament Studies. Monograph series, 25</t>
  </si>
  <si>
    <t xml:space="preserve">1944046:eng</t>
  </si>
  <si>
    <t xml:space="preserve">BS2585.2 .M29 1982</t>
  </si>
  <si>
    <t xml:space="preserve">0                      BS 2585200M  29          1982</t>
  </si>
  <si>
    <t xml:space="preserve">The kingship of Jesus ; composition and theology in Mark 15 / Frank J. Matera.</t>
  </si>
  <si>
    <t xml:space="preserve">Matera, Frank J.</t>
  </si>
  <si>
    <t xml:space="preserve">Dissertation series (Society of Biblical Literature) ; no. 66</t>
  </si>
  <si>
    <t xml:space="preserve">548212:eng</t>
  </si>
  <si>
    <t xml:space="preserve">BS2585.2 .S48 1995</t>
  </si>
  <si>
    <t xml:space="preserve">0                      BS 2585200S  48          1995</t>
  </si>
  <si>
    <t xml:space="preserve">Follow me! : disciples in Markan rhetoric / Whitney Taylor Shiner.</t>
  </si>
  <si>
    <t xml:space="preserve">Shiner, Whitney Taylor.</t>
  </si>
  <si>
    <t xml:space="preserve">Atlanta, Ga. : Scholars Press, c1995.</t>
  </si>
  <si>
    <t xml:space="preserve">Dissertation series (Society of Biblical Literature) ; no. 145</t>
  </si>
  <si>
    <t xml:space="preserve">372402695:eng</t>
  </si>
  <si>
    <t xml:space="preserve">BS2595.2 .R43 1993</t>
  </si>
  <si>
    <t xml:space="preserve">0                      BS 2595200R  43          1993</t>
  </si>
  <si>
    <t xml:space="preserve">The transfiguration : a source- and redaction- critical study of Luke 9:28-36 / by Barbara E. Reid.</t>
  </si>
  <si>
    <t xml:space="preserve">Reid, Barbara E.</t>
  </si>
  <si>
    <t xml:space="preserve">Paris : Gabalda, 1993.</t>
  </si>
  <si>
    <t xml:space="preserve">fr </t>
  </si>
  <si>
    <t xml:space="preserve">Cahiers de la Revue biblique ; 32</t>
  </si>
  <si>
    <t xml:space="preserve">807475333:eng</t>
  </si>
  <si>
    <t xml:space="preserve">BS2601 .C47</t>
  </si>
  <si>
    <t xml:space="preserve">0                      BS 2601000C  47</t>
  </si>
  <si>
    <t xml:space="preserve">John and Qumran [by] Raymond E. Brown [and others] edited by James H. Charlesworth.</t>
  </si>
  <si>
    <t xml:space="preserve">Charlesworth, James H.</t>
  </si>
  <si>
    <t xml:space="preserve">London, Geoffrey Chapman Publishers, 1972.</t>
  </si>
  <si>
    <t xml:space="preserve">346683905:eng</t>
  </si>
  <si>
    <t xml:space="preserve">BS2601 .M5413</t>
  </si>
  <si>
    <t xml:space="preserve">0                      BS 2601000M  5413</t>
  </si>
  <si>
    <t xml:space="preserve">Being and the Messiah : the message of St. John / José Porfirio Miranda ; translated by John Eagleson.</t>
  </si>
  <si>
    <t xml:space="preserve">Miranda, José Porfirio.</t>
  </si>
  <si>
    <t xml:space="preserve">Maryknoll, N.Y. : Orbis Books, c1977.</t>
  </si>
  <si>
    <t xml:space="preserve">1089553128:eng</t>
  </si>
  <si>
    <t xml:space="preserve">BS2615 .G27</t>
  </si>
  <si>
    <t xml:space="preserve">0                      BS 2615000G  27</t>
  </si>
  <si>
    <t xml:space="preserve">Saint John and the Synoptic gospels, by P. Gardner-Smith.</t>
  </si>
  <si>
    <t xml:space="preserve">Gardner-Smith, P. (Percival), 1888-1985.</t>
  </si>
  <si>
    <t xml:space="preserve">Cambridge [Eng.] University Press, 1938.</t>
  </si>
  <si>
    <t xml:space="preserve">685185094:eng</t>
  </si>
  <si>
    <t xml:space="preserve">BS2615 .M374</t>
  </si>
  <si>
    <t xml:space="preserve">0                      BS 2615000M  374</t>
  </si>
  <si>
    <t xml:space="preserve">The Gospel according to Saint John. With an introd. and commentary by C. C. Martindale.</t>
  </si>
  <si>
    <t xml:space="preserve">Bible. John. English. Douai. 1957.</t>
  </si>
  <si>
    <t xml:space="preserve">Westminster, Md., Newman Press [1957]</t>
  </si>
  <si>
    <t xml:space="preserve">Stonyhurst Scripture manuals</t>
  </si>
  <si>
    <t xml:space="preserve">3857555197:eng</t>
  </si>
  <si>
    <t xml:space="preserve">BS2615.2 .B33</t>
  </si>
  <si>
    <t xml:space="preserve">0                      BS 2615200B  33</t>
  </si>
  <si>
    <t xml:space="preserve">Introduction to John and the Acts of the apostles / by William Barclay.</t>
  </si>
  <si>
    <t xml:space="preserve">Barclay, William, 1907-1978.</t>
  </si>
  <si>
    <t xml:space="preserve">Philadelphia : Westminster Press, c1976.</t>
  </si>
  <si>
    <t xml:space="preserve">513893:eng</t>
  </si>
  <si>
    <t xml:space="preserve">BS2615.2 .B564 1988</t>
  </si>
  <si>
    <t xml:space="preserve">0                      BS 2615200B  564         1988</t>
  </si>
  <si>
    <t xml:space="preserve">Neither on this mountain nor in Jerusalem : a study of John 4 / Hendrikus Boers.</t>
  </si>
  <si>
    <t xml:space="preserve">Boers, Hendrikus.</t>
  </si>
  <si>
    <t xml:space="preserve">Monograph series / the Society of Biblical Literature ; no. 35</t>
  </si>
  <si>
    <t xml:space="preserve">347595971:eng</t>
  </si>
  <si>
    <t xml:space="preserve">BS2615.2 .B586 1996</t>
  </si>
  <si>
    <t xml:space="preserve">0                      BS 2615200B  586         1996</t>
  </si>
  <si>
    <t xml:space="preserve">Selected peak marking features in the Gospel of John / Steve Booth.</t>
  </si>
  <si>
    <t xml:space="preserve">Booth, Steve, 1959-</t>
  </si>
  <si>
    <t xml:space="preserve">New York : Peter Lang, c1996.</t>
  </si>
  <si>
    <t xml:space="preserve">American university studies. Series VII, Theology and religion, 0740-0446 ; vol. 178</t>
  </si>
  <si>
    <t xml:space="preserve">38512547:eng</t>
  </si>
  <si>
    <t xml:space="preserve">BS2615.2 .B65</t>
  </si>
  <si>
    <t xml:space="preserve">0                      BS 2615200B  65</t>
  </si>
  <si>
    <t xml:space="preserve">The fourth Gospel and the Jews : a study in R. Akiba, Esther, and the Gospel of John / by John Bowman.</t>
  </si>
  <si>
    <t xml:space="preserve">Bowman, John, 1916-2006.</t>
  </si>
  <si>
    <t xml:space="preserve">Pittsburgh : Pickwick Press, 1975.</t>
  </si>
  <si>
    <t xml:space="preserve">Pittsburgh theological monograph series ; 8</t>
  </si>
  <si>
    <t xml:space="preserve">905864116:eng</t>
  </si>
  <si>
    <t xml:space="preserve">BS2615.2 .B783</t>
  </si>
  <si>
    <t xml:space="preserve">0                      BS 2615200B  783</t>
  </si>
  <si>
    <t xml:space="preserve">The Christian Buddhism of St. John; new insights into the Fourth Gospel, by J. Edgar Bruns. Foreword by Gregory Baum.</t>
  </si>
  <si>
    <t xml:space="preserve">Bruns, J. Edgar, 1923-</t>
  </si>
  <si>
    <t xml:space="preserve">New York, Paulist Press [1971]</t>
  </si>
  <si>
    <t xml:space="preserve">422510597:eng</t>
  </si>
  <si>
    <t xml:space="preserve">BS2615.2 .C3</t>
  </si>
  <si>
    <t xml:space="preserve">0                      BS 2615200C  3</t>
  </si>
  <si>
    <t xml:space="preserve">The open heaven ; the revelation of God in the Johannine sayings of Jesus / [by] W. H. Cadman. Edited by G. B. Caird. --</t>
  </si>
  <si>
    <t xml:space="preserve">Cadman, W. H. (William Healey)</t>
  </si>
  <si>
    <t xml:space="preserve">Oxford : Blackwell, 1969.</t>
  </si>
  <si>
    <t xml:space="preserve">509025232:eng</t>
  </si>
  <si>
    <t xml:space="preserve">BS2615.2 .C364 1996</t>
  </si>
  <si>
    <t xml:space="preserve">0                      BS 2615200C  364         1996</t>
  </si>
  <si>
    <t xml:space="preserve">The story of Creation : its origin and its interpretation in Philo and the Fourth Gospel / Calum M. Carmichael.</t>
  </si>
  <si>
    <t xml:space="preserve">Carmichael, Calum M.</t>
  </si>
  <si>
    <t xml:space="preserve">Ithaca : Cornell University Press, 1996.</t>
  </si>
  <si>
    <t xml:space="preserve">20997419:eng</t>
  </si>
  <si>
    <t xml:space="preserve">BS2615.2 .C65 1990</t>
  </si>
  <si>
    <t xml:space="preserve">0                      BS 2615200C  65          1990</t>
  </si>
  <si>
    <t xml:space="preserve">These things have been written : studies on the Fourth Gospel / Raymond F. Collins.</t>
  </si>
  <si>
    <t xml:space="preserve">Collins, Raymond F., 1935-</t>
  </si>
  <si>
    <t xml:space="preserve">Louvain : Peeters Press, 1990.</t>
  </si>
  <si>
    <t xml:space="preserve">be </t>
  </si>
  <si>
    <t xml:space="preserve">Louvain theological &amp; pastoral monographs ; 2</t>
  </si>
  <si>
    <t xml:space="preserve">25092814:eng</t>
  </si>
  <si>
    <t xml:space="preserve">BS2615.2 .C69 1987</t>
  </si>
  <si>
    <t xml:space="preserve">0                      BS 2615200C  69          1987</t>
  </si>
  <si>
    <t xml:space="preserve">The mystical way in the fourth Gospel : crossing over into God / L. William Countryman.</t>
  </si>
  <si>
    <t xml:space="preserve">Countryman, Louis William, 1941-</t>
  </si>
  <si>
    <t xml:space="preserve">Philadelphia : Fortress Press, c1987.</t>
  </si>
  <si>
    <t xml:space="preserve">9073728:eng</t>
  </si>
  <si>
    <t xml:space="preserve">BS2615.2 .F7</t>
  </si>
  <si>
    <t xml:space="preserve">0                      BS 2615200F  7</t>
  </si>
  <si>
    <t xml:space="preserve">Old Testament quotations in the Gospel of John, by Edwin D.Freed.</t>
  </si>
  <si>
    <t xml:space="preserve">Freed, Edwin D.</t>
  </si>
  <si>
    <t xml:space="preserve">Leiden, E.J.Brill, 1965.</t>
  </si>
  <si>
    <t xml:space="preserve">Supplements to Novum Testamentum ; v. 11</t>
  </si>
  <si>
    <t xml:space="preserve">16853276:eng</t>
  </si>
  <si>
    <t xml:space="preserve">BS2615.2 .H47</t>
  </si>
  <si>
    <t xml:space="preserve">0                      BS 2615200H  47</t>
  </si>
  <si>
    <t xml:space="preserve">Liberation theology; liberation in the light of the fourth Gospel.</t>
  </si>
  <si>
    <t xml:space="preserve">Herzog, Frederick.</t>
  </si>
  <si>
    <t xml:space="preserve">New York, Seabury Press [1972]</t>
  </si>
  <si>
    <t xml:space="preserve">363992048:eng</t>
  </si>
  <si>
    <t xml:space="preserve">BS2615.2 .J63</t>
  </si>
  <si>
    <t xml:space="preserve">0                      BS 2615200J  63</t>
  </si>
  <si>
    <t xml:space="preserve">Jesus, stranger from heaven and Son of God : Jesus Christ and the Christians in Johannine perspective / by Marinus de Jonge ; edited and translated by John E. Steely.</t>
  </si>
  <si>
    <t xml:space="preserve">Jonge, M. de (Marinus), 1925-</t>
  </si>
  <si>
    <t xml:space="preserve">Missoula, Mont. : Published by Scholars Press for the Society of Biblical Literature, c1977.</t>
  </si>
  <si>
    <t xml:space="preserve">mtu</t>
  </si>
  <si>
    <t xml:space="preserve">Sources for biblical study ; no. 11</t>
  </si>
  <si>
    <t xml:space="preserve">7073746:eng</t>
  </si>
  <si>
    <t xml:space="preserve">BS2615.2 .K2813 1968</t>
  </si>
  <si>
    <t xml:space="preserve">0                      BS 2615200K  2813        1968</t>
  </si>
  <si>
    <t xml:space="preserve">The testament of Jesus : a study of the Gospel of John in the light of chapter 17 / Ernst Käsemann ; [translated by Gerhard Krodel from the German].</t>
  </si>
  <si>
    <t xml:space="preserve">Käsemann, Ernst.</t>
  </si>
  <si>
    <t xml:space="preserve">Philadelphia : Fortress Press, 1968.</t>
  </si>
  <si>
    <t xml:space="preserve">1138472:eng</t>
  </si>
  <si>
    <t xml:space="preserve">BS2615.2 .K9</t>
  </si>
  <si>
    <t xml:space="preserve">0                      BS 2615200K  9</t>
  </si>
  <si>
    <t xml:space="preserve">The fourth evangelist and his Gospel : an examination of contemporary scholarship / Robert Kysar.</t>
  </si>
  <si>
    <t xml:space="preserve">Kysar, Robert.</t>
  </si>
  <si>
    <t xml:space="preserve">Minneapolis : Augsburg Pub. House, c1975.</t>
  </si>
  <si>
    <t xml:space="preserve">375539960:eng</t>
  </si>
  <si>
    <t xml:space="preserve">BS2615.2 .M333 1985</t>
  </si>
  <si>
    <t xml:space="preserve">0                      BS 2615200M  333         1985</t>
  </si>
  <si>
    <t xml:space="preserve">The Gospel of John in sociolinguistic perspective : protocol of the forty-eighth colloquy, 11 March 1984 / Bruce J. Malina ; H.C. Waetjen, editor.</t>
  </si>
  <si>
    <t xml:space="preserve">Malina, Bruce J.</t>
  </si>
  <si>
    <t xml:space="preserve">Berkeley, CA, USA : Center for Hermeneutical Studies in Hellenistic and Modern Culture, c1985.</t>
  </si>
  <si>
    <t xml:space="preserve">Colloquy, 0098-0900 ; 48</t>
  </si>
  <si>
    <t xml:space="preserve">890508825:eng</t>
  </si>
  <si>
    <t xml:space="preserve">BS2615.2 .M37</t>
  </si>
  <si>
    <t xml:space="preserve">0                      BS 2615200M  37</t>
  </si>
  <si>
    <t xml:space="preserve">The prophet-king. Moses traditions and the Johannine Christology, by Wayne A. Meeks.</t>
  </si>
  <si>
    <t xml:space="preserve">Meeks, Wayne A.</t>
  </si>
  <si>
    <t xml:space="preserve">Leiden, E. J. Brill, 1967.</t>
  </si>
  <si>
    <t xml:space="preserve">ne </t>
  </si>
  <si>
    <t xml:space="preserve">Supplements to Novum Testamentum ; v. 14</t>
  </si>
  <si>
    <t xml:space="preserve">889333648:eng</t>
  </si>
  <si>
    <t xml:space="preserve">BS2615.2 .M377</t>
  </si>
  <si>
    <t xml:space="preserve">0                      BS 2615200M  377</t>
  </si>
  <si>
    <t xml:space="preserve">The Ignatian exercises in the light of St. John / Carlo M. Martini ; translated by Joseph Gill ; foreword by Karl Rahner.</t>
  </si>
  <si>
    <t xml:space="preserve">Martini, Carlo Maria, 1927-2012.</t>
  </si>
  <si>
    <t xml:space="preserve">Anand, India : Gujarat Sahitya Prakash, 1981.</t>
  </si>
  <si>
    <t xml:space="preserve">ii </t>
  </si>
  <si>
    <t xml:space="preserve">8913807303:eng</t>
  </si>
  <si>
    <t xml:space="preserve">BS2615.2 .M6 1964</t>
  </si>
  <si>
    <t xml:space="preserve">0                      BS 2615200M  6           1964</t>
  </si>
  <si>
    <t xml:space="preserve">The New Testament and the Jewish lectionaries.</t>
  </si>
  <si>
    <t xml:space="preserve">Morris, Leon.</t>
  </si>
  <si>
    <t xml:space="preserve">London, Tyndale Press [1964]</t>
  </si>
  <si>
    <t xml:space="preserve">148333260:eng</t>
  </si>
  <si>
    <t xml:space="preserve">BS2615.2 .M62 1969</t>
  </si>
  <si>
    <t xml:space="preserve">0                      BS 2615200M  62          1969</t>
  </si>
  <si>
    <t xml:space="preserve">Studies in the fourth Gospel.</t>
  </si>
  <si>
    <t xml:space="preserve">Morris, Leon, 1914-2006.</t>
  </si>
  <si>
    <t xml:space="preserve">Grand Rapids, W. B. Eerdmans Pub. Co. [1969]</t>
  </si>
  <si>
    <t xml:space="preserve">57808998:eng</t>
  </si>
  <si>
    <t xml:space="preserve">BS2615.2 .N48 1983</t>
  </si>
  <si>
    <t xml:space="preserve">0                      BS 2615200N  48          1983</t>
  </si>
  <si>
    <t xml:space="preserve">Death as departure : the Johannine descent-ascent schema / Godfrey C. Nicholson.</t>
  </si>
  <si>
    <t xml:space="preserve">Nicholson, Godfrey C. (Godfrey Carruthers)</t>
  </si>
  <si>
    <t xml:space="preserve">Chico, Calif. : Scholars Press, c1983.</t>
  </si>
  <si>
    <t xml:space="preserve">Dissertation series (Society of Biblical Literature) ; no. 63</t>
  </si>
  <si>
    <t xml:space="preserve">30282594:eng</t>
  </si>
  <si>
    <t xml:space="preserve">BS2615.2 .O28 1986</t>
  </si>
  <si>
    <t xml:space="preserve">0                      BS 2615200O  28          1986</t>
  </si>
  <si>
    <t xml:space="preserve">Revelation in the fourth Gospel : narrative mode and theological claim / Gail R. O'Day.</t>
  </si>
  <si>
    <t xml:space="preserve">O'Day, Gail R., 1954-</t>
  </si>
  <si>
    <t xml:space="preserve">7242053:eng</t>
  </si>
  <si>
    <t xml:space="preserve">BS2615.2 .P6713 1989</t>
  </si>
  <si>
    <t xml:space="preserve">0                      BS 2615200P  6713        1989</t>
  </si>
  <si>
    <t xml:space="preserve">The hour of Jesus : the passion and the resurrection of Jesus according to John : text and spirit / Ignace de la Potterie.</t>
  </si>
  <si>
    <t xml:space="preserve">La Potterie, Ignace de, 1914-2003.</t>
  </si>
  <si>
    <t xml:space="preserve">Middlegreen, Slough : St. Paul, c1989.</t>
  </si>
  <si>
    <t xml:space="preserve">432751878:eng</t>
  </si>
  <si>
    <t xml:space="preserve">BS2615.2 .R39 1988</t>
  </si>
  <si>
    <t xml:space="preserve">0                      BS 2615200R  39          1988</t>
  </si>
  <si>
    <t xml:space="preserve">Johannine faith and liberating community / David Rensberger.</t>
  </si>
  <si>
    <t xml:space="preserve">Rensberger, David K.</t>
  </si>
  <si>
    <t xml:space="preserve">Philadelphia : Westminster Press, c1988.</t>
  </si>
  <si>
    <t xml:space="preserve">2673060:eng</t>
  </si>
  <si>
    <t xml:space="preserve">BS2615.2 .S35 1992</t>
  </si>
  <si>
    <t xml:space="preserve">0                      BS 2615200S  35          1992</t>
  </si>
  <si>
    <t xml:space="preserve">Scripture within scripture : the interrelationship of form and function in the explicit Old Testament citations in the Gospel of John / Bruce G. Schuchard.</t>
  </si>
  <si>
    <t xml:space="preserve">Schuchard, Bruce G. (Bruce Gordon)</t>
  </si>
  <si>
    <t xml:space="preserve">Atlanta, Ga. : Scholars Press, c1992.</t>
  </si>
  <si>
    <t xml:space="preserve">Dissertation series (Society of Biblical Literature) ; no. 133</t>
  </si>
  <si>
    <t xml:space="preserve">24946460:eng</t>
  </si>
  <si>
    <t xml:space="preserve">BS2615.2 .S433 1991</t>
  </si>
  <si>
    <t xml:space="preserve">0                      BS 2615200S  433         1991</t>
  </si>
  <si>
    <t xml:space="preserve">The farewell of the word : the Johannine call to abide / Fernando F. Segovia.</t>
  </si>
  <si>
    <t xml:space="preserve">Minneapolis : Fortress Press, c1991.</t>
  </si>
  <si>
    <t xml:space="preserve">365386885:eng</t>
  </si>
  <si>
    <t xml:space="preserve">BS2615.2 .S58</t>
  </si>
  <si>
    <t xml:space="preserve">0                      BS 2615200S  58</t>
  </si>
  <si>
    <t xml:space="preserve">John, evangelist and interpreter / Stephen S. Smalley.</t>
  </si>
  <si>
    <t xml:space="preserve">Smalley, Stephen S.</t>
  </si>
  <si>
    <t xml:space="preserve">Exeter [Eng.] : Paternoster Press, 1978.</t>
  </si>
  <si>
    <t xml:space="preserve">510339:eng</t>
  </si>
  <si>
    <t xml:space="preserve">BS2615.2 .S6</t>
  </si>
  <si>
    <t xml:space="preserve">0                      BS 2615200S  6</t>
  </si>
  <si>
    <t xml:space="preserve">The composition and order of the fourth Gospel; Bultmann's literary theory.</t>
  </si>
  <si>
    <t xml:space="preserve">New haven, Yale University Press, 1965.</t>
  </si>
  <si>
    <t xml:space="preserve">Yale publications in religion ; 10</t>
  </si>
  <si>
    <t xml:space="preserve">1535391:eng</t>
  </si>
  <si>
    <t xml:space="preserve">BS2615.2 .S62 1986</t>
  </si>
  <si>
    <t xml:space="preserve">0                      BS 2615200S  62          1986</t>
  </si>
  <si>
    <t xml:space="preserve">John / D. Moody Smith.</t>
  </si>
  <si>
    <t xml:space="preserve">Philadelphia : Fortress Press, 1986.</t>
  </si>
  <si>
    <t xml:space="preserve">2nd ed., rev. and enlarged.</t>
  </si>
  <si>
    <t xml:space="preserve">Proclamation commentaries</t>
  </si>
  <si>
    <t xml:space="preserve">2686967:eng</t>
  </si>
  <si>
    <t xml:space="preserve">BS2615.2 .S72 1988</t>
  </si>
  <si>
    <t xml:space="preserve">0                      BS 2615200S  72          1988</t>
  </si>
  <si>
    <t xml:space="preserve">The print's first kiss : a rhetorical investigation of the implied reader in the Fourth Gospel / Jeffrey Lloyd Staley.</t>
  </si>
  <si>
    <t xml:space="preserve">Staley, Jeffrey Lloyd, 1951-</t>
  </si>
  <si>
    <t xml:space="preserve">Dissertation series (Society of Biblical Literature) ; no. 82</t>
  </si>
  <si>
    <t xml:space="preserve">5867573:eng</t>
  </si>
  <si>
    <t xml:space="preserve">BS2615.52 .K96 1976</t>
  </si>
  <si>
    <t xml:space="preserve">0                      BS 2615520K  96          1976</t>
  </si>
  <si>
    <t xml:space="preserve">John, the maverick Gospel / Robert Kysar.</t>
  </si>
  <si>
    <t xml:space="preserve">Atlanta : John Knox Press, c1976.</t>
  </si>
  <si>
    <t xml:space="preserve">345348:eng</t>
  </si>
  <si>
    <t xml:space="preserve">BS2615.6.S57 P38 1991</t>
  </si>
  <si>
    <t xml:space="preserve">0                      BS 2615600S  57                 P  38          1991</t>
  </si>
  <si>
    <t xml:space="preserve">The Son of man : a metaphor for Jesus in the Fourth Gospel / by Mary Margaret Pazdan.</t>
  </si>
  <si>
    <t xml:space="preserve">Pazdan, Mary Margaret, 1942-</t>
  </si>
  <si>
    <t xml:space="preserve">Collegeville, Minn. : Liturgical Press, c1991.</t>
  </si>
  <si>
    <t xml:space="preserve">26058803:eng</t>
  </si>
  <si>
    <t xml:space="preserve">BS2617.5 .D7 1982</t>
  </si>
  <si>
    <t xml:space="preserve">0                      BS 2617500D  7           1982</t>
  </si>
  <si>
    <t xml:space="preserve">Early Christians / John W. Drane.</t>
  </si>
  <si>
    <t xml:space="preserve">Drane, John William.</t>
  </si>
  <si>
    <t xml:space="preserve">San Francisco : Harper &amp; Row, c1982.</t>
  </si>
  <si>
    <t xml:space="preserve">1st U.S. ed.</t>
  </si>
  <si>
    <t xml:space="preserve">3944224174:eng</t>
  </si>
  <si>
    <t xml:space="preserve">BS2625.2 .J63 1983</t>
  </si>
  <si>
    <t xml:space="preserve">0                      BS 2625200J  63          1983</t>
  </si>
  <si>
    <t xml:space="preserve">Decision making in the church : a biblical model / Luke T. Johnson.</t>
  </si>
  <si>
    <t xml:space="preserve">Johnson, Luke Timothy.</t>
  </si>
  <si>
    <t xml:space="preserve">Philadelphia : Fortress Press, c1983.</t>
  </si>
  <si>
    <t xml:space="preserve">43172354:eng</t>
  </si>
  <si>
    <t xml:space="preserve">BS2650.2 .H66 1980</t>
  </si>
  <si>
    <t xml:space="preserve">0                      BS 2650200H  66          1980</t>
  </si>
  <si>
    <t xml:space="preserve">A preface to Paul / Morna D. Hooker.</t>
  </si>
  <si>
    <t xml:space="preserve">Hooker, Morna Dorothy.</t>
  </si>
  <si>
    <t xml:space="preserve">New York : Oxford University Press, 1980, c1979.</t>
  </si>
  <si>
    <t xml:space="preserve">1812366107:eng</t>
  </si>
  <si>
    <t xml:space="preserve">BS2651 .D3 1967</t>
  </si>
  <si>
    <t xml:space="preserve">0                      BS 2651000D  3           1967</t>
  </si>
  <si>
    <t xml:space="preserve">Paul and rabbinic Judaism; some rabbinic elements in Pauline theology.</t>
  </si>
  <si>
    <t xml:space="preserve">Davies, W. D. (William David), 1911-2001.</t>
  </si>
  <si>
    <t xml:space="preserve">Harper &amp; Row [1967,c1948]</t>
  </si>
  <si>
    <t xml:space="preserve">[Rev. ed.]</t>
  </si>
  <si>
    <t xml:space="preserve">Harper torchbooks ; 146</t>
  </si>
  <si>
    <t xml:space="preserve">10792394820:eng</t>
  </si>
  <si>
    <t xml:space="preserve">BS2651 .M38 1997</t>
  </si>
  <si>
    <t xml:space="preserve">0                      BS 2651000M  38          1997</t>
  </si>
  <si>
    <t xml:space="preserve">Theological issues in the letters of Paul / J. Louis Martyn.</t>
  </si>
  <si>
    <t xml:space="preserve">Martyn, J. Louis (James Louis), 1925-2015.</t>
  </si>
  <si>
    <t xml:space="preserve">Nashville, TN : Abingdon Press, 1997.</t>
  </si>
  <si>
    <t xml:space="preserve">tnu</t>
  </si>
  <si>
    <t xml:space="preserve">573412:eng</t>
  </si>
  <si>
    <t xml:space="preserve">BS2655.E7 B44 1982</t>
  </si>
  <si>
    <t xml:space="preserve">0                      BS 2655000E  7                  B  44          1982</t>
  </si>
  <si>
    <t xml:space="preserve">Paul's apocalyptic gospel : the coming triumph of God / J. Christiaan Beker.</t>
  </si>
  <si>
    <t xml:space="preserve">Beker, Johan Christiaan, 1924-</t>
  </si>
  <si>
    <t xml:space="preserve">Philadelphia, PA : Fortress Press, c1982.</t>
  </si>
  <si>
    <t xml:space="preserve">449239:eng</t>
  </si>
  <si>
    <t xml:space="preserve">BS2655.J4 H375 1992</t>
  </si>
  <si>
    <t xml:space="preserve">0                      BS 2655000J  4                  H  375         1992</t>
  </si>
  <si>
    <t xml:space="preserve">Paul on the mystery of Israel / Daniel J. Harrington.</t>
  </si>
  <si>
    <t xml:space="preserve">Harrington, Daniel J.</t>
  </si>
  <si>
    <t xml:space="preserve">Collegeville, MN : Liturgical Press, c1992.</t>
  </si>
  <si>
    <t xml:space="preserve">28534335:eng</t>
  </si>
  <si>
    <t xml:space="preserve">BS2655.L42 D66 1984</t>
  </si>
  <si>
    <t xml:space="preserve">0                      BS 2655000L  42                 D  66          1984</t>
  </si>
  <si>
    <t xml:space="preserve">Leadership in Paul / by Helen Doohan.</t>
  </si>
  <si>
    <t xml:space="preserve">Doohan, Helen.</t>
  </si>
  <si>
    <t xml:space="preserve">Good news studies ; v. 11</t>
  </si>
  <si>
    <t xml:space="preserve">4099049:eng</t>
  </si>
  <si>
    <t xml:space="preserve">BS2655.M9 L56</t>
  </si>
  <si>
    <t xml:space="preserve">0                      BS 2655000M  9                  L  56</t>
  </si>
  <si>
    <t xml:space="preserve">Paradise now and not yet : studies in the role of the heavenly dimension in Paul's thought with special reference to his eschatology / Andrew T. Lincoln.</t>
  </si>
  <si>
    <t xml:space="preserve">Lincoln, Andrew T.</t>
  </si>
  <si>
    <t xml:space="preserve">London ; New York : Cambridge University Press, 1981.</t>
  </si>
  <si>
    <t xml:space="preserve">Society for New Testament Studies Monograph Series ; 43</t>
  </si>
  <si>
    <t xml:space="preserve">807351597:eng</t>
  </si>
  <si>
    <t xml:space="preserve">BS2655.P89 M37 1984</t>
  </si>
  <si>
    <t xml:space="preserve">0                      BS 2655000P  89                 M  37          1984</t>
  </si>
  <si>
    <t xml:space="preserve">The spirit and the congregation : studies in 1 Corinthians 12-15 / Ralph P. Martin.</t>
  </si>
  <si>
    <t xml:space="preserve">Martin, Ralph P.</t>
  </si>
  <si>
    <t xml:space="preserve">Grand Rapids, Mich. : W.B. Eerdmans Pub. Co., c1984.</t>
  </si>
  <si>
    <t xml:space="preserve">2844978:eng</t>
  </si>
  <si>
    <t xml:space="preserve">BS2655.S62 T62 1987</t>
  </si>
  <si>
    <t xml:space="preserve">0                      BS 2655000S  62                 T  62          1987</t>
  </si>
  <si>
    <t xml:space="preserve">The spirituality of Paul / Thomas H. Tobin.</t>
  </si>
  <si>
    <t xml:space="preserve">Tobin, Thomas H., 1945-</t>
  </si>
  <si>
    <t xml:space="preserve">Wilmington, Del. : M. Glazier, 1987.</t>
  </si>
  <si>
    <t xml:space="preserve">Message of biblical spirituality ; v. 12</t>
  </si>
  <si>
    <t xml:space="preserve">10237596:eng</t>
  </si>
  <si>
    <t xml:space="preserve">BS2685.2 .H39 1983</t>
  </si>
  <si>
    <t xml:space="preserve">0                      BS 2685200H  39          1983</t>
  </si>
  <si>
    <t xml:space="preserve">The faith of Jesus Christ : an investigation of the narrative substructure of Galatians 3:1-4:11 / Richard B. Hays.</t>
  </si>
  <si>
    <t xml:space="preserve">Hays, Richard B.</t>
  </si>
  <si>
    <t xml:space="preserve">Chico, CA : Scholars Press, 1983.</t>
  </si>
  <si>
    <t xml:space="preserve">Dissertation series (Society of Biblical Literature) ; no. 56</t>
  </si>
  <si>
    <t xml:space="preserve">30731475:eng</t>
  </si>
  <si>
    <t xml:space="preserve">BS2705.2 .W48 1998</t>
  </si>
  <si>
    <t xml:space="preserve">0                      BS 2705200W  48          1998</t>
  </si>
  <si>
    <t xml:space="preserve">Where Christology began : essays on Philippians 2 / Ralph P. Martin, Brian J. Dodd, editors.</t>
  </si>
  <si>
    <t xml:space="preserve">Louisville, Ky. : Westminster John Knox Press, c1998.</t>
  </si>
  <si>
    <t xml:space="preserve">kyu</t>
  </si>
  <si>
    <t xml:space="preserve">566834:eng</t>
  </si>
  <si>
    <t xml:space="preserve">BS2705.3 .M6</t>
  </si>
  <si>
    <t xml:space="preserve">0                      BS 2705300M  6</t>
  </si>
  <si>
    <t xml:space="preserve">Philippian studies : lessons in faith and love / Handley C. G. Moule.</t>
  </si>
  <si>
    <t xml:space="preserve">Moule, H. C. G. (Handley Carr Glyn), 1841-1920.</t>
  </si>
  <si>
    <t xml:space="preserve">Grand Rapids : Zondervan Pub. House, [1962?]</t>
  </si>
  <si>
    <t xml:space="preserve">3855261904:eng</t>
  </si>
  <si>
    <t xml:space="preserve">BS2777 .M27 1982</t>
  </si>
  <si>
    <t xml:space="preserve">0                      BS 2777000M  27          1982</t>
  </si>
  <si>
    <t xml:space="preserve">James / R.A. Martin. I-II Peter/Jude / John H. Elliott.</t>
  </si>
  <si>
    <t xml:space="preserve">Martin, Raymond A.</t>
  </si>
  <si>
    <t xml:space="preserve">Minneapolis, Minn. : Augsburg Pub. House, c1982.</t>
  </si>
  <si>
    <t xml:space="preserve">Augsburg commentary on the New Testament</t>
  </si>
  <si>
    <t xml:space="preserve">9969790:eng</t>
  </si>
  <si>
    <t xml:space="preserve">BS2785.2 .H37 1991</t>
  </si>
  <si>
    <t xml:space="preserve">0                      BS 2785200H  37          1991</t>
  </si>
  <si>
    <t xml:space="preserve">James and the Q sayings of Jesus/ Patrick J. Hartin.</t>
  </si>
  <si>
    <t xml:space="preserve">Hartin, P. J. (Patrick J.)</t>
  </si>
  <si>
    <t xml:space="preserve">Sheffield, England : JSOT Press, c1991.</t>
  </si>
  <si>
    <t xml:space="preserve">Journal for the study of the New Testament. Supplement series ; 47</t>
  </si>
  <si>
    <t xml:space="preserve">390700:eng</t>
  </si>
  <si>
    <t xml:space="preserve">BS2785.3 .D5 1976</t>
  </si>
  <si>
    <t xml:space="preserve">0                      BS 2785300D  5           1976</t>
  </si>
  <si>
    <t xml:space="preserve">James : a commentary on the Epistle of James / by Martin Dibelius ; rev. by Heinrich Greeven ; translated by Michael A. Williams ; edited by Helmut Koester.</t>
  </si>
  <si>
    <t xml:space="preserve">Dibelius, Martin, 1883-1947.</t>
  </si>
  <si>
    <t xml:space="preserve">Philadelphia : Fortress Press, c1976.</t>
  </si>
  <si>
    <t xml:space="preserve">Hermeneia</t>
  </si>
  <si>
    <t xml:space="preserve">4494927160:eng</t>
  </si>
  <si>
    <t xml:space="preserve">BS2785.3 .K83</t>
  </si>
  <si>
    <t xml:space="preserve">0                      BS 2785300K  83</t>
  </si>
  <si>
    <t xml:space="preserve">James &amp; Jude / Richard Kugelman.</t>
  </si>
  <si>
    <t xml:space="preserve">Kugelman, Richard.</t>
  </si>
  <si>
    <t xml:space="preserve">Wilmington, Del. : Michael Glazier, c1980.</t>
  </si>
  <si>
    <t xml:space="preserve">New Testament message ; v. 19</t>
  </si>
  <si>
    <t xml:space="preserve">551638:eng</t>
  </si>
  <si>
    <t xml:space="preserve">BS2785.3 .L38</t>
  </si>
  <si>
    <t xml:space="preserve">0                      BS 2785300L  38</t>
  </si>
  <si>
    <t xml:space="preserve">A commentary on the Epistle of James / Sophie Laws.</t>
  </si>
  <si>
    <t xml:space="preserve">Laws, Sophie.</t>
  </si>
  <si>
    <t xml:space="preserve">San Francisco : Harper &amp; Row, c1980.</t>
  </si>
  <si>
    <t xml:space="preserve">Harper's New Testament commentaries</t>
  </si>
  <si>
    <t xml:space="preserve">403787:eng</t>
  </si>
  <si>
    <t xml:space="preserve">BS2785.3 .M3 1977</t>
  </si>
  <si>
    <t xml:space="preserve">0                      BS 2785300M  3           1977</t>
  </si>
  <si>
    <t xml:space="preserve">The Epistle of St. James : the Greek text with introduction, notes, comments, and Further studies in the Epistle of St. James / by James B. Mayor. -</t>
  </si>
  <si>
    <t xml:space="preserve">Bible. James. Greek. 1913.</t>
  </si>
  <si>
    <t xml:space="preserve">Minneapolis, Minn. : Klock &amp; Klock Christian Publishers, 1977, 1913.</t>
  </si>
  <si>
    <t xml:space="preserve">3rd ed. -</t>
  </si>
  <si>
    <t xml:space="preserve">4916072764:eng</t>
  </si>
  <si>
    <t xml:space="preserve">BS2785.3 .M5 1966a</t>
  </si>
  <si>
    <t xml:space="preserve">0                      BS 2785300M  5           1966a</t>
  </si>
  <si>
    <t xml:space="preserve">The Epistle of James; [a commentary, by] C. Leslie Mitton.</t>
  </si>
  <si>
    <t xml:space="preserve">Mitton, C. Leslie.</t>
  </si>
  <si>
    <t xml:space="preserve">Grand Rapids, Eerdmans [1966]</t>
  </si>
  <si>
    <t xml:space="preserve">2635269:eng</t>
  </si>
  <si>
    <t xml:space="preserve">BS2785.3 .S5 1967</t>
  </si>
  <si>
    <t xml:space="preserve">0                      BS 2785300S  5           1967</t>
  </si>
  <si>
    <t xml:space="preserve">James, Jude and 2 Peter ( based on the Revised Standard Version ); edited by E.M. Sidebottom.</t>
  </si>
  <si>
    <t xml:space="preserve">Bible. James. English. Revised Standard. 1967.</t>
  </si>
  <si>
    <t xml:space="preserve">London, Nelson, 1967.</t>
  </si>
  <si>
    <t xml:space="preserve">Century Bible. New ed.</t>
  </si>
  <si>
    <t xml:space="preserve">10792690620:eng</t>
  </si>
  <si>
    <t xml:space="preserve">BS2785.3 .S55 1998</t>
  </si>
  <si>
    <t xml:space="preserve">0                      BS 2785300S  55          1998</t>
  </si>
  <si>
    <t xml:space="preserve">James / C. Freeman Sleeper.</t>
  </si>
  <si>
    <t xml:space="preserve">Sleeper, C. Freeman (Charles Freeman)</t>
  </si>
  <si>
    <t xml:space="preserve">Nashville, TN : Abingdon Press, c1998.</t>
  </si>
  <si>
    <t xml:space="preserve">Abingdon New Testament commentaries</t>
  </si>
  <si>
    <t xml:space="preserve">14461086:eng</t>
  </si>
  <si>
    <t xml:space="preserve">BS2795.2 .E42</t>
  </si>
  <si>
    <t xml:space="preserve">0                      BS 2795200E  42</t>
  </si>
  <si>
    <t xml:space="preserve">A home for the homeless : a sociological exegesis of 1 Peter, its situation and strategy / John H. Elliott.</t>
  </si>
  <si>
    <t xml:space="preserve">Elliott, John Hall.</t>
  </si>
  <si>
    <t xml:space="preserve">Philadelphia : Fortress Press, c1981.</t>
  </si>
  <si>
    <t xml:space="preserve">370165757:eng</t>
  </si>
  <si>
    <t xml:space="preserve">BS2795.2 .E43</t>
  </si>
  <si>
    <t xml:space="preserve">0                      BS 2795200E  43</t>
  </si>
  <si>
    <t xml:space="preserve">1 Peter estrangement and community / by John H. Elliott.</t>
  </si>
  <si>
    <t xml:space="preserve">Chicago : Franciscan Herald Press, c1979.</t>
  </si>
  <si>
    <t xml:space="preserve">ilu</t>
  </si>
  <si>
    <t xml:space="preserve">Herald Biblical booklets</t>
  </si>
  <si>
    <t xml:space="preserve">14613041:eng</t>
  </si>
  <si>
    <t xml:space="preserve">BS2795.3 .B4 1970</t>
  </si>
  <si>
    <t xml:space="preserve">0                      BS 2795300B  4           1970</t>
  </si>
  <si>
    <t xml:space="preserve">The First Epistle of Peter. The Greek text with introduction and notes, edited by Francis Wright Beare.</t>
  </si>
  <si>
    <t xml:space="preserve">Beare, Francis Wright, 1902-1986.</t>
  </si>
  <si>
    <t xml:space="preserve">Oxford [Eng.] B. Blackwell, 1970.</t>
  </si>
  <si>
    <t xml:space="preserve">3d ed., rev. and enl.</t>
  </si>
  <si>
    <t xml:space="preserve">3768455707:eng</t>
  </si>
  <si>
    <t xml:space="preserve">BS2795.3 .G7 1968</t>
  </si>
  <si>
    <t xml:space="preserve">0                      BS 2795300G  7           1968</t>
  </si>
  <si>
    <t xml:space="preserve">The second epistle general of Peter, and the general epistle of Jude; an introduction and commentary, by Michael Green.</t>
  </si>
  <si>
    <t xml:space="preserve">Green, Michael, 1930-</t>
  </si>
  <si>
    <t xml:space="preserve">The Tyndale New Testament commentaries [v. 18]</t>
  </si>
  <si>
    <t xml:space="preserve">5551181:eng</t>
  </si>
  <si>
    <t xml:space="preserve">BS2795.3 .P46 1986</t>
  </si>
  <si>
    <t xml:space="preserve">0                      BS 2795300P  46          1986</t>
  </si>
  <si>
    <t xml:space="preserve">Perspectives on First Peter / edited by Charles H. Talbert.</t>
  </si>
  <si>
    <t xml:space="preserve">Macon, Ga. : Mercer University Press, c1986.</t>
  </si>
  <si>
    <t xml:space="preserve">NABPR special studies series ; no. 9</t>
  </si>
  <si>
    <t xml:space="preserve">7964440:eng</t>
  </si>
  <si>
    <t xml:space="preserve">BS2801 .M34 1973</t>
  </si>
  <si>
    <t xml:space="preserve">0                      BS 2801000M  34          1973</t>
  </si>
  <si>
    <t xml:space="preserve">The Epistles of St. John : Greek text and English translation schematically arranged / Edward Malatesta.</t>
  </si>
  <si>
    <t xml:space="preserve">Bible. Epistles of John. Greek. 1973.</t>
  </si>
  <si>
    <t xml:space="preserve">Rome : Pontifical Gregorian University, 1973.</t>
  </si>
  <si>
    <t xml:space="preserve">it </t>
  </si>
  <si>
    <t xml:space="preserve">499367505:grc</t>
  </si>
  <si>
    <t xml:space="preserve">BS2805.2 .L53 1986</t>
  </si>
  <si>
    <t xml:space="preserve">0                      BS 2805200L  53          1986</t>
  </si>
  <si>
    <t xml:space="preserve">The Second and Third Epistles of John : history and background / by Judith Lieu ; edited by John Riches.</t>
  </si>
  <si>
    <t xml:space="preserve">Lieu, Judith.</t>
  </si>
  <si>
    <t xml:space="preserve">Edinburgh : T. &amp; T. Clark, 1986.</t>
  </si>
  <si>
    <t xml:space="preserve">stk</t>
  </si>
  <si>
    <t xml:space="preserve">Studies of the New Testament and its world</t>
  </si>
  <si>
    <t xml:space="preserve">808137389:eng</t>
  </si>
  <si>
    <t xml:space="preserve">BS2805.2 .V65 1990</t>
  </si>
  <si>
    <t xml:space="preserve">0                      BS 2805200V  65          1990</t>
  </si>
  <si>
    <t xml:space="preserve">The Johannine commandments : 1 John and the struggle for the Johannine tradition / Urban C. von Wahlde.</t>
  </si>
  <si>
    <t xml:space="preserve">Von Wahlde, Urban C.</t>
  </si>
  <si>
    <t xml:space="preserve">New York : Paulist Press, c1990.</t>
  </si>
  <si>
    <t xml:space="preserve">Theological inquiries</t>
  </si>
  <si>
    <t xml:space="preserve">427967532:eng</t>
  </si>
  <si>
    <t xml:space="preserve">BS2805.3 .B77 1971</t>
  </si>
  <si>
    <t xml:space="preserve">0                      BS 2805300B  77          1971</t>
  </si>
  <si>
    <t xml:space="preserve">The Epistles of John. Introd., exposition, and notes, by F. F. Bruce.</t>
  </si>
  <si>
    <t xml:space="preserve">Bruce, F. F. (Frederick Fyvie), 1910-1990.</t>
  </si>
  <si>
    <t xml:space="preserve">Old Tappan, N.J., F. H. Revell [1971, c1970]</t>
  </si>
  <si>
    <t xml:space="preserve">nju</t>
  </si>
  <si>
    <t xml:space="preserve">5576034475:eng</t>
  </si>
  <si>
    <t xml:space="preserve">BS2805.3 .G76 1984</t>
  </si>
  <si>
    <t xml:space="preserve">0                      BS 2805300G  76          1984</t>
  </si>
  <si>
    <t xml:space="preserve">The Johannine Epistles : based on the Revised Standard version / Kenneth Grayston.</t>
  </si>
  <si>
    <t xml:space="preserve">Grayston, Kenneth.</t>
  </si>
  <si>
    <t xml:space="preserve">Grand Rapids : Eerdmans, 1984.</t>
  </si>
  <si>
    <t xml:space="preserve">New century Bible commentary</t>
  </si>
  <si>
    <t xml:space="preserve">43173473:eng</t>
  </si>
  <si>
    <t xml:space="preserve">BS2805.3 .P4</t>
  </si>
  <si>
    <t xml:space="preserve">0                      BS 2805300P  4</t>
  </si>
  <si>
    <t xml:space="preserve">The Johannine epistles / Pheme Perkins.</t>
  </si>
  <si>
    <t xml:space="preserve">Perkins, Pheme.</t>
  </si>
  <si>
    <t xml:space="preserve">Wilmington, Delaware : M. Glazier, 1979.</t>
  </si>
  <si>
    <t xml:space="preserve">New Testament message, 0894531239 ; v. 21</t>
  </si>
  <si>
    <t xml:space="preserve">3864711:eng</t>
  </si>
  <si>
    <t xml:space="preserve">BS476 .B72 1991</t>
  </si>
  <si>
    <t xml:space="preserve">0                      BS 0476000B  72          1991</t>
  </si>
  <si>
    <t xml:space="preserve">Interpretation and obedience : from faithful reading to faithful living / Walter Brueggemann.</t>
  </si>
  <si>
    <t xml:space="preserve">Brueggemann, Walter.</t>
  </si>
  <si>
    <t xml:space="preserve">327784974:eng</t>
  </si>
  <si>
    <t xml:space="preserve">BS476 .C67 2003</t>
  </si>
  <si>
    <t xml:space="preserve">0                      BS 0476000C  67          2003</t>
  </si>
  <si>
    <t xml:space="preserve">Interpreting the truth : changing the paradigm of biblical studies / L. William Countryman.</t>
  </si>
  <si>
    <t xml:space="preserve">Harrisburg, PA : Trinity Press International, c2003.</t>
  </si>
  <si>
    <t xml:space="preserve">152245347:eng</t>
  </si>
  <si>
    <t xml:space="preserve">BS476 .L48 1993</t>
  </si>
  <si>
    <t xml:space="preserve">0                      BS 0476000L  48          1993</t>
  </si>
  <si>
    <t xml:space="preserve">The Hebrew Bible, the Old Testament, and historical criticism : Jews and Christians in biblical studies / Jon D. Levenson.</t>
  </si>
  <si>
    <t xml:space="preserve">Levenson, Jon Douglas.</t>
  </si>
  <si>
    <t xml:space="preserve">Louisville, Ky. : Westminster/John Knox Press, c1993.</t>
  </si>
  <si>
    <t xml:space="preserve">1102408728:eng</t>
  </si>
  <si>
    <t xml:space="preserve">BS480 .A245 1999</t>
  </si>
  <si>
    <t xml:space="preserve">0                      BS 0480000A  245         1999</t>
  </si>
  <si>
    <t xml:space="preserve">Inspiration and authority : nature and function of Christian Scripture / Paul J. Achtemeier.</t>
  </si>
  <si>
    <t xml:space="preserve">Achtemeier, Paul J.</t>
  </si>
  <si>
    <t xml:space="preserve">Peabody, Mass. : Hendrickson Publishers, c1999.</t>
  </si>
  <si>
    <t xml:space="preserve">906485261:eng</t>
  </si>
  <si>
    <t xml:space="preserve">BS480 .C66</t>
  </si>
  <si>
    <t xml:space="preserve">0                      BS 0480000C  66</t>
  </si>
  <si>
    <t xml:space="preserve">Biblical authority or biblical tyranny? : scripture and the Christian pilgrimage / William Countryman.</t>
  </si>
  <si>
    <t xml:space="preserve">Countryman, William.</t>
  </si>
  <si>
    <t xml:space="preserve">25291338:eng</t>
  </si>
  <si>
    <t xml:space="preserve">BS535 .A57 1992</t>
  </si>
  <si>
    <t xml:space="preserve">0                      BS 0535000A  57          1992</t>
  </si>
  <si>
    <t xml:space="preserve">The world of biblical literature / Robert Alter.</t>
  </si>
  <si>
    <t xml:space="preserve">Alter, Robert.</t>
  </si>
  <si>
    <t xml:space="preserve">[New York] : BasicBooks, c1992.</t>
  </si>
  <si>
    <t xml:space="preserve">20760140:eng</t>
  </si>
  <si>
    <t xml:space="preserve">BS537 .S541 1983</t>
  </si>
  <si>
    <t xml:space="preserve">0                      BS 0537000S  541         1983</t>
  </si>
  <si>
    <t xml:space="preserve">Biblical words and their meaning : an introduction to lexical semantics / Moisés Silva.</t>
  </si>
  <si>
    <t xml:space="preserve">Silva, Moisés.</t>
  </si>
  <si>
    <t xml:space="preserve">Grand Rapids, Mich. : Zondervan Pub., c1983.</t>
  </si>
  <si>
    <t xml:space="preserve">10478370:eng</t>
  </si>
  <si>
    <t xml:space="preserve">BS543 .R35 1989</t>
  </si>
  <si>
    <t xml:space="preserve">0                      BS 0543000R  35          1989</t>
  </si>
  <si>
    <t xml:space="preserve">Plain words about biblical images : growing in our faith through the Scriptures / Margaret Nutting Ralph.</t>
  </si>
  <si>
    <t xml:space="preserve">Ralph, Margaret Nutting.</t>
  </si>
  <si>
    <t xml:space="preserve">New York : Paulist Press, c1989.</t>
  </si>
  <si>
    <t xml:space="preserve">16521865:eng</t>
  </si>
  <si>
    <t xml:space="preserve">BS543.A1 S82 no.17</t>
  </si>
  <si>
    <t xml:space="preserve">0                      BS 0543000A  1                  S  82                                no.17</t>
  </si>
  <si>
    <t xml:space="preserve">The Christology of early Jewish Christianity [by] Richard N. Longenecker. --</t>
  </si>
  <si>
    <t xml:space="preserve">no.17*</t>
  </si>
  <si>
    <t xml:space="preserve">Longenecker, Richard N.</t>
  </si>
  <si>
    <t xml:space="preserve">Naperville, Ill., A. R. Allenson [c1970]</t>
  </si>
  <si>
    <t xml:space="preserve">Studies in biblical theology ; 2d ser., 17</t>
  </si>
  <si>
    <t xml:space="preserve">1259649:eng</t>
  </si>
  <si>
    <t xml:space="preserve">BS543.A1 S82 no.18</t>
  </si>
  <si>
    <t xml:space="preserve">0                      BS 0543000A  1                  S  82                                no.18</t>
  </si>
  <si>
    <t xml:space="preserve">The sign of Jonah in the theology of the Evangelists and Q.</t>
  </si>
  <si>
    <t xml:space="preserve">no.18*</t>
  </si>
  <si>
    <t xml:space="preserve">Edwards, Richard Alan.</t>
  </si>
  <si>
    <t xml:space="preserve">Naperville, Ill. : A. R. Allenson, [1971?]</t>
  </si>
  <si>
    <t xml:space="preserve">Studies in biblical theology ; 2d ser., 18</t>
  </si>
  <si>
    <t xml:space="preserve">9294970483:eng</t>
  </si>
  <si>
    <t xml:space="preserve">BS543.A1 S82 no.19</t>
  </si>
  <si>
    <t xml:space="preserve">0                      BS 0543000A  1                  S  82                                no.19</t>
  </si>
  <si>
    <t xml:space="preserve">The obedience of faith; the purposes of Paul in the Epistle to the Romans [by] Paul S. Minear.</t>
  </si>
  <si>
    <t xml:space="preserve">no.19*</t>
  </si>
  <si>
    <t xml:space="preserve">Minear, Paul S. (Paul Sevier), 1906-2007.</t>
  </si>
  <si>
    <t xml:space="preserve">Naperville, Ill., A. R. Allenson [1971]</t>
  </si>
  <si>
    <t xml:space="preserve">Studies in biblical theology ; 2d ser., 19</t>
  </si>
  <si>
    <t xml:space="preserve">866518454:eng</t>
  </si>
  <si>
    <t xml:space="preserve">BS571 .W548 1991</t>
  </si>
  <si>
    <t xml:space="preserve">0                      BS 0571000W  548         1991</t>
  </si>
  <si>
    <t xml:space="preserve">Sages and dreamers : biblical, talmudic, and hasidic portraits and legends / Elie Wiesel.</t>
  </si>
  <si>
    <t xml:space="preserve">Wiesel, Elie, 1928-2016.</t>
  </si>
  <si>
    <t xml:space="preserve">New York : Summit Books, c1991.</t>
  </si>
  <si>
    <t xml:space="preserve">25038448:eng</t>
  </si>
  <si>
    <t xml:space="preserve">BS572 .G3714(non LC)</t>
  </si>
  <si>
    <t xml:space="preserve">0                      BS 0572000                                                           .G3714(non LC)</t>
  </si>
  <si>
    <t xml:space="preserve">The Trinity and God the creator : a commentary on St. Thomas' Theological Summa, Ia, q. 27-119 / by Reginald Garrigou-Lagrange ; translated by Frederic C. Eckhoff.</t>
  </si>
  <si>
    <t xml:space="preserve">Garrigou-Lagrange, Réginald, 1877-1964.</t>
  </si>
  <si>
    <t xml:space="preserve">St. Louis ; London : B. Herder, 1952.</t>
  </si>
  <si>
    <t xml:space="preserve">2908620814:eng</t>
  </si>
  <si>
    <t xml:space="preserve">BS575 .C28</t>
  </si>
  <si>
    <t xml:space="preserve">0                      BS 0575000C  28</t>
  </si>
  <si>
    <t xml:space="preserve">Women, law, and the Genesis traditions / Calum M. Carmichael.</t>
  </si>
  <si>
    <t xml:space="preserve">Edinburgh : Edinburgh University Press, c1979.</t>
  </si>
  <si>
    <t xml:space="preserve">21609951:eng</t>
  </si>
  <si>
    <t xml:space="preserve">BS612 .B77 1990</t>
  </si>
  <si>
    <t xml:space="preserve">0                      BS 0612000B  77          1990</t>
  </si>
  <si>
    <t xml:space="preserve">Responses to 101 questions on the Bible / by Raymond E. Brown.</t>
  </si>
  <si>
    <t xml:space="preserve">2278912764:eng</t>
  </si>
  <si>
    <t xml:space="preserve">BS621 .B76 1983</t>
  </si>
  <si>
    <t xml:space="preserve">0                      BS 0621000B  76          1983</t>
  </si>
  <si>
    <t xml:space="preserve">Recent discoveries and the Biblical world / Raymond E. Brown.</t>
  </si>
  <si>
    <t xml:space="preserve">Wilmington, Del. : M. Glazier, 1983.</t>
  </si>
  <si>
    <t xml:space="preserve">Background books</t>
  </si>
  <si>
    <t xml:space="preserve">3468786:eng</t>
  </si>
  <si>
    <t xml:space="preserve">BS709.4 .C47 1986</t>
  </si>
  <si>
    <t xml:space="preserve">0                      BS 0709400C  47          1986</t>
  </si>
  <si>
    <t xml:space="preserve">Targumic approaches to the Gospels : essays in the mutual definition of Judaism and Christianity / Bruce Chilton.</t>
  </si>
  <si>
    <t xml:space="preserve">Lanham, MD : University Press of America, c1986.</t>
  </si>
  <si>
    <t xml:space="preserve">mdu</t>
  </si>
  <si>
    <t xml:space="preserve">Studies in Judaism</t>
  </si>
  <si>
    <t xml:space="preserve">433715507:eng</t>
  </si>
  <si>
    <t xml:space="preserve">BS718 .J313</t>
  </si>
  <si>
    <t xml:space="preserve">0                      BS 0718000J  313</t>
  </si>
  <si>
    <t xml:space="preserve">Introduction to the Rabbinic Bible.</t>
  </si>
  <si>
    <t xml:space="preserve">Jacob ben Ḥayyim ben Isaac ibn Adonijah, approximately 1470-approximately 1538.</t>
  </si>
  <si>
    <t xml:space="preserve">New York, Ktav [c1968, 1867]</t>
  </si>
  <si>
    <t xml:space="preserve">The library of Biblical studies</t>
  </si>
  <si>
    <t xml:space="preserve">3856472089:eng</t>
  </si>
  <si>
    <t xml:space="preserve">HX237 .A52 1976</t>
  </si>
  <si>
    <t xml:space="preserve">Considerations on Western Marxism / [by] Perry Anderson.</t>
  </si>
  <si>
    <t xml:space="preserve">Wishart</t>
  </si>
  <si>
    <t xml:space="preserve">HX273 .L83213 2004</t>
  </si>
  <si>
    <t xml:space="preserve">The Rosa Luxemburg reader / edited by Peter Hudis and Kevin B. Anderson.</t>
  </si>
  <si>
    <t xml:space="preserve">HX273.L83 R585 1999</t>
  </si>
  <si>
    <t xml:space="preserve">Rosa Luxemburg : reflections and writings / edited by Paul Le Blanc.</t>
  </si>
  <si>
    <t xml:space="preserve">HX36 .F68 1996</t>
  </si>
  <si>
    <t xml:space="preserve">From Marx to Gramsci : a reader in revolutionary Marxist politics / historical overview and selection by Paul Le Blanc.</t>
  </si>
  <si>
    <t xml:space="preserve">HX36 .J22</t>
  </si>
  <si>
    <t xml:space="preserve">Dialectic of defeat : contours of Western Marxism / Russell Jacoby.</t>
  </si>
  <si>
    <t xml:space="preserve">HX39.5 .M378</t>
  </si>
  <si>
    <t xml:space="preserve">Marxism in Marx's day / edited by Eric J. Hobsbawm.</t>
  </si>
  <si>
    <t xml:space="preserve">HX514 .V83 2001</t>
  </si>
  <si>
    <t xml:space="preserve">Einstein and Soviet ideology / Alexander Vucinich.</t>
  </si>
  <si>
    <t xml:space="preserve">HX546 .E55 1987</t>
  </si>
  <si>
    <t xml:space="preserve">Engels revisited : new feminist essays / edited by Janet Sayers, Mary Evans, and Nanneke Redclift.</t>
  </si>
  <si>
    <t xml:space="preserve">HX546 .L66 2000</t>
  </si>
  <si>
    <t xml:space="preserve">Men's feminism : August Bebel and the German socialist movement / Anne Lopes and Gary Roth.</t>
  </si>
  <si>
    <t xml:space="preserve">HX56 .M318</t>
  </si>
  <si>
    <t xml:space="preserve">Soviet Marxism, a critical analysis.</t>
  </si>
  <si>
    <t xml:space="preserve">HX73 .M533 2003</t>
  </si>
  <si>
    <t xml:space="preserve">From class to race : essays in white Marxism and Black radicalism / Charles W. Mills.</t>
  </si>
  <si>
    <t xml:space="preserve">B3305.M74 G65 1980</t>
  </si>
  <si>
    <t xml:space="preserve">Marx's social ontology : individuality and community in Marx's theory of social reality / Carol C. Gould.</t>
  </si>
  <si>
    <t xml:space="preserve">B3305.M74 M3513 1978</t>
  </si>
  <si>
    <t xml:space="preserve">The aesthetic dimension : toward a critique of Marxist aesthetics / Herbert Marcuse.</t>
  </si>
  <si>
    <t xml:space="preserve">E161 .C85 2002</t>
  </si>
  <si>
    <t xml:space="preserve">The art of democracy : a concise history of popular culture in the United States / by Jim Cullen.</t>
  </si>
  <si>
    <t xml:space="preserve">E183.8.M628 A2413 2002</t>
  </si>
  <si>
    <t xml:space="preserve">The clash of barbarisms : September 11 and the making of the new world disorder / Gilbert Achcar ; translated by Peter Drucker.</t>
  </si>
  <si>
    <t xml:space="preserve">E469.8 .M374</t>
  </si>
  <si>
    <t xml:space="preserve">The Civil War in the United States.</t>
  </si>
  <si>
    <t xml:space="preserve">HN8 .T73 1990</t>
  </si>
  <si>
    <t xml:space="preserve">Transforming the revolution : social movements and the world-system / Samir Amin ... [et al.].</t>
  </si>
  <si>
    <t xml:space="preserve">HB71 .B659</t>
  </si>
  <si>
    <t xml:space="preserve">Evolutionary economics / by Kenneth E. Boulding.</t>
  </si>
  <si>
    <t xml:space="preserve">E111 .K65 1991</t>
  </si>
  <si>
    <t xml:space="preserve">Columbus : his enterprise : exploding the myth / by Hans Koning ; including, Columbus in the classroom, by Bill Bigelow.</t>
  </si>
  <si>
    <t xml:space="preserve">GN479.7 .L4</t>
  </si>
  <si>
    <t xml:space="preserve">Myths of male dominance : collected papers on women cross culturally / by Eleanor Burke Leacock.</t>
  </si>
  <si>
    <t xml:space="preserve">GN479.65 .O77 1996</t>
  </si>
  <si>
    <t xml:space="preserve">Making gender : the politics and erotics of culture / Sherry B. Ortner.</t>
  </si>
  <si>
    <t xml:space="preserve">HM131 .P3</t>
  </si>
  <si>
    <t xml:space="preserve">The alienation of modern man; an interpretation based on Marx and Tönnies.</t>
  </si>
  <si>
    <t xml:space="preserve">HM646 .P35 2000</t>
  </si>
  <si>
    <t xml:space="preserve">Cultures of darkness : night travels in the histories of transgression / Bryan D. Palmer.</t>
  </si>
  <si>
    <t xml:space="preserve">HM131 .N455 1989</t>
  </si>
  <si>
    <t xml:space="preserve">Networks of power : organizational actors at the national, corporate, and community levels / Robert Perrucci and Harry R. Potter, editors.</t>
  </si>
  <si>
    <t xml:space="preserve">HM131 .P382 1986</t>
  </si>
  <si>
    <t xml:space="preserve">Complex organizations : a critical essay / Charles Perrow ; academic consultants, Albert J. Reiss, Jr., Harold L. Wilensky.</t>
  </si>
  <si>
    <t xml:space="preserve">HM15 .P3 1954</t>
  </si>
  <si>
    <t xml:space="preserve">Essays in sociological theory.</t>
  </si>
  <si>
    <t xml:space="preserve">HM19 .H53</t>
  </si>
  <si>
    <t xml:space="preserve">A History of sociological analysis / Tom Bottomore &amp; Robert Nisbet, editors.</t>
  </si>
  <si>
    <t xml:space="preserve">HM19 .T97 1989</t>
  </si>
  <si>
    <t xml:space="preserve">The emergence of sociological theory / Jonathan H. Turner, Leonard Beeghley, Charles H. Powers.</t>
  </si>
  <si>
    <t xml:space="preserve">HM22.F8 D845 1972</t>
  </si>
  <si>
    <t xml:space="preserve">Émile Durkheim; his life and work, a historical and critical study.</t>
  </si>
  <si>
    <t xml:space="preserve">HM22.F8 D869 1989</t>
  </si>
  <si>
    <t xml:space="preserve">The radical Durkheim / Frank Pearce.</t>
  </si>
  <si>
    <t xml:space="preserve">HM22.F8 D88</t>
  </si>
  <si>
    <t xml:space="preserve">Emile Durkheim, 1858-1917; a collection of essays, with translations and a bibliography. Contributors: Charles Blend [and others]</t>
  </si>
  <si>
    <t xml:space="preserve">HM22.U5 I53 1995</t>
  </si>
  <si>
    <t xml:space="preserve">Individual voices, collective visions : fifty years of women in sociology / edited by Ann Goetting and Sarah Fenstermaker.</t>
  </si>
  <si>
    <t xml:space="preserve">HM22.U5 S8</t>
  </si>
  <si>
    <t xml:space="preserve">Social Darwinism : selected essays / with an introd. by Stow Persons.</t>
  </si>
  <si>
    <t xml:space="preserve">HM24 .C764 1991</t>
  </si>
  <si>
    <t xml:space="preserve">Critical theory now / edited by Philip Wexler.</t>
  </si>
  <si>
    <t xml:space="preserve">HM24 .T554 1985</t>
  </si>
  <si>
    <t xml:space="preserve">Three sociological traditions, selected readings / edited by Randall Collins.</t>
  </si>
  <si>
    <t xml:space="preserve">HM24 .T84 1991</t>
  </si>
  <si>
    <t xml:space="preserve">The structure of sociological theory / Jonathan H. Turner with contributions by Alexandra Maryanski and Stephan Fuchs.</t>
  </si>
  <si>
    <t xml:space="preserve">HM251 .F77725 1994</t>
  </si>
  <si>
    <t xml:space="preserve">The Erich Fromm reader / Erich Fromm ; readings selected and edited by Rainer Funk ; foreword by Joel Kovel.</t>
  </si>
  <si>
    <t xml:space="preserve">HM251 .L4748 1990</t>
  </si>
  <si>
    <t xml:space="preserve">Life as theater : a dramaturgical sourcebook / Dennis Brissett and Charles Edgley, editors.</t>
  </si>
  <si>
    <t xml:space="preserve">HM251 .M4192 1982</t>
  </si>
  <si>
    <t xml:space="preserve">The individual and the social self : unpublished work of George Herbert Mead / edited with an introduction by David L. Miller.</t>
  </si>
  <si>
    <t xml:space="preserve">HM251 .M4639 1992</t>
  </si>
  <si>
    <t xml:space="preserve">The individual in a social world : essays and experiments / Stanley Milgram ; edited by John Sabini, Maury Silver.</t>
  </si>
  <si>
    <t xml:space="preserve">HM271 .G27 1983</t>
  </si>
  <si>
    <t xml:space="preserve">The anatomy of power / John Kenneth Galbraith.</t>
  </si>
  <si>
    <t xml:space="preserve">HM51 .L357 1991</t>
  </si>
  <si>
    <t xml:space="preserve">Human societies : an introduction to macrosociology / Gerhard Lenski, Jean Lenski, Patrick Nolan.</t>
  </si>
  <si>
    <t xml:space="preserve">HM51 .P34</t>
  </si>
  <si>
    <t xml:space="preserve">American sociology; perspectives, problems, methods, edited by Talcott Parsons.</t>
  </si>
  <si>
    <t xml:space="preserve">HM511 .B43 2007</t>
  </si>
  <si>
    <t xml:space="preserve">Telling about society / Howard S. Becker.</t>
  </si>
  <si>
    <t xml:space="preserve">HM57 .M33 1964</t>
  </si>
  <si>
    <t xml:space="preserve">Selected writings in sociology &amp; social philosophy. Newly translated by T. B. Bottomore. Edited, with an introd. and notes, by Mr. Bottomore and Maximilien Rubel, and with a foreword by Erich Fromm.</t>
  </si>
  <si>
    <t xml:space="preserve">HM671 .F43 2001</t>
  </si>
  <si>
    <t xml:space="preserve">Liberation sociology / Joe R. Feagin and Hernán Vera.</t>
  </si>
  <si>
    <t xml:space="preserve">HT1521 .D38</t>
  </si>
  <si>
    <t xml:space="preserve">Women, race, &amp; class / Angela Y. Davis.</t>
  </si>
  <si>
    <t xml:space="preserve">NK1071 .Y34 1972</t>
  </si>
  <si>
    <t xml:space="preserve">The unknown craftsman : a Japanese insight into beauty / [by] Sōetsu Yanagi. Adapted by Bernard Leach. Foreword by Shōji Hamada.</t>
  </si>
  <si>
    <t xml:space="preserve">AM Nelson</t>
  </si>
  <si>
    <t xml:space="preserve">NK1071 .M66 1985</t>
  </si>
  <si>
    <t xml:space="preserve">Mingei : Japanese folk art from the Brooklyn Museum collection / Robert Moes ; Ainu section by Anne Pike Tay.</t>
  </si>
  <si>
    <t xml:space="preserve">NK1071 .J375 2001</t>
  </si>
  <si>
    <t xml:space="preserve">Japanese crafts : a complete guide to today's traditional handmade objects / the Japan Craft Forum ; introduction by Diane Durston.</t>
  </si>
  <si>
    <t xml:space="preserve">NK1142 .S7 1985</t>
  </si>
  <si>
    <t xml:space="preserve">Redesigning the world : William Morris, the 1880s, and the Arts and Crafts / Peter Stansky.</t>
  </si>
  <si>
    <t xml:space="preserve">NK4007 .C56 1987</t>
  </si>
  <si>
    <t xml:space="preserve">American ceramics, 1876 to the present / by Garth Clark.</t>
  </si>
  <si>
    <t xml:space="preserve">NK4008 .L67 1990</t>
  </si>
  <si>
    <t xml:space="preserve">Clay today : contemporary ceramists and their work : a catalogue of the Howard and Gwen Laurie Smits Collection at the Los Angeles County Museum of Art / Martha Drexler Lynn.</t>
  </si>
  <si>
    <t xml:space="preserve">NK4210.H32 L4 1990</t>
  </si>
  <si>
    <t xml:space="preserve">Hamada, potter / by Bernard Leach ; with a new preface by Warren MacKenzie ; foreword by Janet Darnell Leach.</t>
  </si>
  <si>
    <t xml:space="preserve">NK4210.R5 B57 1989</t>
  </si>
  <si>
    <t xml:space="preserve">Lucie Rie / Tony Birks.</t>
  </si>
  <si>
    <t xml:space="preserve">NK4235 .F54 2005</t>
  </si>
  <si>
    <t xml:space="preserve">The figure in clay : contemporary sculpting techniques by master artists, Arleo, Boger, Burns, González, Jeck, Novak, Smith, Takamori, Walsh / [editor, Suzanne J..E. Tourtillott].</t>
  </si>
  <si>
    <t xml:space="preserve">NK4605.5.U63 C482 1996a</t>
  </si>
  <si>
    <t xml:space="preserve">Sexual politics : Judy Chicago's Dinner party in feminist art history / Amelia Jones, editor ; with essays by Laura Cottingham ... [et al.].</t>
  </si>
  <si>
    <t xml:space="preserve">NK808 .O25 2001</t>
  </si>
  <si>
    <t xml:space="preserve">Objects for use : handmade by design / Paul J. Smith, general editor ; essays by Paul J. Smith and Akiko Busch.</t>
  </si>
  <si>
    <t xml:space="preserve">NX180.A77 S83 1994</t>
  </si>
  <si>
    <t xml:space="preserve">The Subversive imagination : artists, society, and social responsibility / edited by Carol Becker.</t>
  </si>
  <si>
    <t xml:space="preserve">NX180.F4 R384 1988</t>
  </si>
  <si>
    <t xml:space="preserve">Crossing over : feminism and art of social concern / by Arlene Raven.</t>
  </si>
  <si>
    <t xml:space="preserve">NX180.F4 S49 1992</t>
  </si>
  <si>
    <t xml:space="preserve">Sexuality, the female gaze, and the arts : women, the arts, and society / edited by Ronald Dotterer and Susan Bowers.</t>
  </si>
  <si>
    <t xml:space="preserve">NX180.S6 K36 1990</t>
  </si>
  <si>
    <t xml:space="preserve">The arts : a social perspective / Max Kaplan.</t>
  </si>
  <si>
    <t xml:space="preserve">NX180.S6 O97 1990</t>
  </si>
  <si>
    <t xml:space="preserve">Out there : marginalization and contemporary cultures / edited by Russell Ferguson ... [et al.] ; foreword by Marcia Tucker ; images selected by Félix González-Torres.</t>
  </si>
  <si>
    <t xml:space="preserve">NX456.5.D3 D32513 1990</t>
  </si>
  <si>
    <t xml:space="preserve">The Dada movement, 1915-1923 / Marc Dachy.</t>
  </si>
  <si>
    <t xml:space="preserve">NX504 .M44 1991</t>
  </si>
  <si>
    <t xml:space="preserve">Engendering culture : manhood and womanhood in New Deal public art and theater / Barbara Melosh.</t>
  </si>
  <si>
    <t xml:space="preserve">NX504.A1 D36 2002</t>
  </si>
  <si>
    <t xml:space="preserve">Headin' for better times : the arts of the great depression / Duane Damon.</t>
  </si>
  <si>
    <t xml:space="preserve">NX600.D3 L5</t>
  </si>
  <si>
    <t xml:space="preserve">Dadas on art / edited by Lucy R. Lippard.</t>
  </si>
  <si>
    <t xml:space="preserve">N6535.S3 J66 1990</t>
  </si>
  <si>
    <t xml:space="preserve">Bay Area figurative art, 1950-1965 / Caroline A. Jones.</t>
  </si>
  <si>
    <t xml:space="preserve">N6537.A675 A4 1985</t>
  </si>
  <si>
    <t xml:space="preserve">Robert Arneson : a retrospective / Neal Benezra.</t>
  </si>
  <si>
    <t xml:space="preserve">N6537.C48 A4 1985</t>
  </si>
  <si>
    <t xml:space="preserve">The birth project / by Judy Chicago.</t>
  </si>
  <si>
    <t xml:space="preserve">N6537.H4 L56</t>
  </si>
  <si>
    <t xml:space="preserve">Eva Hesse / Lucy R. Lippard.</t>
  </si>
  <si>
    <t xml:space="preserve">N6537.O39 H64 1992</t>
  </si>
  <si>
    <t xml:space="preserve">O'Keeffe : the life of an American legend / by Jeffrey Hogrefe.</t>
  </si>
  <si>
    <t xml:space="preserve">N6537.O39 P65 1988</t>
  </si>
  <si>
    <t xml:space="preserve">A woman on paper : Georgia O'Keeffe / by Anita Pollitzer ; introduction by Kay Boyle.</t>
  </si>
  <si>
    <t xml:space="preserve">N7350 .A75 1965</t>
  </si>
  <si>
    <t xml:space="preserve">Mingei : folk arts of old Japan / by Hugo Munsterberg.</t>
  </si>
  <si>
    <t xml:space="preserve">N7428 .L56 1983</t>
  </si>
  <si>
    <t xml:space="preserve">Overlay : contemporary art and the art of prehistory / by Lucy R. Lippard.</t>
  </si>
  <si>
    <t xml:space="preserve">N7445.2 .G74 1988</t>
  </si>
  <si>
    <t xml:space="preserve">The collected essays and criticism / Clement Greenberg ; edited by John O'Brian.</t>
  </si>
  <si>
    <t xml:space="preserve">N7445.2 .S62</t>
  </si>
  <si>
    <t xml:space="preserve">The writings of Robert Smithson : essays with illustrations / edited by Nancy Holt ; introd. by Philip Leider ; designed by Sol LeWitt.</t>
  </si>
  <si>
    <t xml:space="preserve">NB237.H42 A4 1989</t>
  </si>
  <si>
    <t xml:space="preserve">Eva Hesse : sculpture : catalogue raisonné / by Bill Barrette.</t>
  </si>
  <si>
    <t xml:space="preserve">NB237.S5694 H6</t>
  </si>
  <si>
    <t xml:space="preserve">Robert Smithson--sculpture / Robert Hobbs ; with contributions by Lawrence Alloway, John Coplans, Lucy R. Lippard.</t>
  </si>
  <si>
    <t xml:space="preserve">P1035 .C54 1987</t>
  </si>
  <si>
    <t xml:space="preserve">Linear B and related scripts / John Chadwick.</t>
  </si>
  <si>
    <t xml:space="preserve">Fajardo Acosta</t>
  </si>
  <si>
    <t xml:space="preserve">P1035 .G67</t>
  </si>
  <si>
    <t xml:space="preserve">Evidence for the Minoan language, by Cyrus H. Gordon.</t>
  </si>
  <si>
    <t xml:space="preserve">P1035 .P28</t>
  </si>
  <si>
    <t xml:space="preserve">Minoan Linear A / by David W. Packard.</t>
  </si>
  <si>
    <t xml:space="preserve">P1035 .P6 1964</t>
  </si>
  <si>
    <t xml:space="preserve">Aegean writing and Linear A / by Maurice Pope.</t>
  </si>
  <si>
    <t xml:space="preserve">P123 .B3813 1968b</t>
  </si>
  <si>
    <t xml:space="preserve">Elements of semiology / Translated from the French by Annette Lavers and Colin Smith.</t>
  </si>
  <si>
    <t xml:space="preserve">P131 .G76</t>
  </si>
  <si>
    <t xml:space="preserve">Über den Ursprung der Sprache; gelesen in der Preussischen Akademie der Wissenschaften am 9. January 1851. Mit einem Nachwort von M. Rassem.</t>
  </si>
  <si>
    <t xml:space="preserve">P132 .L53 1984</t>
  </si>
  <si>
    <t xml:space="preserve">The biology and evolution of language / Philip Lieberman.</t>
  </si>
  <si>
    <t xml:space="preserve">P211 .S69 1983</t>
  </si>
  <si>
    <t xml:space="preserve">The implications of literacy : written language and models of interpretation in the eleventh and twelfth centuries / Brian Stock.</t>
  </si>
  <si>
    <t xml:space="preserve">P221 .J3</t>
  </si>
  <si>
    <t xml:space="preserve">Fundamentals of language, by Roman Jakobson and Morris Halle.</t>
  </si>
  <si>
    <t xml:space="preserve">P27 .S33</t>
  </si>
  <si>
    <t xml:space="preserve">Selected writings of Edward Sapir in language, culture and personality edited by David G. Mandelbaum</t>
  </si>
  <si>
    <t xml:space="preserve">P27 .S33 1956</t>
  </si>
  <si>
    <t xml:space="preserve">Culture, language and personality : selected essays / edited by David G. Mandelbaum.</t>
  </si>
  <si>
    <t xml:space="preserve">P291 .C4</t>
  </si>
  <si>
    <t xml:space="preserve">Aspects of the theory of syntax.</t>
  </si>
  <si>
    <t xml:space="preserve">P525 .R46 1990</t>
  </si>
  <si>
    <t xml:space="preserve">Archaeology and language : the puzzle of Indo-European origins / Colin Renfrew.</t>
  </si>
  <si>
    <t xml:space="preserve">P575 .S913 1996</t>
  </si>
  <si>
    <t xml:space="preserve">Introduction to Indo-European linguistics / Oswald J.L. Szemerényi.</t>
  </si>
  <si>
    <t xml:space="preserve">P577 .L4</t>
  </si>
  <si>
    <t xml:space="preserve">The Indo-European and Semitic languages; an exploration of structural similarities related to accent, chiefly in Greek, Sanskrit, and Hebrew.</t>
  </si>
  <si>
    <t xml:space="preserve">P85.S18 C8 1986</t>
  </si>
  <si>
    <t xml:space="preserve">Ferdinand de Saussure / Jonathan Culler.</t>
  </si>
  <si>
    <t xml:space="preserve">P91 .M27 1969</t>
  </si>
  <si>
    <t xml:space="preserve">Counter blast / [by] Marshall McLuhan. Designed by Harley Parker.</t>
  </si>
  <si>
    <t xml:space="preserve">P91 .M276 1970</t>
  </si>
  <si>
    <t xml:space="preserve">From cliche to archetype / [by] Marshall McLuhan with Wilfred Watson.</t>
  </si>
  <si>
    <t xml:space="preserve">P96.T42 M38 1992</t>
  </si>
  <si>
    <t xml:space="preserve">The global village : transformations in world life and media in the 21st century / Marshall McLuhan and Bruce R. Powers.</t>
  </si>
  <si>
    <t xml:space="preserve">P99 .B29514 1970</t>
  </si>
  <si>
    <t xml:space="preserve">S/Z / Roland Barthes.</t>
  </si>
  <si>
    <t xml:space="preserve">P99 .E2713 2000</t>
  </si>
  <si>
    <t xml:space="preserve">Kant and the platypus : essays on language and cognition / Umberto Eco ; translated from the Italian by Alastair McEwen.</t>
  </si>
  <si>
    <t xml:space="preserve">P99 .P4 1977</t>
  </si>
  <si>
    <t xml:space="preserve">Semiotic and significs : the correspondence between Charles S. Peirce and Lady Victoria Welby / edited by Charles S. Hardwick, with the assistance of James Cook.</t>
  </si>
  <si>
    <t xml:space="preserve">P99 .S324 1986</t>
  </si>
  <si>
    <t xml:space="preserve">I think I am a verb : more contributions to the doctrine of signs / Thomas A. Sebeok.</t>
  </si>
  <si>
    <t xml:space="preserve">P99 .S47</t>
  </si>
  <si>
    <t xml:space="preserve">Sight, sound, and sense / edited by Thomas A. Sebeok.</t>
  </si>
  <si>
    <t xml:space="preserve">P99 .T613 1982</t>
  </si>
  <si>
    <t xml:space="preserve">Theories of the symbol / Tzvetan Todorov ; Catherine Porter, translator.</t>
  </si>
  <si>
    <t xml:space="preserve">P105 .B58 1966</t>
  </si>
  <si>
    <t xml:space="preserve">Introduction to Handbook of American Indian languages [by] Franz Boas. Indian linguistic families of America north of Mexico [by] J. W. Powell. Edited by Preston Holder.</t>
  </si>
  <si>
    <t xml:space="preserve">P106 .O5</t>
  </si>
  <si>
    <t xml:space="preserve">The presence of the word; some prolegomena for cultural and religious history, by Walter J. Ong.</t>
  </si>
  <si>
    <t xml:space="preserve">P107 .S93 2001</t>
  </si>
  <si>
    <t xml:space="preserve">Words of the world : the global language system / Abram de Swaan.</t>
  </si>
  <si>
    <t xml:space="preserve">P1078 .B58 1983</t>
  </si>
  <si>
    <t xml:space="preserve">The Etruscan language : an introduction / Giuliano Bonfante and Larissa Bonfante.</t>
  </si>
  <si>
    <t xml:space="preserve">P211 .M16 1975</t>
  </si>
  <si>
    <t xml:space="preserve">The antiquity of the Greek alphabet and the early Phoenician scripts / by P. Kyle McCarter, Jr. --</t>
  </si>
  <si>
    <t xml:space="preserve">P211 .N29 1987</t>
  </si>
  <si>
    <t xml:space="preserve">Early history of the alphabet : an introduction to West Semitic epigraphy and palaeography / by Joseph Naveh.</t>
  </si>
  <si>
    <t xml:space="preserve">P27 .C5</t>
  </si>
  <si>
    <t xml:space="preserve">Chomsky : selected readings / edited by J. P. B. Allen and Paul Van Buren.</t>
  </si>
  <si>
    <t xml:space="preserve">P572 .G3613 1995</t>
  </si>
  <si>
    <t xml:space="preserve">Indo-European and the Indo-Europeans : a reconstruction and historical analysis of a proto-language and a proto-culture / by Thomas V. Gamkrelidze, Vjačeslav V. Ivanov ; with a preface by Roman Jakobson ; English version by Johanna Nichols ; edited by Werner Winter.</t>
  </si>
  <si>
    <t xml:space="preserve">P575 .H8</t>
  </si>
  <si>
    <t xml:space="preserve">A short introduction to the study of comparative grammar (Indo-European)</t>
  </si>
  <si>
    <t xml:space="preserve">P99 .O37 2005</t>
  </si>
  <si>
    <t xml:space="preserve">Sensus spiritualis : studies in medieval significs and the philology of culture / Friedrich Ohly ; edited and with an epilogue by Samuel P. Jaffe ; translated by Kenneth J. Northcott.</t>
  </si>
  <si>
    <t xml:space="preserve">PB1421 .G7 1970b</t>
  </si>
  <si>
    <t xml:space="preserve">Gods and fighting men : the story of the Tuatha de Danaan and of the Fianna of Ireland / arranged and put into English, by Lady Gregory. With a pref. by W. B. Yeats and a foreword by Daniel Murphy.</t>
  </si>
  <si>
    <t xml:space="preserve">PB1421 .Y4</t>
  </si>
  <si>
    <t xml:space="preserve">Irish fairy and folk tales.</t>
  </si>
  <si>
    <t xml:space="preserve">PB1423.C8 G7 1970a</t>
  </si>
  <si>
    <t xml:space="preserve">Cuchulain of Muirthemne : the story of the men of the Red Branch of Ulster. Arr. and put into English by Lady Gregory / with a pref. by W. B. Yeats; and a foreword by Daniel Murphy.</t>
  </si>
  <si>
    <t xml:space="preserve">PB2363.M2 J6 2000</t>
  </si>
  <si>
    <t xml:space="preserve">The Mabinogion / translated by Gwyn Jones and Thomas Jones, with an introduction by Gwyn Jones and a preface by John Updike.</t>
  </si>
  <si>
    <t xml:space="preserve">PC2075 .P6 1952</t>
  </si>
  <si>
    <t xml:space="preserve">From Latin to modern French, with especial consideration of Anglo-Norman; phonology and morphology.</t>
  </si>
  <si>
    <t xml:space="preserve">PC2625 .L53</t>
  </si>
  <si>
    <t xml:space="preserve">Larousse de la langue française. --V. 1</t>
  </si>
  <si>
    <t xml:space="preserve">Larousse de la langue française. --V. 2</t>
  </si>
  <si>
    <t xml:space="preserve">PC3301 .J3 1973</t>
  </si>
  <si>
    <t xml:space="preserve">Histoire sommaire de la poésie occitane des origines a la fin du XVIIIe siècle / Alfred Jeanroy. --</t>
  </si>
  <si>
    <t xml:space="preserve">PC3304 .A57 1973</t>
  </si>
  <si>
    <t xml:space="preserve">Histoire sommaire de la littérature méridionale au Moyen Age; des origines à la fin du XVe siècle.</t>
  </si>
  <si>
    <t xml:space="preserve">PC3304 .B683 1965</t>
  </si>
  <si>
    <t xml:space="preserve">The troubadours. Translated from the French by the author. Edited by Lawrence F. Koons.</t>
  </si>
  <si>
    <t xml:space="preserve">PC3304 .L54</t>
  </si>
  <si>
    <t xml:space="preserve">The troubadours &amp; their world of the twelfth and thirteenth centuries / Jack Lindsay.</t>
  </si>
  <si>
    <t xml:space="preserve">PC3308 .B75</t>
  </si>
  <si>
    <t xml:space="preserve">Les troubadours et le sentiment romanesque / Robert Briffault.</t>
  </si>
  <si>
    <t xml:space="preserve">PC3308 .R54 1991</t>
  </si>
  <si>
    <t xml:space="preserve">Trobairitz : der Beitrag der Frau in der altokzitanischen höfischen Lyrik : Edition des Gesamtkorpus / Angelica Rieger.</t>
  </si>
  <si>
    <t xml:space="preserve">PC3308 .V65 1989</t>
  </si>
  <si>
    <t xml:space="preserve">The Voice of the trobairitz : perspectives on the women troubadours / edited by William D. Paden.</t>
  </si>
  <si>
    <t xml:space="preserve">PC3309 .L44 2000</t>
  </si>
  <si>
    <t xml:space="preserve">Between sequence and sirventes : aspects of parody in the troubadour lyric / by Catherine Léglu.</t>
  </si>
  <si>
    <t xml:space="preserve">PC3322 .B6</t>
  </si>
  <si>
    <t xml:space="preserve">Les femmes troubadours / Meg Bogin ; traduit de l'américain par Jeanne Faure-Cousin avec la collaboration d'Anne Richou.</t>
  </si>
  <si>
    <t xml:space="preserve">PC3330.F65 S38 2001</t>
  </si>
  <si>
    <t xml:space="preserve">Where troubadours were bishops : the Occitania of Folc of Marseille, 1150-1231 / N.M. Schulman.</t>
  </si>
  <si>
    <t xml:space="preserve">PC3330.S6 A28 1987</t>
  </si>
  <si>
    <t xml:space="preserve">The poetry of Sordello / edited and translated by James J. Wilhelm.</t>
  </si>
  <si>
    <t xml:space="preserve">PC3340.G84 C4 1989</t>
  </si>
  <si>
    <t xml:space="preserve">Chanson de la croisade albigeoise : texte original / préface de Georges Duby ; adaptation de Henri Gougaud ; introduction de Michel Zink.</t>
  </si>
  <si>
    <t xml:space="preserve">PC3365.E3 S66 2000</t>
  </si>
  <si>
    <t xml:space="preserve">Songs of the women troubadours / edited and translated by Matilda Tomaryn Bruckner, Laurie Shepard, Sarah White.</t>
  </si>
  <si>
    <t xml:space="preserve">PC3428 .J4 1957</t>
  </si>
  <si>
    <t xml:space="preserve">Jongleurs et troubadours gascons des XIIe et XIIIe siècles : matériaux / édités par Alfred Jeanroy.</t>
  </si>
  <si>
    <t xml:space="preserve">PC4580 .C59 1980</t>
  </si>
  <si>
    <t xml:space="preserve">Diccionario crítico etimológico castellano e hispánico / por Joan Corominas ; con la colaboración de José A. Pascual.</t>
  </si>
  <si>
    <t xml:space="preserve">PA2073 .K43</t>
  </si>
  <si>
    <t xml:space="preserve">Grammatici Latini ex recensione Henrici Keilii.</t>
  </si>
  <si>
    <t xml:space="preserve">V.5</t>
  </si>
  <si>
    <t xml:space="preserve">V.8</t>
  </si>
  <si>
    <t xml:space="preserve">V.4</t>
  </si>
  <si>
    <t xml:space="preserve">V.3</t>
  </si>
  <si>
    <t xml:space="preserve">V.6</t>
  </si>
  <si>
    <t xml:space="preserve">V.7</t>
  </si>
  <si>
    <t xml:space="preserve">PA260 .W74 1985</t>
  </si>
  <si>
    <t xml:space="preserve">The presocratics : the main fragments in Greek with introduction, commentary &amp; appendix containing text &amp; translation of Aristotle on the presocratics / by M.R. Wright.</t>
  </si>
  <si>
    <t xml:space="preserve">PA3405.S8 E8</t>
  </si>
  <si>
    <t xml:space="preserve">Euripidis Fabulae / recognovit brevique adnotatione critica instruxit Gilbertus Murray.</t>
  </si>
  <si>
    <t xml:space="preserve">PA3405.S8 H9</t>
  </si>
  <si>
    <t xml:space="preserve">Hyperidis orationes et fragmenta. Recognovit brevique adnotatione critica instrvxit F.G. Kenyon ...</t>
  </si>
  <si>
    <t xml:space="preserve">PA3405.S8 T7</t>
  </si>
  <si>
    <t xml:space="preserve">Thucydidis Historiae / recognovit brevique adnotatione critica instruxit Henricus Stuart Jones.</t>
  </si>
  <si>
    <t xml:space="preserve">PA3405.S8 X4 1900-20</t>
  </si>
  <si>
    <t xml:space="preserve">Xenophontis Opera omnia / recognovit breviqve adnotatione critica instrvxit E.C. Marchant ...</t>
  </si>
  <si>
    <t xml:space="preserve">PA3611 .A15</t>
  </si>
  <si>
    <t xml:space="preserve">Lyra graeca : being the remains of all the Greek lyric poets from Eumelus to Timotheus excepting Pindar / newly edited and translted by J.M. Edmonds ... in three volumes.</t>
  </si>
  <si>
    <t xml:space="preserve">PA3612 .E8 1912</t>
  </si>
  <si>
    <t xml:space="preserve">Euripides / with an English translation, by Arthur S. Way.</t>
  </si>
  <si>
    <t xml:space="preserve">PA3612 .H8</t>
  </si>
  <si>
    <t xml:space="preserve">The odyssey / Homer ; with an English translation by A. T. Murray.</t>
  </si>
  <si>
    <t xml:space="preserve">PA3612 .C18 1958</t>
  </si>
  <si>
    <t xml:space="preserve">Aetia, Iambi, lyric poems, Hecale, minor epic and elegiac poems, fragments of epigrams, fragments of uncertain location / text, translation, and notes by C. A. Trypanis.</t>
  </si>
  <si>
    <t xml:space="preserve">PA3612 .D37</t>
  </si>
  <si>
    <t xml:space="preserve">Demosthenes against Meidias, Androtion, Aristocrates, Timocrates, Aristogeiton / with an English translation by J.H. Vince.</t>
  </si>
  <si>
    <t xml:space="preserve">PA3612 .D53</t>
  </si>
  <si>
    <t xml:space="preserve">The Roman antiquities of Dionysius of Halicarnassus, with an English translation by Earnest Cary, on the basis of the version of Edward Spelman.</t>
  </si>
  <si>
    <t xml:space="preserve">PA3612 .S7</t>
  </si>
  <si>
    <t xml:space="preserve">Sophocles : with an English translation / by F. Storr.</t>
  </si>
  <si>
    <t xml:space="preserve">PA3612.A82 M4</t>
  </si>
  <si>
    <t xml:space="preserve">The Metaphysics / with an English translation by Hugh Tredennick.</t>
  </si>
  <si>
    <t xml:space="preserve">PA3612.A82 M47</t>
  </si>
  <si>
    <t xml:space="preserve">Meteorologica. With an English translation by H.D.P. Lee.</t>
  </si>
  <si>
    <t xml:space="preserve">PA3612.A82 M5</t>
  </si>
  <si>
    <t xml:space="preserve">Minor works ... with an English translation by W.S. Hett ...</t>
  </si>
  <si>
    <t xml:space="preserve">PA3612.A82 O5</t>
  </si>
  <si>
    <t xml:space="preserve">On the heavens, with an English translation by W.K.C. Guthrie ...</t>
  </si>
  <si>
    <t xml:space="preserve">PA3612.A82 O7</t>
  </si>
  <si>
    <t xml:space="preserve">The Organon.</t>
  </si>
  <si>
    <t xml:space="preserve">PA3612.A82 P3</t>
  </si>
  <si>
    <t xml:space="preserve">Parts of animals, with an English translation by A. L. Peck, and a foreword by F. H. A. Marshall. Movement of animals, Progression of animals, with an English translation by E. S. Forster.</t>
  </si>
  <si>
    <t xml:space="preserve">PA3612.A82 P7</t>
  </si>
  <si>
    <t xml:space="preserve">Problems ... with an English translation by W. S. Hett.</t>
  </si>
  <si>
    <t xml:space="preserve">PA3612.A82 S6</t>
  </si>
  <si>
    <t xml:space="preserve">On sophistical refutations ; On coming-to-be and passing away / Aristotle ; [translated] by E.S. Forster ; On the cosmos / [translated] by D.J. Furley.</t>
  </si>
  <si>
    <t xml:space="preserve">PA3825 .A8 1957</t>
  </si>
  <si>
    <t xml:space="preserve">Agamemnon / edited by John Dewar Denniston and Denys Page.</t>
  </si>
  <si>
    <t xml:space="preserve">PA3875 .A8 1991</t>
  </si>
  <si>
    <t xml:space="preserve">Aristophanes' Birds / [text with commentary by] Peter Burian.</t>
  </si>
  <si>
    <t xml:space="preserve">PA3875 .R3 1963</t>
  </si>
  <si>
    <t xml:space="preserve">The frogs / edited, with introd., rev. text, commentary and index, by W. B. Sanford.</t>
  </si>
  <si>
    <t xml:space="preserve">PA3875.L8 T87 1982</t>
  </si>
  <si>
    <t xml:space="preserve">Aristophanes' Lysistrata / J. Hilton Turner.</t>
  </si>
  <si>
    <t xml:space="preserve">PA3877 .A1 1936</t>
  </si>
  <si>
    <t xml:space="preserve">The eleven comedies / literally &amp; completely translated from the Greek tongue into English with translator's foreword, an introd. to each comedy &amp; elucidatory notes.</t>
  </si>
  <si>
    <t xml:space="preserve">PA3877 .A2</t>
  </si>
  <si>
    <t xml:space="preserve">The Acharnians, and two other plays of Aristophanes; tr. by J. Hookham Frere.</t>
  </si>
  <si>
    <t xml:space="preserve">PA3877 .A2 1969b</t>
  </si>
  <si>
    <t xml:space="preserve">Three comedies : The birds; The clouds, translated by William Arrowsmith. The wasps / translated by Douglass Parker.</t>
  </si>
  <si>
    <t xml:space="preserve">PA3877 .A2 1984</t>
  </si>
  <si>
    <t xml:space="preserve">Four plays / by Aristophanes ; translations by William Arrowsmith, Richmond Lattimore, and Douglass Parker.</t>
  </si>
  <si>
    <t xml:space="preserve">PA3877 .L8 1930</t>
  </si>
  <si>
    <t xml:space="preserve">Aristophanes' Lysistrata : a new version / by Gilbert Seldes.</t>
  </si>
  <si>
    <t xml:space="preserve">PA3877 .L8 1964</t>
  </si>
  <si>
    <t xml:space="preserve">Lysistrata / translated by Douglass Parker, with sketches by Ellen Raskin.</t>
  </si>
  <si>
    <t xml:space="preserve">PA3877 .N8 1968</t>
  </si>
  <si>
    <t xml:space="preserve">Clouds; edited with introduction and commentary by K.J. Dover.</t>
  </si>
  <si>
    <t xml:space="preserve">PA3877 .P2 1985</t>
  </si>
  <si>
    <t xml:space="preserve">Peace / edited with translation and notes by Alan H. Sommerstein.</t>
  </si>
  <si>
    <t xml:space="preserve">PA3896 .A12  1943</t>
  </si>
  <si>
    <t xml:space="preserve">On man in the universe: Metaphysics, Parts of animals, Ethics, Politics, Poetics. Edited with introduction by Louise Ropes Loomis.</t>
  </si>
  <si>
    <t xml:space="preserve">PA3973 .H3 1981</t>
  </si>
  <si>
    <t xml:space="preserve">Euripides' Hecuba / John W. Ambrose, Jr.</t>
  </si>
  <si>
    <t xml:space="preserve">PA3973 .H5 1987</t>
  </si>
  <si>
    <t xml:space="preserve">Euripides' Heracles / Martin Cropp and Richard Hamilton.</t>
  </si>
  <si>
    <t xml:space="preserve">V. 2</t>
  </si>
  <si>
    <t xml:space="preserve">PA3973 .O7 1984</t>
  </si>
  <si>
    <t xml:space="preserve">Euripides' Orestes / Thomas M. Falkner.</t>
  </si>
  <si>
    <t xml:space="preserve">PA3975 .A1 1857</t>
  </si>
  <si>
    <t xml:space="preserve">Euripides / with an English commentary by F. A. Paley.</t>
  </si>
  <si>
    <t xml:space="preserve">PA3975 .A2 1974</t>
  </si>
  <si>
    <t xml:space="preserve">Three plays of Euripides : Alcestis, Medea, The Bacchae / translated by Paul Roche.</t>
  </si>
  <si>
    <t xml:space="preserve">PA3975.A5 A7</t>
  </si>
  <si>
    <t xml:space="preserve">Alcestis / Euripides ; translated by William Arrowsmith.</t>
  </si>
  <si>
    <t xml:space="preserve">PA3975.A5 B4</t>
  </si>
  <si>
    <t xml:space="preserve">Alcestis / a translation with commentary by Charles Rowan Beye. With a series introd. by Eric A. Havelock.</t>
  </si>
  <si>
    <t xml:space="preserve">PA3975.H4 M5 1981</t>
  </si>
  <si>
    <t xml:space="preserve">Helen / Euripides ; translated by James Michie and Colin Leach.</t>
  </si>
  <si>
    <t xml:space="preserve">PA3975.H7 B3 1973</t>
  </si>
  <si>
    <t xml:space="preserve">Hippolytos. Translated by Robert Bagg.</t>
  </si>
  <si>
    <t xml:space="preserve">PA3975.O7 W55 1986</t>
  </si>
  <si>
    <t xml:space="preserve">Orestes / Euripides ; with introduction and commentary by C.W. Willink.</t>
  </si>
  <si>
    <t xml:space="preserve">PA4002 .A2 1854a</t>
  </si>
  <si>
    <t xml:space="preserve">Herodotus / with a commentary by Joseph Williams Blakesley.</t>
  </si>
  <si>
    <t xml:space="preserve">PA4002 .A2 1987</t>
  </si>
  <si>
    <t xml:space="preserve">Herodoti Historiae / edidit Haiim B. Rosaen.</t>
  </si>
  <si>
    <t xml:space="preserve">PA4002 .A37 1908</t>
  </si>
  <si>
    <t xml:space="preserve">Herodotus, the seventh, eighth, &amp; ninth books : with introduction, text, apparatus, commentary, appendices, indices, maps / by Reginald Walter Macan.</t>
  </si>
  <si>
    <t xml:space="preserve">V.1 PT.1</t>
  </si>
  <si>
    <t xml:space="preserve">V.1 PT.2</t>
  </si>
  <si>
    <t xml:space="preserve">PA4002.A32 L6</t>
  </si>
  <si>
    <t xml:space="preserve">Herodotus, book II / Alan B. Lloyd.</t>
  </si>
  <si>
    <t xml:space="preserve">PA4004 .G6 1969</t>
  </si>
  <si>
    <t xml:space="preserve">Herodotus.</t>
  </si>
  <si>
    <t xml:space="preserve">PA4004 .H6 1928</t>
  </si>
  <si>
    <t xml:space="preserve">A commentary on Herodotus / with introduction and appendixes, by W. W. How and J. Wells.</t>
  </si>
  <si>
    <t xml:space="preserve">PA4019 .A2 1931</t>
  </si>
  <si>
    <t xml:space="preserve">Homeri Ilias / edidit Thomas W. Allen.</t>
  </si>
  <si>
    <t xml:space="preserve">PA4020 .A1 1978</t>
  </si>
  <si>
    <t xml:space="preserve">The Iliad of Homer : books I-XII / edited with introduction and commentary by M. M. Willcock.</t>
  </si>
  <si>
    <t xml:space="preserve">PA4022 .A1 1897</t>
  </si>
  <si>
    <t xml:space="preserve">Eight books of Homers̓ Odyssey with introduction, commentary, and vocabulary : for the use of schools / by Bernadotte Perrin and Thomas Day Seymour.</t>
  </si>
  <si>
    <t xml:space="preserve">PA4023 .H81 1981</t>
  </si>
  <si>
    <t xml:space="preserve">The Homeric hymn to Apollo / Peter M. Smith, Lee T. Pearcy.</t>
  </si>
  <si>
    <t xml:space="preserve">PA4023.H83 G342 1983</t>
  </si>
  <si>
    <t xml:space="preserve">Homeric Hymn to Hermes / Julia Haig Gaisser</t>
  </si>
  <si>
    <t xml:space="preserve">PA4025.A1 C5 1967</t>
  </si>
  <si>
    <t xml:space="preserve">Chapman's Homer : the Iliad, the Odyssey, and the lesser Homerica / edited, with introductions, textual notes, commentaries, and glossaries, by Allardyce Nicoll.</t>
  </si>
  <si>
    <t xml:space="preserve">PA4167 .A9</t>
  </si>
  <si>
    <t xml:space="preserve">Archery at the dark of the moon : poetic problems in Homer's Odyssey / Norman Austin.</t>
  </si>
  <si>
    <t xml:space="preserve">PA4434.Z8 E4 1965</t>
  </si>
  <si>
    <t xml:space="preserve">Lexicon Sophocleum : adhibitis veterum interpretum explicationibus, grammaticorum notationibus, recentiorum doctorum commentariis / composuit Fridericus Ellendt.</t>
  </si>
  <si>
    <t xml:space="preserve">PA6105.S8 L5 1914</t>
  </si>
  <si>
    <t xml:space="preserve">Titi Livi Ab Urbe condita.</t>
  </si>
  <si>
    <t xml:space="preserve">PA6105.S8 T23</t>
  </si>
  <si>
    <t xml:space="preserve">Cornelii Taciti Historiarvm libri; recognovit breviqve adnotatione critica instrvxit C. D. Fisher.</t>
  </si>
  <si>
    <t xml:space="preserve">PA6118.I5 L6</t>
  </si>
  <si>
    <t xml:space="preserve">Handbook of Latin inscriptions, illustrating the history of the language, by W. M. Lindsay.</t>
  </si>
  <si>
    <t xml:space="preserve">PA6156 .A21 1988</t>
  </si>
  <si>
    <t xml:space="preserve">Catullus, Tibullus, and Pervigilium Veneris.</t>
  </si>
  <si>
    <t xml:space="preserve">PA6156 .L8</t>
  </si>
  <si>
    <t xml:space="preserve">De rerum natura / with an English translation by W.H.D. Rouse.</t>
  </si>
  <si>
    <t xml:space="preserve">PA6156 .O87 1916</t>
  </si>
  <si>
    <t xml:space="preserve">Ovid. Metamorphoses, with an English translation by Frank Justus Miller ...</t>
  </si>
  <si>
    <t xml:space="preserve">PA6156 .O89 1988, v.6</t>
  </si>
  <si>
    <t xml:space="preserve">Tristia ; Ex Ponto / Ovid ; with an English translation by Arthur Leslie Wheeler.</t>
  </si>
  <si>
    <t xml:space="preserve">PA6156 .P5</t>
  </si>
  <si>
    <t xml:space="preserve">Plautus : with an English translation / by Paul Nixon.</t>
  </si>
  <si>
    <t xml:space="preserve">V. 5</t>
  </si>
  <si>
    <t xml:space="preserve">PA6156 .S3 1965b</t>
  </si>
  <si>
    <t xml:space="preserve">Sallust, with an English translation by J. C. Rolfe.</t>
  </si>
  <si>
    <t xml:space="preserve">PA6156 .S58 1936</t>
  </si>
  <si>
    <t xml:space="preserve">Poems and letters, with an English translation, introduction, and notes by W.B. Anderson ...</t>
  </si>
  <si>
    <t xml:space="preserve">PA6156 .S58 1936a</t>
  </si>
  <si>
    <t xml:space="preserve">Poems and letters / with an English translation, introduction, and notes by W.B. Anderson.</t>
  </si>
  <si>
    <t xml:space="preserve">PA6156 .S8 1928</t>
  </si>
  <si>
    <t xml:space="preserve">Statius, with an English translation by J.H. Mozley ... in two volumes ...</t>
  </si>
  <si>
    <t xml:space="preserve">PA6156 .T4 1912</t>
  </si>
  <si>
    <t xml:space="preserve">Terence / with an English translation by John Sargeaunt.</t>
  </si>
  <si>
    <t xml:space="preserve">PA6156.C5 P4 1926</t>
  </si>
  <si>
    <t xml:space="preserve">Philippics, with an English translation by Walter C.A. Ker.</t>
  </si>
  <si>
    <t xml:space="preserve">PA6156.C6 B7 1939</t>
  </si>
  <si>
    <t xml:space="preserve">Brutus, with an English translation by G.L. Hendrickson ... Orator, with an English translation by H.M. Hubbell ...</t>
  </si>
  <si>
    <t xml:space="preserve">PA6156.C6 D8 1928</t>
  </si>
  <si>
    <t xml:space="preserve">De re publica, De legibus / with an English translation by Clinton Walker Keyes.</t>
  </si>
  <si>
    <t xml:space="preserve">PA6393 .C43 1969</t>
  </si>
  <si>
    <t xml:space="preserve">The third book of Horace's 'Odes' / edited with translation and running commentary, by Gordon Williams.</t>
  </si>
  <si>
    <t xml:space="preserve">PA6393 .E4 1989</t>
  </si>
  <si>
    <t xml:space="preserve">Epistles, book II; and, Epistle to the Pisones (Ars poetica) / Horace ; edited by Niall Rudd.</t>
  </si>
  <si>
    <t xml:space="preserve">PA6393 .E6 1974</t>
  </si>
  <si>
    <t xml:space="preserve">The art of poetry. A verse translation with an introd. by Burton Raffel. With the original Latin text, a prose translation and biographical note by James Hynd, notes by David Armstrong, and an afterword by W. R. Johnson.</t>
  </si>
  <si>
    <t xml:space="preserve">PA6393.C21 B4 1901</t>
  </si>
  <si>
    <t xml:space="preserve">Horace, Odes and epodes / with introduction and notes by Charles E. Bennett.</t>
  </si>
  <si>
    <t xml:space="preserve">PA6393.C21 S5 1898</t>
  </si>
  <si>
    <t xml:space="preserve">Horace, odes and epodes / edited, with introduction and notes, by Paul Shorey.</t>
  </si>
  <si>
    <t xml:space="preserve">PA6558.E5 B8 1964b</t>
  </si>
  <si>
    <t xml:space="preserve">The Satyricon of Petronius / the translation by William Burnaby. Rev. for the present ed., with an introd., by Gilbert Bagnani and illustrated by Antonio Sotomayor.</t>
  </si>
  <si>
    <t xml:space="preserve">PA6563 .A2 1919</t>
  </si>
  <si>
    <t xml:space="preserve">Phaedri fabvlae Aesopiae, cvm Nicolai Perotti prologo et decem novis fabvlis; recognovit breviqve adnotatione critica instrvxit Iohannes Percival Postgate.</t>
  </si>
  <si>
    <t xml:space="preserve">PA6569 .S55 1995</t>
  </si>
  <si>
    <t xml:space="preserve">Plautus : the comedies / edited by David R. Slavitt and Palmer Bovie.</t>
  </si>
  <si>
    <t xml:space="preserve">PA6569 .S55 1995 V4</t>
  </si>
  <si>
    <t xml:space="preserve">PA6570 .A3 1983</t>
  </si>
  <si>
    <t xml:space="preserve">Plautus, the darker comedies / translated from the Latin, with introduction and notes, by James Tatum.</t>
  </si>
  <si>
    <t xml:space="preserve">PA6650.E5 W3</t>
  </si>
  <si>
    <t xml:space="preserve">Quintilian's Institutes of oratory ; or, Education of an orator / In twelve books. Literally tr. with notes, by the Rev. John Selby Watson.</t>
  </si>
  <si>
    <t xml:space="preserve">PA6756.A1 B36 2001</t>
  </si>
  <si>
    <t xml:space="preserve">Terence / edited and translated by John Barsby.</t>
  </si>
  <si>
    <t xml:space="preserve">PA6801 .A5 1980</t>
  </si>
  <si>
    <t xml:space="preserve">The Aeneid of Virgil / edited with introduction and notes by R. D. Williams.</t>
  </si>
  <si>
    <t xml:space="preserve">PA6801 .A5 1980 V2</t>
  </si>
  <si>
    <t xml:space="preserve">PA6801.A6 F7 1902</t>
  </si>
  <si>
    <t xml:space="preserve">Virgil's Aeneid : books I-XII / with an introduction, notes, and vocabulary by Henry S. Frieze ; rev. by Walter Dennison.</t>
  </si>
  <si>
    <t xml:space="preserve">PA6802.A1 K6 1928</t>
  </si>
  <si>
    <t xml:space="preserve">The Aeneid of Vergil, books I-VI, selections VII-XII, with an introduction, notes, and vocabulary by Charles Knapp.</t>
  </si>
  <si>
    <t xml:space="preserve">PA6803.B21 A9</t>
  </si>
  <si>
    <t xml:space="preserve">Aeneidos liber primvs / with a commentary by R. G. Austin.</t>
  </si>
  <si>
    <t xml:space="preserve">PA6803.B22 A8</t>
  </si>
  <si>
    <t xml:space="preserve">Aeneidos Liber secundus / P. Vergili Maronis. With a commentary by R.G. Austin.</t>
  </si>
  <si>
    <t xml:space="preserve">PA6803.B24 P4</t>
  </si>
  <si>
    <t xml:space="preserve">Pvbli Vergili Maronis Aeneidos liber qvartvs. edited by Arthur Stanley Pease.</t>
  </si>
  <si>
    <t xml:space="preserve">PA6804 .A2 1963</t>
  </si>
  <si>
    <t xml:space="preserve">Bucolica et Georgica / P. Vergili Maronis ; with introd. and notes by T. E. Page.</t>
  </si>
  <si>
    <t xml:space="preserve">PA8518 .Z82</t>
  </si>
  <si>
    <t xml:space="preserve">Erasmus of Rotterdam / by Stefan Zweig ; translated by Eden and and Cedar Paul. --</t>
  </si>
  <si>
    <t xml:space="preserve">BS680.B5 W413</t>
  </si>
  <si>
    <t xml:space="preserve">Blessing in the Bible and the life of the church / by Claus Westermann ; translated by Keith R. Crim. --</t>
  </si>
  <si>
    <t xml:space="preserve">Simkins</t>
  </si>
  <si>
    <t xml:space="preserve">BS 1199</t>
  </si>
  <si>
    <t xml:space="preserve">Law and the administration of justice in the Old Testament and ancient East / Hans Jochen Boecker ; translated by Jeremy Moiser.</t>
  </si>
  <si>
    <t xml:space="preserve">BS1161.R3 C73</t>
  </si>
  <si>
    <t xml:space="preserve">Gerhard von Rad / by James L. Crenshaw.</t>
  </si>
  <si>
    <t xml:space="preserve">BS1192.6 .M66 1997</t>
  </si>
  <si>
    <t xml:space="preserve">The rise of Yahwism : the roots of Israelite monotheism / by Johannes C. De Moor.</t>
  </si>
  <si>
    <t xml:space="preserve">BS1199.D73 D38 1985</t>
  </si>
  <si>
    <t xml:space="preserve">God's conflict with the dragon and the sea : echoes of a Canaanite myth in the Old Testament / John Day.</t>
  </si>
  <si>
    <t xml:space="preserve">BS1225.2 .V36 1999</t>
  </si>
  <si>
    <t xml:space="preserve">The Pentateuch : a social-science commentary / John Van Seters.</t>
  </si>
  <si>
    <t xml:space="preserve">BS1235.2 .M46</t>
  </si>
  <si>
    <t xml:space="preserve">Genesis 1-11 : studies in structure &amp; theme / by Patrick D. Miller, Jr.</t>
  </si>
  <si>
    <t xml:space="preserve">BS1335.2 .K66 1993</t>
  </si>
  <si>
    <t xml:space="preserve">Two nations under God : the Deuteronomistic history of Solomon and the dual monarchies / Gary N. Knoppers.</t>
  </si>
  <si>
    <t xml:space="preserve">BS1545.3 .B56 1990</t>
  </si>
  <si>
    <t xml:space="preserve">Ezekiel / Joseph Blenkinsopp.</t>
  </si>
  <si>
    <t xml:space="preserve">BS195 .A5 v. 3A</t>
  </si>
  <si>
    <t xml:space="preserve">Leviticus 17-22 / a new translation with introduction and commentary Jacob Milgrom.</t>
  </si>
  <si>
    <t xml:space="preserve">BS195 .A5 v. 4A</t>
  </si>
  <si>
    <t xml:space="preserve">Numbers 21-36 : a new translation with introduction and commentary / Baruch A. Levine.</t>
  </si>
  <si>
    <t xml:space="preserve">BS501.A43 L66 1997</t>
  </si>
  <si>
    <t xml:space="preserve">Planting and reaping Albright : politics, ideology, and interpreting the Bible / Burke O. Long.</t>
  </si>
  <si>
    <t xml:space="preserve">BS525 .G653</t>
  </si>
  <si>
    <t xml:space="preserve">Hesed in the Bible. Translated by Alfred Gottschalk, with an introd. by Gerald A. Larue. Edited by Elias L. Epstein.</t>
  </si>
  <si>
    <t xml:space="preserve">BS635.2 .R65 1993</t>
  </si>
  <si>
    <t xml:space="preserve">Testament : the Bible and history / John Romer.</t>
  </si>
  <si>
    <t xml:space="preserve">BS646 .P5513 1968b</t>
  </si>
  <si>
    <t xml:space="preserve">Theocracy and eschatology. Translated by S. Rudman.</t>
  </si>
  <si>
    <t xml:space="preserve">DS109.25 .U8413 1993</t>
  </si>
  <si>
    <t xml:space="preserve">The village of Silwan : the necropolis from the period of the Judean kingdom / David Ussishkin ; [English translation, Inna Pommerantz].</t>
  </si>
  <si>
    <t xml:space="preserve">DS109.3 .S84 2006</t>
  </si>
  <si>
    <t xml:space="preserve">Temples, tithes, and taxes : the temple and the economic life of ancient Israel / Marty E. Stevens.</t>
  </si>
  <si>
    <t xml:space="preserve">DS110.5 .G55</t>
  </si>
  <si>
    <t xml:space="preserve">Deities and dolphins : the story of the Nabataeans.</t>
  </si>
  <si>
    <t xml:space="preserve">DS110.B3926 A955 2008</t>
  </si>
  <si>
    <t xml:space="preserve">The necropolis of Bet Guvrin-Eleutheropolis / Gideon Avni, Uzi Dahari and Amos Kloner ; with contributions by Jodi Magness, Talila Michaeli and Tamar Winter.</t>
  </si>
  <si>
    <t xml:space="preserve">DS110.M4 D38 1986</t>
  </si>
  <si>
    <t xml:space="preserve">Megiddo / Graham I. Davies.</t>
  </si>
  <si>
    <t xml:space="preserve">DS110.N4 G5 1968</t>
  </si>
  <si>
    <t xml:space="preserve">Rivers in the desert : a history of the Negev / Nelson Glueck.</t>
  </si>
  <si>
    <t xml:space="preserve">DS111 .G57 1970</t>
  </si>
  <si>
    <t xml:space="preserve">The other side of the Jordan, by Nelson Glueck.</t>
  </si>
  <si>
    <t xml:space="preserve">DS111.1 .K46 1972</t>
  </si>
  <si>
    <t xml:space="preserve">Royal cities of the Old Testament [by] Kathleen Kenyon.</t>
  </si>
  <si>
    <t xml:space="preserve">DS111.5 .F72 1999</t>
  </si>
  <si>
    <t xml:space="preserve">Wine and oil production in antiquity in Israel and other Mediterranean countries / Rafael Frankel.</t>
  </si>
  <si>
    <t xml:space="preserve">DS121.6 .B43 1992</t>
  </si>
  <si>
    <t xml:space="preserve">The fall of Samaria : an historical and archaeological study / by Bob Becking.</t>
  </si>
  <si>
    <t xml:space="preserve">DS154.22 .B68 1983</t>
  </si>
  <si>
    <t xml:space="preserve">Roman Arabia / G.W. Bowersock.</t>
  </si>
  <si>
    <t xml:space="preserve">DS154.9.A24 W56 2001</t>
  </si>
  <si>
    <t xml:space="preserve">Ancient Abila : an archeological history / John D. Wineland.</t>
  </si>
  <si>
    <t xml:space="preserve">DS154.9.U45 U46 1998, v...</t>
  </si>
  <si>
    <t xml:space="preserve">Umm el-Jimal : a frontier town and its landscape in northern Jordan.</t>
  </si>
  <si>
    <t xml:space="preserve">DS57 .P67 1997</t>
  </si>
  <si>
    <t xml:space="preserve">Mesopotamian civilization : the material foundations / D.T. Potts.</t>
  </si>
  <si>
    <t xml:space="preserve">DS62.23 .U78 2001</t>
  </si>
  <si>
    <t xml:space="preserve">Uruk Mesopotamia &amp; its neighbors : cross-cultural interactions in the era of state formation / edited by Mitchell S. Rothman.</t>
  </si>
  <si>
    <t xml:space="preserve">DS68 .L8 1968</t>
  </si>
  <si>
    <t xml:space="preserve">Ancient records of Assyria and Babylonia.</t>
  </si>
  <si>
    <t xml:space="preserve">DS69.6 .J23 1970</t>
  </si>
  <si>
    <t xml:space="preserve">Toward the image of Tammuz and other essays on Mesopotamian history and culture / edited by William L. Moran.</t>
  </si>
  <si>
    <t xml:space="preserve">DS70 .L42 1852</t>
  </si>
  <si>
    <t xml:space="preserve">Nineveh and its remains: with an account of a visit to the Chaldæan Christians of Kurdistan, and the Yezidis, or devil worshippers; and an inquiry into the manners and arts of the ancient Assyrians. By Austen Henry Layard.</t>
  </si>
  <si>
    <t xml:space="preserve">DS70 .L437</t>
  </si>
  <si>
    <t xml:space="preserve">Discoveries among the ruins of Nineveh and Babylon : with travels in Armenia, Kurdistan, and the desert : being the result of a second expedition undertaken for the Trustees of the British museum / by Austen H. Layard.</t>
  </si>
  <si>
    <t xml:space="preserve">DS70.5.U7 W63 1982</t>
  </si>
  <si>
    <t xml:space="preserve">Ur 'of the Chaldees' : a revised and updated edition of Sir Leonard Woolley's Excavations at Ur / by P.R.S. Moorey.</t>
  </si>
  <si>
    <t xml:space="preserve">DS71 .V35 1999</t>
  </si>
  <si>
    <t xml:space="preserve">Cuneiform texts and the writing of history / Marc Van de Mieroop.</t>
  </si>
  <si>
    <t xml:space="preserve">DS73.1 .A44 1993</t>
  </si>
  <si>
    <t xml:space="preserve">The Uruk world system : the dynamics of expansion of early Mesopotamian civilization / Guillermo Algaze.</t>
  </si>
  <si>
    <t xml:space="preserve">DS73.2 .V47 1996</t>
  </si>
  <si>
    <t xml:space="preserve">Berossos and Manetho, introduced and translated : native traditions in ancient Mesopotamia and Egypt / Gerald P. Verbrugghe, John M. Wickersham.</t>
  </si>
  <si>
    <t xml:space="preserve">DS73.35 .V36 2005</t>
  </si>
  <si>
    <t xml:space="preserve">King Hammurabi of Babylon : a biography / Marc Van de Mieroop.</t>
  </si>
  <si>
    <t xml:space="preserve">DS96.2 .B87 2003</t>
  </si>
  <si>
    <t xml:space="preserve">Roman Syria and the Near East / Kevin Butcher.</t>
  </si>
  <si>
    <t xml:space="preserve">DS99.D3 B867 2007</t>
  </si>
  <si>
    <t xml:space="preserve">Damascus : a history / Ross Burns.</t>
  </si>
  <si>
    <t xml:space="preserve">DS99.E52 E45 1996</t>
  </si>
  <si>
    <t xml:space="preserve">Emar : the history, religion, and culture of a Syrian town in the late Bronze Age / edited by Mark W. Chavalas.</t>
  </si>
  <si>
    <t xml:space="preserve">WC 605 Z78r 1935</t>
  </si>
  <si>
    <t xml:space="preserve">Rats, lice and history : being a study in biography, which, after twelve preliminary chapters indispensable for the preparation of the lay reader, deals with the life history of typhus fever / by Hans Zinsser.</t>
  </si>
  <si>
    <t xml:space="preserve">Shea</t>
  </si>
  <si>
    <t xml:space="preserve">WC 705 C433 1987 v.1-3</t>
  </si>
  <si>
    <t xml:space="preserve">Chagas' disease vectors / editors, Rodolfo R. Brenner, Angel de la Merced Stoka.</t>
  </si>
  <si>
    <t xml:space="preserve">BL2001.2 .O36</t>
  </si>
  <si>
    <t xml:space="preserve">Women, androgynes, and other mythical beasts / Wendy Doniger O'Flaherty.</t>
  </si>
  <si>
    <t xml:space="preserve">ZB Smith</t>
  </si>
  <si>
    <t xml:space="preserve">BL2441.B7 D48 1972</t>
  </si>
  <si>
    <t xml:space="preserve">Development of religion and thought in ancient Egypt / James Henry Breasted ; foreword by John A. Wilson.</t>
  </si>
  <si>
    <t xml:space="preserve">BL25 .M85</t>
  </si>
  <si>
    <t xml:space="preserve">Myths and symbols; studies in honor of Mircea Eliade / edited by Joseph M. Kitagawa and Charles H. Long. With the collaboration of Gerald C. Brauer and Marshall G. S. Hodgson.</t>
  </si>
  <si>
    <t xml:space="preserve">BL311 .E413 1967</t>
  </si>
  <si>
    <t xml:space="preserve">Myths, dreams, and mysteries : the encounter between contemporary faiths and archaic realities / Mircea Eliade ; Translated by Philip Mairet.</t>
  </si>
  <si>
    <t xml:space="preserve">BL325.A6 C35 1989</t>
  </si>
  <si>
    <t xml:space="preserve">Renewal myths and rites of the primitive hunters and planters / Joseph Campbell.</t>
  </si>
  <si>
    <t xml:space="preserve">BL41 .E5</t>
  </si>
  <si>
    <t xml:space="preserve">The history of religions; essays in methodology. Edited by Mircea Eliade and Joseph M. Kitagawa. With a pref. by Jerald C. Brauer.</t>
  </si>
  <si>
    <t xml:space="preserve">BL41 .H5</t>
  </si>
  <si>
    <t xml:space="preserve">The History of religions; essays on the problem of understanding, by Joachim Wach [and others] Edited by Joseph M. Kitagawa with the collaboration of Mircea Eliade and Charles H. Long.</t>
  </si>
  <si>
    <t xml:space="preserve">BL41 .V713</t>
  </si>
  <si>
    <t xml:space="preserve">The study of religion; a historical approach. Translated with an introd. by Kees W. Bolle.</t>
  </si>
  <si>
    <t xml:space="preserve">BL457.M4 E43 1978</t>
  </si>
  <si>
    <t xml:space="preserve">The forge and the crucible : the origins and structures of alchemy / Mircea Eliade ; translated from the French by Stephen Corrin.</t>
  </si>
  <si>
    <t xml:space="preserve">BL48 .S592 1973b</t>
  </si>
  <si>
    <t xml:space="preserve">The phenomenon of religion [by] Ninian Smart.</t>
  </si>
  <si>
    <t xml:space="preserve">BL48 .S594</t>
  </si>
  <si>
    <t xml:space="preserve">Map is not territory : studies in the history of religions / by Jonathan Z. Smith.</t>
  </si>
  <si>
    <t xml:space="preserve">BL50 .E46</t>
  </si>
  <si>
    <t xml:space="preserve">The quest; history and meaning in religion / Mircea Eliade</t>
  </si>
  <si>
    <t xml:space="preserve">BL50 .S578</t>
  </si>
  <si>
    <t xml:space="preserve">Imagining religion : from Babylonia to Jonestown / Jonathan Z. Smith.</t>
  </si>
  <si>
    <t xml:space="preserve">BL51 .S567 1986</t>
  </si>
  <si>
    <t xml:space="preserve">Concept and empathy : essays in the study of religion / Ninian Smart ; edited by Donald Wiebe.</t>
  </si>
  <si>
    <t xml:space="preserve">BL53 .L4 1969</t>
  </si>
  <si>
    <t xml:space="preserve">A psychological study of religion, its origin, function, and future / James H. Leuba</t>
  </si>
  <si>
    <t xml:space="preserve">BL687 .C55 1986</t>
  </si>
  <si>
    <t xml:space="preserve">Classical Mediterranean spirituality : Egyptian, Greek, Roman / edited by A.H. Armstrong.</t>
  </si>
  <si>
    <t xml:space="preserve">BL687 .S43 1995</t>
  </si>
  <si>
    <t xml:space="preserve">Secrecy and concealment : studies in the history of Mediterranean and Near Eastern religions / edited by Hans G. Kippenberg and Guy G. Stroumsa.</t>
  </si>
  <si>
    <t xml:space="preserve">BL785 .F48</t>
  </si>
  <si>
    <t xml:space="preserve">Personal religion among the Greeks / Andre-Jean Festugiere.</t>
  </si>
  <si>
    <t xml:space="preserve">BL80.2 .S593 1981</t>
  </si>
  <si>
    <t xml:space="preserve">Beyond ideology, religion and the future of Western civilization / Ninian Smart.</t>
  </si>
  <si>
    <t xml:space="preserve">BL80.2 .S6 1976</t>
  </si>
  <si>
    <t xml:space="preserve">The religious experience of mankind / by Ninian Smart.</t>
  </si>
  <si>
    <t xml:space="preserve">BL80.2 .S62 1983</t>
  </si>
  <si>
    <t xml:space="preserve">Worldviews, crosscultural explorations of human beliefs / Ninian Smart.</t>
  </si>
  <si>
    <t xml:space="preserve">BL85 .R378 1985</t>
  </si>
  <si>
    <t xml:space="preserve">Religious movements : genesis, exodus, and numbers / edited by Rodney Stark.</t>
  </si>
  <si>
    <t xml:space="preserve">BM176 .J8 1995</t>
  </si>
  <si>
    <t xml:space="preserve">Judaism in late antiquity / edited by Jacob Neusner.</t>
  </si>
  <si>
    <t xml:space="preserve">BM501.3 .L4813 1989</t>
  </si>
  <si>
    <t xml:space="preserve">The rabbinic class of Roman Palestine in late antiquity / Lee I. Levine.</t>
  </si>
  <si>
    <t xml:space="preserve">BR1380 .M4 1965</t>
  </si>
  <si>
    <t xml:space="preserve">Christian Egypt, ancient and modern / by Otto F.A. Meinardus. With pref. by Henry Habib Ayrout.</t>
  </si>
  <si>
    <t xml:space="preserve">BR145.2 .H57 1985</t>
  </si>
  <si>
    <t xml:space="preserve">History, society, and the churches : essays in honour of Owen Chadwick / edited by Derek Beales and Geoffrey Best.</t>
  </si>
  <si>
    <t xml:space="preserve">BR162.2 .F73</t>
  </si>
  <si>
    <t xml:space="preserve">Religion, popular and unpopular in the early Christian centuries / W. H. C. Frend.</t>
  </si>
  <si>
    <t xml:space="preserve">BR1720.P3 L53 1977</t>
  </si>
  <si>
    <t xml:space="preserve">Paulinus of Nola and early western monasticism : with a study of the chronology of his works and an annotated bibliography, 1879-1976 / by Joseph T. Lienhard.</t>
  </si>
  <si>
    <t xml:space="preserve">BR195.W3 H44 1985</t>
  </si>
  <si>
    <t xml:space="preserve">Christians and the military : the early experience / John Helgeland, Robert J. Daly, J. Patout Burns ; ed. by Robert J. Daly.</t>
  </si>
  <si>
    <t xml:space="preserve">BR65.C66 C54</t>
  </si>
  <si>
    <t xml:space="preserve">Clement's use of Aristotle : the Aristotelian contribution to Clement of Alexandria's refutation of gnosticism / by Elizabeth A. Clark.</t>
  </si>
  <si>
    <t xml:space="preserve">BS1224.A77 G46 1986</t>
  </si>
  <si>
    <t xml:space="preserve">Genizah manuscripts of Palestinian Targum to the Pentateuch / [edited and translated by] Michael L. Klein.</t>
  </si>
  <si>
    <t xml:space="preserve">BS1235 .O74 1976</t>
  </si>
  <si>
    <t xml:space="preserve">Homélies sur la Genèse / Origène ; introduction de Henri de Lubac, S.J., et Louis Doutreleau, S.J. ; texte latin, traduction et notes de Louis Doutreleau.</t>
  </si>
  <si>
    <t xml:space="preserve">BS1235 .R7714 1968</t>
  </si>
  <si>
    <t xml:space="preserve">Les Bénédictions des Patriarches / [par] Rufin d'Aquilée. Introduction, texte latin, notes et commentaire par Manlio Simonetti. Traduction de H. Rochais, revue par P. Antin.</t>
  </si>
  <si>
    <t xml:space="preserve">BS1245 .S39 1999</t>
  </si>
  <si>
    <t xml:space="preserve">La chaîne sur l'Exode. I, Fragments de Sévère d'Antioche / texte grec établi et traduit par Françoise Petit ; glossaire syriaque par Lucas Van Rompay.</t>
  </si>
  <si>
    <t xml:space="preserve">BS1245.2 .C44 2001</t>
  </si>
  <si>
    <t xml:space="preserve">La chaîne sur l'Exode : édition intégrale. IV, Fonds catʹenique ancien (Exode 15,22-40,32) / texte grec établi par Françoise Petit.</t>
  </si>
  <si>
    <t xml:space="preserve">BS1255 .O5814 1981, BOTH VOLUMES</t>
  </si>
  <si>
    <t xml:space="preserve">Homélies sur le Lévitique / Origène ; texte latin, introduction, traduction et notes par Marcel Borret.</t>
  </si>
  <si>
    <t xml:space="preserve">BS1265 .O7514 1996, ALL VOLUMES</t>
  </si>
  <si>
    <t xml:space="preserve">Homélies sur les Nombres / Origène ; texte latin de W.A. Baehrens (G.C.S.).</t>
  </si>
  <si>
    <t xml:space="preserve">BS1295.3 .O73</t>
  </si>
  <si>
    <t xml:space="preserve">Homélies sur Josué / Texte latin, introd., traduction et notes de Annie Jaubert.</t>
  </si>
  <si>
    <t xml:space="preserve">BS1325 .G7415 1989, ALL VOLUMES</t>
  </si>
  <si>
    <t xml:space="preserve">Commentaire sur le premier livre des Rois / Grégoire le Grand ; introduction, texte, traduction et notes par Adalbert de Vogüé.</t>
  </si>
  <si>
    <t xml:space="preserve">BS1325 .O7512 1986</t>
  </si>
  <si>
    <t xml:space="preserve">Homélies sur Samuel / Origène ; édition critique, introduction, traduction et notes par Pierre et Marie-Thérèse Nautin.</t>
  </si>
  <si>
    <t xml:space="preserve">BS1429 .G7413 1995</t>
  </si>
  <si>
    <t xml:space="preserve">Gregory of Nyssa's Treatise on the inscriptions of the Psalms / introduction, translation, and notes [by] Ronald E. Heine.</t>
  </si>
  <si>
    <t xml:space="preserve">BS1450 118th .H37 1972, BOTH VOLUMES</t>
  </si>
  <si>
    <t xml:space="preserve">La chaîne palestinienne sur le psaume 118 (Origène, Eusèbe, Didyme, Apollinaire, Athanase, Théodoret) / par Marguerite Harl avec la collaboration de Gilles Dorival.</t>
  </si>
  <si>
    <t xml:space="preserve">BS1450 118th .H5514 1988, BOTH VOLUMES</t>
  </si>
  <si>
    <t xml:space="preserve">Commentaire sur le psaume 118 / Hilaire de Poitiers ; introduction, texte critique, traduction et notes par Marc Milhau.</t>
  </si>
  <si>
    <t xml:space="preserve">BS1475 .E95 1993</t>
  </si>
  <si>
    <t xml:space="preserve">Scholies à l'Ecclésiaste / Evagre le Pontique ; édition princeps du texte grec, introduction, traduction, notes et index par Paul Géhin.</t>
  </si>
  <si>
    <t xml:space="preserve">BS1485 .G6814 1984</t>
  </si>
  <si>
    <t xml:space="preserve">Commentaire sur le Cantique des cantiques / Grégoire le Grand ; introduction, traduction, notes et index par Rodrigue Bélanger.</t>
  </si>
  <si>
    <t xml:space="preserve">BS1515 .J5414 1983</t>
  </si>
  <si>
    <t xml:space="preserve">Commentaire sur Isaïe / Jean Chrysostome ; introduction, texte critique et notes par Jean Dumortier ; traduction par Arthur Liefooghe.</t>
  </si>
  <si>
    <t xml:space="preserve">BS1515 .T4814 1980, ALL VOLUMES</t>
  </si>
  <si>
    <t xml:space="preserve">Commentaire sur Isaïe / Théodoret de Cyr ; introduction, texte critique, traduction et notes par Jean-Noël Guinot.</t>
  </si>
  <si>
    <t xml:space="preserve">BS1525 .O7414, BOTH VOLUMES</t>
  </si>
  <si>
    <t xml:space="preserve">Homélies sur Jérémie / Origène ; traduction par Pierre Husson, Pierre Nautin ; éd., introd. et notes par Pierre Nautin.</t>
  </si>
  <si>
    <t xml:space="preserve">BS1665 .D5 1962, ALL VOLUMES</t>
  </si>
  <si>
    <t xml:space="preserve">Sur Zacharie / par Didyme l'Aveugle. Texte inédit d'après un papyrus de Toura. Introd., texte critique, traduction et notes de Louis Doutreleau.</t>
  </si>
  <si>
    <t xml:space="preserve">BS1830.E46 F73 1993</t>
  </si>
  <si>
    <t xml:space="preserve">Elijah in Upper Egypt : the apocalypse of Elijah and early Egyptian Christianity / David Frankfurter.</t>
  </si>
  <si>
    <t xml:space="preserve">BS2390 .S45</t>
  </si>
  <si>
    <t xml:space="preserve">Roman society and Roman law in the New Testament.</t>
  </si>
  <si>
    <t xml:space="preserve">BS2410 .K613 1982, v.2</t>
  </si>
  <si>
    <t xml:space="preserve">History and literature of early Christianity / Helmut Koester.</t>
  </si>
  <si>
    <t xml:space="preserve">BS2417.P6 H67 1987</t>
  </si>
  <si>
    <t xml:space="preserve">Jesus and the spiral of violence : popular Jewish resistance in Roman Palestine / Richard A. Horsley.</t>
  </si>
  <si>
    <t xml:space="preserve">BS2545.J44 S47 1994</t>
  </si>
  <si>
    <t xml:space="preserve">Jewish responses to early Christians : history and polemics, 30-150 C.E. / Claudia J. Setzer.</t>
  </si>
  <si>
    <t xml:space="preserve">BS2548 .P37 1992</t>
  </si>
  <si>
    <t xml:space="preserve">Codex Bezae : an early Christian manuscript and its text / D.C. Parker.</t>
  </si>
  <si>
    <t xml:space="preserve">BS2550.T2 E63</t>
  </si>
  <si>
    <t xml:space="preserve">Commentaire de l'Évangile concordant ou Diatessaron [par] Ephrem de Nisibe. Traduit du syriaque et de l'arménien. Introduction, traduction et notes par Louis Leloir.</t>
  </si>
  <si>
    <t xml:space="preserve">BS2649 .T5 1969, BOTH VOLUMES</t>
  </si>
  <si>
    <t xml:space="preserve">In epistolas B. Pauli commentarii: the Latin version with the Greek fragments; with an introduction, notes and indices by H. B. Swete.</t>
  </si>
  <si>
    <t xml:space="preserve">BS2871 .B87 1987</t>
  </si>
  <si>
    <t xml:space="preserve">Chastity as autonomy : women in the stories of Apocryphal Acts / Virginia Burrus.</t>
  </si>
  <si>
    <t xml:space="preserve">BS480 .L347 1992</t>
  </si>
  <si>
    <t xml:space="preserve">The unauthorized version : truth and fiction in the Bible / Robin Lane Fox.</t>
  </si>
  <si>
    <t xml:space="preserve">D52 .M6 1969</t>
  </si>
  <si>
    <t xml:space="preserve">Quarto contributo alla storia degli studi classici e del mondo antico / Arnaldo Momigliano.</t>
  </si>
  <si>
    <t xml:space="preserve">D56 .B34 1995</t>
  </si>
  <si>
    <t xml:space="preserve">Reading papyri, writing ancient history / Roger S. Bagnall.</t>
  </si>
  <si>
    <t xml:space="preserve">DE3 .I6 2001</t>
  </si>
  <si>
    <t xml:space="preserve">Interpreting late antiquity : essays on the postclassical world / G.W. Bowersock, Peter Brown, Oleg Grabar, editors.</t>
  </si>
  <si>
    <t xml:space="preserve">DE5 .N48 1996, ALL VOLUMES</t>
  </si>
  <si>
    <t xml:space="preserve">Der neue Pauly : Enzyklopädie der Antike / herausgegeben von Hubert Cancik und Helmuth Schneider.</t>
  </si>
  <si>
    <t xml:space="preserve">DE71 .F74 1996</t>
  </si>
  <si>
    <t xml:space="preserve">Egypt, Greece, and Rome : civilizations of the ancient Mediterranean / Charles Freeman.</t>
  </si>
  <si>
    <t xml:space="preserve">DE71 .S6</t>
  </si>
  <si>
    <t xml:space="preserve">Blacks in antiquity; Ethiopians in the Greco-Roman experience [by] Frank M. Snowden, Jr.</t>
  </si>
  <si>
    <t xml:space="preserve">DE71 .V65 1996</t>
  </si>
  <si>
    <t xml:space="preserve">Voluntary associations in the Graeco-Roman world / edited by John S. Kloppenborg and Stephen G. Wilson.</t>
  </si>
  <si>
    <t xml:space="preserve">DE8 .F55 1986</t>
  </si>
  <si>
    <t xml:space="preserve">Ancient history : evidence and models / M.I. Finley.</t>
  </si>
  <si>
    <t xml:space="preserve">DE8 .F56 1975</t>
  </si>
  <si>
    <t xml:space="preserve">The use and abuse of history / by M. I. Finley.</t>
  </si>
  <si>
    <t xml:space="preserve">DE80 .L36 2006</t>
  </si>
  <si>
    <t xml:space="preserve">The classical world : an epic history from Homer to Hadrian / Robin Lane Fox.</t>
  </si>
  <si>
    <t xml:space="preserve">DF78 .M635 2000</t>
  </si>
  <si>
    <t xml:space="preserve">Archaeology as cultural history : words and things in Iron Age Greece / Ian Morris.</t>
  </si>
  <si>
    <t xml:space="preserve">DG272 .S55 1996</t>
  </si>
  <si>
    <t xml:space="preserve">Shifting frontiers in late antiquity / edited by Ralph W. Mathisen and Hagith S. Sivan.</t>
  </si>
  <si>
    <t xml:space="preserve">DG78 .G78  1996</t>
  </si>
  <si>
    <t xml:space="preserve">Studies in Greek culture and Roman policy / by Erich S. Gruen.</t>
  </si>
  <si>
    <t xml:space="preserve">PA3490 .J3, ALL VOLUMES</t>
  </si>
  <si>
    <t xml:space="preserve">Die fragmente der griechischen historiker (F Gr Hist) / von Felix Jacoby.</t>
  </si>
  <si>
    <t xml:space="preserve">PA4002 .A2 1987, BOTH VOLUMES</t>
  </si>
  <si>
    <t xml:space="preserve">PA6156 .C4 1935a, ALL VOLUMES</t>
  </si>
  <si>
    <t xml:space="preserve">De medicina / with an English translation by W.G. Spencer.</t>
  </si>
  <si>
    <t xml:space="preserve">BT110 .H5414 1999, ALL VOLUMES</t>
  </si>
  <si>
    <t xml:space="preserve">La Trinité / Hilaire de Poitiers ; texte critique par P. Smulders ; introduction par M. Figura et J. Doignon ; traduction par G.M. de Durand, Ch. Morel et G. Pelland ; notes par G. Pelland.</t>
  </si>
  <si>
    <t xml:space="preserve">BT110 .R7</t>
  </si>
  <si>
    <t xml:space="preserve">La Trinité; Texte latin. Introd., traduction et notes de Gaston Salet.</t>
  </si>
  <si>
    <t xml:space="preserve">BT1116 .T4 1990, ALL VOLUMES</t>
  </si>
  <si>
    <t xml:space="preserve">Contre Marcion / Tertullien ; introduction, texte critique, traduction et notes par René Braun.</t>
  </si>
  <si>
    <t xml:space="preserve">BT1116.A82 C6 1971</t>
  </si>
  <si>
    <t xml:space="preserve">Contra gentes ; and, De Incarnatione / [by] Athanasius; edited and translated by Robert W. Thomson.</t>
  </si>
  <si>
    <t xml:space="preserve">BT1116.E952 F74, ALL VOLUMES</t>
  </si>
  <si>
    <t xml:space="preserve">La préparation évangélique : introd. générale / Eusèbe de Césarée.</t>
  </si>
  <si>
    <t xml:space="preserve">BT1116.O7 F7, ALL VOLUMES</t>
  </si>
  <si>
    <t xml:space="preserve">Contre Celse ... [par] Origène. Introduction, texte critique, traduction et notes par Marcel Borret.</t>
  </si>
  <si>
    <t xml:space="preserve">BT120 .B314 1968</t>
  </si>
  <si>
    <t xml:space="preserve">Sur le Saint-Esprit / [par] Basile de Césarée. Introduction, texte, traduction et notes par Benoît Pruche, O.P.</t>
  </si>
  <si>
    <t xml:space="preserve">BT153.W7 L314 1982</t>
  </si>
  <si>
    <t xml:space="preserve">La colère de Dieu / Lactance ; introduction, texte critique, traduction, commentaire et index par Christiane Ingremeau.</t>
  </si>
  <si>
    <t xml:space="preserve">BT200 .C275, BOTH VOLUMES</t>
  </si>
  <si>
    <t xml:space="preserve">A Nestorian collection of christological texts, Cambridge University Library ms. Oriental 1319 / edited and translated by Luise Abramowski and Alan E. Goodman.</t>
  </si>
  <si>
    <t xml:space="preserve">BT430 .M413</t>
  </si>
  <si>
    <t xml:space="preserve">On Pascha and fragments / Melito of Sardis ; texts and translations edited by Stuart George Hall.</t>
  </si>
  <si>
    <t xml:space="preserve">BT70 .S8714, BOTH VOLUMES</t>
  </si>
  <si>
    <t xml:space="preserve">Traités théologiques et éthiques / par Syméon le nouveau théologien. Intro., texte critique, traduction et notes par Jean Darrouzès, A. A.</t>
  </si>
  <si>
    <t xml:space="preserve">BT761.2 .H38 1992</t>
  </si>
  <si>
    <t xml:space="preserve">Grace and human freedom according to St. Gregory of Nyssa / Verna E.F. Harrison.</t>
  </si>
  <si>
    <t xml:space="preserve">BT82.2 .F86 1988, ALL VOLUMES</t>
  </si>
  <si>
    <t xml:space="preserve">The Fundamentals : a testimony to truth / edited with an introduction by George M. Marsden.</t>
  </si>
  <si>
    <t xml:space="preserve">NA 1121.V4 R7 1981</t>
  </si>
  <si>
    <t xml:space="preserve">THE STONES OF VENICE/JOHN RUSKIN</t>
  </si>
  <si>
    <t xml:space="preserve">Maria T Vanderboegh</t>
  </si>
  <si>
    <t xml:space="preserve">NA 1123.A5 B6713</t>
  </si>
  <si>
    <t xml:space="preserve">LEON BATTISTA ALBERTI/FRANCO BORSI</t>
  </si>
  <si>
    <t xml:space="preserve">NA1123.B9 W35 1994 </t>
  </si>
  <si>
    <t xml:space="preserve">MICHELANGELO AT SAN LORENZO/WILLIAM WALLACE</t>
  </si>
  <si>
    <t xml:space="preserve">NA1123. B9 W35 1994</t>
  </si>
  <si>
    <t xml:space="preserve">MICHELANGELO AT SAN LORENZO: THE GENIUS AND ENTREPRENEUR/WALLACE</t>
  </si>
  <si>
    <t xml:space="preserve">NA5541. P4</t>
  </si>
  <si>
    <t xml:space="preserve">FRENCH CATHEDRALS</t>
  </si>
  <si>
    <t xml:space="preserve">NA7120. V3 1864</t>
  </si>
  <si>
    <t xml:space="preserve">VILLAS AND COTTAGES</t>
  </si>
  <si>
    <r>
      <rPr>
        <sz val="11"/>
        <color rgb="FF000000"/>
        <rFont val="Calibri"/>
        <family val="2"/>
      </rPr>
      <t xml:space="preserve">NA7205. L2</t>
    </r>
    <r>
      <rPr>
        <i val="true"/>
        <sz val="12"/>
        <rFont val="Calibri"/>
        <family val="2"/>
      </rPr>
      <t xml:space="preserve"> </t>
    </r>
    <r>
      <rPr>
        <sz val="12"/>
        <rFont val="Calibri"/>
        <family val="2"/>
      </rPr>
      <t xml:space="preserve">1879</t>
    </r>
  </si>
  <si>
    <t xml:space="preserve">THE HOMES OF AMERICA</t>
  </si>
  <si>
    <t xml:space="preserve">N6847.5 N3 F4 1991</t>
  </si>
  <si>
    <t xml:space="preserve">THE NABIS: BONNARD</t>
  </si>
  <si>
    <t xml:space="preserve">N6916. H37 1980</t>
  </si>
  <si>
    <t xml:space="preserve">PATRONS AND PAINTERS</t>
  </si>
  <si>
    <t xml:space="preserve">N6921. F7 W313</t>
  </si>
  <si>
    <t xml:space="preserve">THE WORLD OF THE FLORENTINES RENAISSANCE ARTISTS: PROJECTS AND PATRONS</t>
  </si>
  <si>
    <t xml:space="preserve">N8214.5 U6 D43</t>
  </si>
  <si>
    <t xml:space="preserve">PICTURING AMERICA, 1497-1899 (V. 1 AND 2)</t>
  </si>
  <si>
    <t xml:space="preserve">N8550. R63 1981</t>
  </si>
  <si>
    <t xml:space="preserve">HOW TO MAKE YOUR OWN PICTURE FRAMES</t>
  </si>
  <si>
    <t xml:space="preserve">DG575 G69 A34 2001</t>
  </si>
  <si>
    <t xml:space="preserve">GRAMSCI's "Quaderni del carcere" (four volumes) </t>
  </si>
  <si>
    <t xml:space="preserve">G286.M2 P543</t>
  </si>
  <si>
    <t xml:space="preserve">The voyage of Magellano by Antonio Pigafetta (geography)</t>
  </si>
  <si>
    <t xml:space="preserve">G370 P665</t>
  </si>
  <si>
    <t xml:space="preserve">The description of the world by Marco Polo </t>
  </si>
  <si>
    <t xml:space="preserve">DB71. C7 1970</t>
  </si>
  <si>
    <t xml:space="preserve">MARIA THERESA</t>
  </si>
  <si>
    <t xml:space="preserve">DC611. P958 C2</t>
  </si>
  <si>
    <t xml:space="preserve">ROMANTIC CITIES OF PROVENCE</t>
  </si>
  <si>
    <t xml:space="preserve">DC611 N862 L6 2007</t>
  </si>
  <si>
    <t xml:space="preserve">ADELA OF BLOIS: COUNTESS AND LORD</t>
  </si>
  <si>
    <t xml:space="preserve">DG223 T67 1980</t>
  </si>
  <si>
    <t xml:space="preserve">ETRURIA/MARIO TORELLI</t>
  </si>
  <si>
    <t xml:space="preserve">DG 424. Y6</t>
  </si>
  <si>
    <t xml:space="preserve">TRAVELS IN FRANCE AND ITALY DURING THE YEARS 1787, 1788 AND  1789</t>
  </si>
  <si>
    <t xml:space="preserve">DG420. W55 </t>
  </si>
  <si>
    <t xml:space="preserve">ITALIAN VILLAS AND THEIR GARDENS/BY EDITH WHARTON</t>
  </si>
  <si>
    <t xml:space="preserve">DG557.5 D43 2006</t>
  </si>
  <si>
    <t xml:space="preserve">GLI ANARCHICI: CRONACA INEDITA DELL’UNITA D’ITALIA</t>
  </si>
  <si>
    <t xml:space="preserve">DG571. B715 2006 </t>
  </si>
  <si>
    <t xml:space="preserve">MUSSOLINI’S ITALY: LIFE UNDER THE DICTATORSHIP</t>
  </si>
  <si>
    <t xml:space="preserve">DG736.3. M3313 1988</t>
  </si>
  <si>
    <t xml:space="preserve">FLORENTINE HISTORIES/BY NICCOLO MACHIAVELLI</t>
  </si>
  <si>
    <t xml:space="preserve">DG737. O47</t>
  </si>
  <si>
    <t xml:space="preserve">THE MAKERS OF FLORENCE:DANTE GIOTTO SAVONAROLA</t>
  </si>
  <si>
    <t xml:space="preserve">DG738.14 P37 P45 1987</t>
  </si>
  <si>
    <t xml:space="preserve">THE MEMOIR OF MARCO PARENTI</t>
  </si>
  <si>
    <t xml:space="preserve">DG975. T825 A73 2007</t>
  </si>
  <si>
    <t xml:space="preserve">TRIESTE: UN’IDENTITA’ DI FRONTIERA</t>
  </si>
  <si>
    <t xml:space="preserve">DG975. U72 D4</t>
  </si>
  <si>
    <t xml:space="preserve">MEMOIRS OF THE DUKES OF URBINO, ILLUSTRATING THE ARMS, ARTS, (3 VOLUMES)</t>
  </si>
  <si>
    <t xml:space="preserve">DG738  14.M2 A4 1996</t>
  </si>
  <si>
    <t xml:space="preserve">MACHIAVELLI AND HIS FRIENDS</t>
  </si>
  <si>
    <t xml:space="preserve">DG737 .2 C73213. 1986</t>
  </si>
  <si>
    <t xml:space="preserve">DINO COMPAGNI’S CHRONICLE OF FLORENCE</t>
  </si>
  <si>
    <t xml:space="preserve">PQ4630 M3 Z87</t>
  </si>
  <si>
    <t xml:space="preserve">LORENZO DE MEDICI</t>
  </si>
  <si>
    <t xml:space="preserve">PQ4807. O 38 B37 2003</t>
  </si>
  <si>
    <t xml:space="preserve">BAROCCO DEL SUD</t>
  </si>
  <si>
    <t xml:space="preserve">PQ 4835. I 7 Z5412 2004</t>
  </si>
  <si>
    <t xml:space="preserve">I LUOGHI DEL ROMANZO</t>
  </si>
  <si>
    <t xml:space="preserve">PQ 4863. A 3894 P758</t>
  </si>
  <si>
    <t xml:space="preserve">PRIVO DI TITOLO/CAMILLERI</t>
  </si>
  <si>
    <t xml:space="preserve">PQ4867  .A 7255 F75 1999</t>
  </si>
  <si>
    <t xml:space="preserve">FRIULANI BRAVA GENTE/ALBERTO GARLINI</t>
  </si>
  <si>
    <t xml:space="preserve">PQ4873. A 9532 N66 2003</t>
  </si>
  <si>
    <t xml:space="preserve">NON TI MUOVERE/MARGARET MAZZANTINI</t>
  </si>
  <si>
    <t xml:space="preserve">PQ 4873.I 399 V63  2001</t>
  </si>
  <si>
    <t xml:space="preserve">VOCI DEL SILENZIO: RACCONTI DAL SALOTTO DELLE OMBRE/GIORGIO MILESI</t>
  </si>
  <si>
    <t xml:space="preserve">PQ4880. A 24 Z463 2003</t>
  </si>
  <si>
    <t xml:space="preserve">AUTOBIOGRAFIE ALTRUI: POETICHE A POSTERIORI/TABUCCHI</t>
  </si>
  <si>
    <t xml:space="preserve">NC.1807 .B4 055 1970</t>
  </si>
  <si>
    <t xml:space="preserve">LA BELLE EPOQUE: BELGIAN POSTERS</t>
  </si>
  <si>
    <t xml:space="preserve">NC1810. G3413 1974</t>
  </si>
  <si>
    <t xml:space="preserve">THE POSTER IN HISTORY/GALLO</t>
  </si>
  <si>
    <t xml:space="preserve">NC810. C75 1965</t>
  </si>
  <si>
    <t xml:space="preserve">THE ARTISTIC ANATOMY OF TREES/COLE</t>
  </si>
  <si>
    <t xml:space="preserve">NC978. H56 1982</t>
  </si>
  <si>
    <t xml:space="preserve">IMAGES AND TEXT: STUDIES IN THE ILLUSTRATIONS OF ENGLISH LITERATURE/HODNETT</t>
  </si>
  <si>
    <t xml:space="preserve">NC985. 5 L4 G413 1984</t>
  </si>
  <si>
    <t xml:space="preserve">FROM LE BALLETS RUSSE TO VOGUE/CLAUDE LEPAPE</t>
  </si>
  <si>
    <t xml:space="preserve">NC998. 6 I8 H46 1993</t>
  </si>
  <si>
    <t xml:space="preserve">ITALIAN ART DECO: GRAPHIC DESIGN BETWEEN THE WARS/HELLER</t>
  </si>
  <si>
    <t xml:space="preserve">HQ1190  .B7313 1991</t>
  </si>
  <si>
    <t xml:space="preserve">PATTERNS OF DISSONANCE: A STUDY OF WOMEN/BRAIDOTTI</t>
  </si>
  <si>
    <t xml:space="preserve">HQ1638 .G53 2005</t>
  </si>
  <si>
    <t xml:space="preserve">NESSUNO CI PUO GIUDICARE/GIACHETTI</t>
  </si>
  <si>
    <t xml:space="preserve">HQ203 G53 1986</t>
  </si>
  <si>
    <t xml:space="preserve">PROSTITUTION AND THE STATE IN ITALY, 1860-1915/GIBSON</t>
  </si>
  <si>
    <t xml:space="preserve">QL597 .B68 1953</t>
  </si>
  <si>
    <t xml:space="preserve">An illustrated synopsis of the principal larval forms of the order Coleoptera, by Adam G. Böving ... and F.C. Craighead ...</t>
  </si>
  <si>
    <t xml:space="preserve">Erin Blankenship-Sefczek</t>
  </si>
  <si>
    <t xml:space="preserve">QL58 .L58 1984</t>
  </si>
  <si>
    <t xml:space="preserve">Living fossils / edited by Niles Eldredge and Steven M. Stanley.</t>
  </si>
  <si>
    <t xml:space="preserve">QL573 .C76</t>
  </si>
  <si>
    <t xml:space="preserve">The biology of the Coleoptera / R.A. Crowson.</t>
  </si>
  <si>
    <t xml:space="preserve">QL568.F7 W63 2006</t>
  </si>
  <si>
    <t xml:space="preserve">Nature revealed : selected writings, 1949-2006 / Edward O. Wilson.</t>
  </si>
  <si>
    <t xml:space="preserve">QL337.M2 M33 1984</t>
  </si>
  <si>
    <t xml:space="preserve">Madagascar / editors, Alison Jolly, Philippe Oberlé, Roland Albignac ; foreword by HRH the Duke of Edinburgh.</t>
  </si>
  <si>
    <t xml:space="preserve">QL363 .B413</t>
  </si>
  <si>
    <t xml:space="preserve">Principles of comparative anatomy of invertebrates [by] W. N. Beklemishev; translated [from the Russian] by J. M. MacLennan, edited by Z. Kabata.</t>
  </si>
  <si>
    <t xml:space="preserve">QL363 .B413 V.2</t>
  </si>
  <si>
    <t xml:space="preserve">QL363 .B78</t>
  </si>
  <si>
    <t xml:space="preserve">Practical invertebrate anatomy.</t>
  </si>
  <si>
    <t xml:space="preserve">QL31.E79 A3 2000</t>
  </si>
  <si>
    <t xml:space="preserve">Maggots, murder, and men : memories and reflections of a forensic entomologist / Zakaria Erzin*clio*glu.</t>
  </si>
  <si>
    <t xml:space="preserve">QM16.L4 B4 1969</t>
  </si>
  <si>
    <t xml:space="preserve">Leonardo the anatomist.</t>
  </si>
  <si>
    <t xml:space="preserve">QM21 .L49</t>
  </si>
  <si>
    <t xml:space="preserve">Leonardo da Vinci on the human body : the anatomical, physiological, and embryological drawings of Leonardo da Vinci / with translations, emendations and a biographical introd., by Charles D. O'Malley and J.B. de C.M. Saunders.</t>
  </si>
  <si>
    <t xml:space="preserve">QM101 .A38 1994b</t>
  </si>
  <si>
    <t xml:space="preserve">Bones : the unity of form and function / R. McNeill Alexander ; photography by Brian Kosoff ; foreword by Mark A. Norell ; illustrations by Edward Heck.</t>
  </si>
  <si>
    <t xml:space="preserve">QM101 .G63 1982</t>
  </si>
  <si>
    <t xml:space="preserve">The skeleton : fantastic framework / by Kathy E. Goldberg and the editors of U.S. News Books.</t>
  </si>
  <si>
    <t xml:space="preserve">QM101 .W3</t>
  </si>
  <si>
    <t xml:space="preserve">The human skeleton, an interpretation.</t>
  </si>
  <si>
    <t xml:space="preserve">QM11 .S6 1957</t>
  </si>
  <si>
    <t xml:space="preserve">A short history of anatomy from the Greeks to Harvey.</t>
  </si>
  <si>
    <t xml:space="preserve">QS 4 B499c 1984</t>
  </si>
  <si>
    <t xml:space="preserve">Catalog of human variation / Ronald A. Bergman, Sue Ann Thompson, Adel K. Afifi.</t>
  </si>
  <si>
    <t xml:space="preserve">QS 4 C678s 2000</t>
  </si>
  <si>
    <t xml:space="preserve">The Structure &amp; function of the human body / Barbara Janson Cohen, Dena Lin Wood.</t>
  </si>
  <si>
    <t xml:space="preserve">QS 4 C952e 1982</t>
  </si>
  <si>
    <t xml:space="preserve">Essential human anatomy : a text-atlas / James E. Crouch ; illustrated by Martha B. Lackey.</t>
  </si>
  <si>
    <t xml:space="preserve">QS 4 C952f 1985</t>
  </si>
  <si>
    <t xml:space="preserve">Functional human anatomy / James E. Crouch.</t>
  </si>
  <si>
    <t xml:space="preserve">QS 4 J66a 1997</t>
  </si>
  <si>
    <t xml:space="preserve">Anatomy for dental students / D.R. Johnson and W.J. Moore ; illustrated by Ann Johnson.</t>
  </si>
  <si>
    <t xml:space="preserve">QS 17 A881 1973</t>
  </si>
  <si>
    <t xml:space="preserve">Atlas d'anatomie du lapin : Atlas of rabbit anatomy / Par R. Barone.</t>
  </si>
  <si>
    <t xml:space="preserve">QS 17 M167c 1982</t>
  </si>
  <si>
    <t xml:space="preserve">Color atlas of foot and ankle anatomy / R.M.H. McMinn, R.T. Hutchings, B.M. Logan.</t>
  </si>
  <si>
    <t xml:space="preserve">QS17 Q7a 2001</t>
  </si>
  <si>
    <t xml:space="preserve">Anatomy for attorneys : a clinical atlas with case studies / Thomas H. Quinn, Terence R. Quinn, Robert H. Quinn ; illustrator, R. Spencer Phippen.</t>
  </si>
  <si>
    <t xml:space="preserve">QS 17 S978a 1973</t>
  </si>
  <si>
    <t xml:space="preserve">An atlas of primate gross anatomy: baboon, chimpanzee, and man / Daris R. Swindler and Charles D. Wood.</t>
  </si>
  <si>
    <t xml:space="preserve">QS 17 Z94s 1986</t>
  </si>
  <si>
    <t xml:space="preserve">A system of practical anatomy for dental students : a guide and atlas / Lord Zuckerman, in collaboration with Deryk Darlington, F. Peter Lisowski.</t>
  </si>
  <si>
    <t xml:space="preserve">QS532.5 E7 E5662 2005</t>
  </si>
  <si>
    <t xml:space="preserve">Endothelial cells in health and disease / edited by William C. Aird.</t>
  </si>
  <si>
    <t xml:space="preserve">QZ 4 C368p 1906</t>
  </si>
  <si>
    <t xml:space="preserve">Postmortem pathology; a manual of the technic of post-mortem examinations and the interpretations to be drawn therefrom : a practical treatise for students and practitioners.</t>
  </si>
  <si>
    <t xml:space="preserve">QZ 4 B789i 1984</t>
  </si>
  <si>
    <t xml:space="preserve">Boyd's Introduction to the study of disease.</t>
  </si>
  <si>
    <t xml:space="preserve">QZ 4 B938p 1992</t>
  </si>
  <si>
    <t xml:space="preserve">Pathophysiology : adaptations and alterations in function / Barbara L. Bullock, Pearl Philbrook Rosendahl, with 18 contributors.</t>
  </si>
  <si>
    <t xml:space="preserve">QZ 4 R742m 1855</t>
  </si>
  <si>
    <t xml:space="preserve">A manual of pathological anatomy / Carl Rokitansky.</t>
  </si>
  <si>
    <t xml:space="preserve">QZ 50 N976 1996</t>
  </si>
  <si>
    <t xml:space="preserve">Nutrients and gene expression : clinical aspects / edited Carolyn D. Berdanier.</t>
  </si>
  <si>
    <t xml:space="preserve">CURAL</t>
  </si>
  <si>
    <t xml:space="preserve">SHELVES</t>
  </si>
  <si>
    <t xml:space="preserve">BJ1011 .H47</t>
  </si>
  <si>
    <t xml:space="preserve">0                      BJ 1011000H  47</t>
  </si>
  <si>
    <t xml:space="preserve">Man as man; the science and art of ethics.</t>
  </si>
  <si>
    <t xml:space="preserve">Higgins, Thomas J., 1899-1993.</t>
  </si>
  <si>
    <t xml:space="preserve">Milwaukee, Bruce Pub. Co. [1949]</t>
  </si>
  <si>
    <t xml:space="preserve">1949</t>
  </si>
  <si>
    <t xml:space="preserve">BJ </t>
  </si>
  <si>
    <t xml:space="preserve">2001-04-18</t>
  </si>
  <si>
    <t xml:space="preserve">1996-08-12</t>
  </si>
  <si>
    <t xml:space="preserve">1921704:eng</t>
  </si>
  <si>
    <t xml:space="preserve">1430621</t>
  </si>
  <si>
    <t xml:space="preserve">991003752549702656</t>
  </si>
  <si>
    <t xml:space="preserve">2259000510002656</t>
  </si>
  <si>
    <t xml:space="preserve">32285002259850</t>
  </si>
  <si>
    <t xml:space="preserve">Graham</t>
  </si>
  <si>
    <t xml:space="preserve">893240561</t>
  </si>
  <si>
    <t xml:space="preserve">BJ1012 .B36 1979</t>
  </si>
  <si>
    <t xml:space="preserve">0                      BJ 1012000B  36          1979</t>
  </si>
  <si>
    <t xml:space="preserve">Moral scepticism and moral knowledge / by Renford Bambrough.</t>
  </si>
  <si>
    <t xml:space="preserve">Bambrough, Renford.</t>
  </si>
  <si>
    <t xml:space="preserve">Atlantic Highlands, N.J. : Humanities Press, c1979.</t>
  </si>
  <si>
    <t xml:space="preserve">Studies in philosophical psychology</t>
  </si>
  <si>
    <t xml:space="preserve">2005-08-25</t>
  </si>
  <si>
    <t xml:space="preserve">1990-09-14</t>
  </si>
  <si>
    <t xml:space="preserve">458994:eng</t>
  </si>
  <si>
    <t xml:space="preserve">4983276</t>
  </si>
  <si>
    <t xml:space="preserve">991004758519702656</t>
  </si>
  <si>
    <t xml:space="preserve">2265988340002656</t>
  </si>
  <si>
    <t xml:space="preserve">9780391010376</t>
  </si>
  <si>
    <t xml:space="preserve">32285000302694</t>
  </si>
  <si>
    <t xml:space="preserve">893700618</t>
  </si>
  <si>
    <t xml:space="preserve">BJ1012 .D263 1993</t>
  </si>
  <si>
    <t xml:space="preserve">0                      BJ 1012000D  263         1993</t>
  </si>
  <si>
    <t xml:space="preserve">Moral reasons / Jonathan Dancy.</t>
  </si>
  <si>
    <t xml:space="preserve">Dancy, Jonathan.</t>
  </si>
  <si>
    <t xml:space="preserve">Oxford [England] ; Cambridge, Mass. : Blackwell , 1993.</t>
  </si>
  <si>
    <t xml:space="preserve">2009-03-16</t>
  </si>
  <si>
    <t xml:space="preserve">20644214:eng</t>
  </si>
  <si>
    <t xml:space="preserve">26095699</t>
  </si>
  <si>
    <t xml:space="preserve">991005298799702656</t>
  </si>
  <si>
    <t xml:space="preserve">2265507860002656</t>
  </si>
  <si>
    <t xml:space="preserve">9780631177753</t>
  </si>
  <si>
    <t xml:space="preserve">32285005509137</t>
  </si>
  <si>
    <t xml:space="preserve">893248687</t>
  </si>
  <si>
    <t xml:space="preserve">BJ1012 .E884 1983</t>
  </si>
  <si>
    <t xml:space="preserve">0                      BJ 1012000E  884         1983</t>
  </si>
  <si>
    <t xml:space="preserve">Ethical theory in the last quarter of the twentieth century / Charles L. Stevenson ... [et al.] ; edited, with an introduction by Norman E. Bowie.</t>
  </si>
  <si>
    <t xml:space="preserve">Indianapolis : Hackett Pub. Co., c1983.</t>
  </si>
  <si>
    <t xml:space="preserve">1993-05-01</t>
  </si>
  <si>
    <t xml:space="preserve">1991-01-09</t>
  </si>
  <si>
    <t xml:space="preserve">3857371451:eng</t>
  </si>
  <si>
    <t xml:space="preserve">8195552</t>
  </si>
  <si>
    <t xml:space="preserve">991005217359702656</t>
  </si>
  <si>
    <t xml:space="preserve">2268292590002656</t>
  </si>
  <si>
    <t xml:space="preserve">9780915145348</t>
  </si>
  <si>
    <t xml:space="preserve">32285000427400</t>
  </si>
  <si>
    <t xml:space="preserve">893326390</t>
  </si>
  <si>
    <t xml:space="preserve">BJ1012 .F637 1983</t>
  </si>
  <si>
    <t xml:space="preserve">0                      BJ 1012000F  637         1983</t>
  </si>
  <si>
    <t xml:space="preserve">Foundations of ethics / edited by Leroy S. Rouner.</t>
  </si>
  <si>
    <t xml:space="preserve">Notre Dame, Ind. : University of Notre Dame Press, c1983.</t>
  </si>
  <si>
    <t xml:space="preserve">Boston University studies in philosophy and religion ; v. 4</t>
  </si>
  <si>
    <t xml:space="preserve">2007-12-05</t>
  </si>
  <si>
    <t xml:space="preserve">1990-03-23</t>
  </si>
  <si>
    <t xml:space="preserve">54574014:eng</t>
  </si>
  <si>
    <t xml:space="preserve">9622027</t>
  </si>
  <si>
    <t xml:space="preserve">991000227919702656</t>
  </si>
  <si>
    <t xml:space="preserve">2270894210002656</t>
  </si>
  <si>
    <t xml:space="preserve">9780268009632</t>
  </si>
  <si>
    <t xml:space="preserve">32285000095850</t>
  </si>
  <si>
    <t xml:space="preserve">893865215</t>
  </si>
  <si>
    <t xml:space="preserve">BJ1012 .G47</t>
  </si>
  <si>
    <t xml:space="preserve">0                      BJ 1012000G  47</t>
  </si>
  <si>
    <t xml:space="preserve">Reason and morality / Alan Gewirth.</t>
  </si>
  <si>
    <t xml:space="preserve">Gewirth, Alan.</t>
  </si>
  <si>
    <t xml:space="preserve">Chicago : University of Chicago Press, 1978.</t>
  </si>
  <si>
    <t xml:space="preserve">2000-02-15</t>
  </si>
  <si>
    <t xml:space="preserve">1990-07-26</t>
  </si>
  <si>
    <t xml:space="preserve">1993-05-04</t>
  </si>
  <si>
    <t xml:space="preserve">418417:eng</t>
  </si>
  <si>
    <t xml:space="preserve">3327869</t>
  </si>
  <si>
    <t xml:space="preserve">991001781329702656</t>
  </si>
  <si>
    <t xml:space="preserve">2267232100002656</t>
  </si>
  <si>
    <t xml:space="preserve">9780226288758</t>
  </si>
  <si>
    <t xml:space="preserve">32285000248319</t>
  </si>
  <si>
    <t xml:space="preserve">893433137</t>
  </si>
  <si>
    <t xml:space="preserve">BJ1012 .G67 1988</t>
  </si>
  <si>
    <t xml:space="preserve">0                      BJ 1012000G  67          1988</t>
  </si>
  <si>
    <t xml:space="preserve">The Grammar of the heart : new essays in moral philosophy &amp; theology / edited by Richard H. Bell.</t>
  </si>
  <si>
    <t xml:space="preserve">San Francisco : Harper &amp; Row, c1988.</t>
  </si>
  <si>
    <t xml:space="preserve">1988</t>
  </si>
  <si>
    <t xml:space="preserve">2010-11-17</t>
  </si>
  <si>
    <t xml:space="preserve">1990-06-20</t>
  </si>
  <si>
    <t xml:space="preserve">1096928764:eng</t>
  </si>
  <si>
    <t xml:space="preserve">17108202</t>
  </si>
  <si>
    <t xml:space="preserve">991001180939702656</t>
  </si>
  <si>
    <t xml:space="preserve">2259340880002656</t>
  </si>
  <si>
    <t xml:space="preserve">9780060607678</t>
  </si>
  <si>
    <t xml:space="preserve">32285000178755</t>
  </si>
  <si>
    <t xml:space="preserve">893608626</t>
  </si>
  <si>
    <t xml:space="preserve">BJ1012 .H2925 1993</t>
  </si>
  <si>
    <t xml:space="preserve">0                      BJ 1012000H  2925        1993</t>
  </si>
  <si>
    <t xml:space="preserve">Essays in ethical theory / R.M. Hare.</t>
  </si>
  <si>
    <t xml:space="preserve">Hare, R. M. (Richard Mervyn)</t>
  </si>
  <si>
    <t xml:space="preserve">Oxford : Clarendon, 1993, c1989.</t>
  </si>
  <si>
    <t xml:space="preserve">2004-10-21</t>
  </si>
  <si>
    <t xml:space="preserve">17591773:eng</t>
  </si>
  <si>
    <t xml:space="preserve">18519968</t>
  </si>
  <si>
    <t xml:space="preserve">991004400479702656</t>
  </si>
  <si>
    <t xml:space="preserve">2261665300002656</t>
  </si>
  <si>
    <t xml:space="preserve">9780198240716</t>
  </si>
  <si>
    <t xml:space="preserve">32285005005433</t>
  </si>
  <si>
    <t xml:space="preserve">893605985</t>
  </si>
  <si>
    <t xml:space="preserve">BJ1012 .H3174 1992</t>
  </si>
  <si>
    <t xml:space="preserve">0                      BJ 1012000H  3174        1992</t>
  </si>
  <si>
    <t xml:space="preserve">Getting it right : language, literature, and ethics / Geoffrey Galt Harpham.</t>
  </si>
  <si>
    <t xml:space="preserve">Harpham, Geoffrey Galt, 1946-</t>
  </si>
  <si>
    <t xml:space="preserve">Chicago : University Of Chicago Press, c1992.</t>
  </si>
  <si>
    <t xml:space="preserve">1992</t>
  </si>
  <si>
    <t xml:space="preserve">2004-12-08</t>
  </si>
  <si>
    <t xml:space="preserve">26550964:eng</t>
  </si>
  <si>
    <t xml:space="preserve">24468520</t>
  </si>
  <si>
    <t xml:space="preserve">991004432829702656</t>
  </si>
  <si>
    <t xml:space="preserve">2271111030002656</t>
  </si>
  <si>
    <t xml:space="preserve">9780226316932</t>
  </si>
  <si>
    <t xml:space="preserve">32285005012934</t>
  </si>
  <si>
    <t xml:space="preserve">893700239</t>
  </si>
  <si>
    <t xml:space="preserve">BJ1012 .I88 1986</t>
  </si>
  <si>
    <t xml:space="preserve">0                      BJ 1012000I  88          1986</t>
  </si>
  <si>
    <t xml:space="preserve">Issues in moral philosophy / [compiled by] Thomas Donaldson.</t>
  </si>
  <si>
    <t xml:space="preserve">New York : McGraw-Hill, c1986.</t>
  </si>
  <si>
    <t xml:space="preserve">1986</t>
  </si>
  <si>
    <t xml:space="preserve">2007-11-27</t>
  </si>
  <si>
    <t xml:space="preserve">5280619:eng</t>
  </si>
  <si>
    <t xml:space="preserve">12343421</t>
  </si>
  <si>
    <t xml:space="preserve">991000674469702656</t>
  </si>
  <si>
    <t xml:space="preserve">2268005680002656</t>
  </si>
  <si>
    <t xml:space="preserve">9780070175341</t>
  </si>
  <si>
    <t xml:space="preserve">32285000302900</t>
  </si>
  <si>
    <t xml:space="preserve">893237519</t>
  </si>
  <si>
    <t xml:space="preserve">BJ1012 .J36 1988</t>
  </si>
  <si>
    <t xml:space="preserve">0                      BJ 1012000J  36          1988</t>
  </si>
  <si>
    <t xml:space="preserve">Communication ethics : methods of analysis / James A. Jaksa, Michael S. Pritchard.</t>
  </si>
  <si>
    <t xml:space="preserve">Jaksa, James A., 1931-</t>
  </si>
  <si>
    <t xml:space="preserve">Belmont, Calif. : Wadsworth, c1988.</t>
  </si>
  <si>
    <t xml:space="preserve">13072140:eng</t>
  </si>
  <si>
    <t xml:space="preserve">16950440</t>
  </si>
  <si>
    <t xml:space="preserve">991001169829702656</t>
  </si>
  <si>
    <t xml:space="preserve">2262893310002656</t>
  </si>
  <si>
    <t xml:space="preserve">9780534091026</t>
  </si>
  <si>
    <t xml:space="preserve">32285000302918</t>
  </si>
  <si>
    <t xml:space="preserve">893340214</t>
  </si>
  <si>
    <t xml:space="preserve">BJ1012 .K26 1988</t>
  </si>
  <si>
    <t xml:space="preserve">0                      BJ 1012000K  26          1988</t>
  </si>
  <si>
    <t xml:space="preserve">Ethics in context : towards the definition and differentiation of the morally good / Howard P. Kainz ; foreword by Vernon J. Bourke.</t>
  </si>
  <si>
    <t xml:space="preserve">Kainz, Howard P.</t>
  </si>
  <si>
    <t xml:space="preserve">Washington, D.C. : Georgetown University Press, 1988.</t>
  </si>
  <si>
    <t xml:space="preserve">dcu</t>
  </si>
  <si>
    <t xml:space="preserve">2008-02-15</t>
  </si>
  <si>
    <t xml:space="preserve">9952630:eng</t>
  </si>
  <si>
    <t xml:space="preserve">16085597</t>
  </si>
  <si>
    <t xml:space="preserve">991001080319702656</t>
  </si>
  <si>
    <t xml:space="preserve">2259317450002656</t>
  </si>
  <si>
    <t xml:space="preserve">9780878404629</t>
  </si>
  <si>
    <t xml:space="preserve">32285000302934</t>
  </si>
  <si>
    <t xml:space="preserve">893885021</t>
  </si>
  <si>
    <t xml:space="preserve">BJ1012 .K83 1983</t>
  </si>
  <si>
    <t xml:space="preserve">0                      BJ 1012000K  83          1983</t>
  </si>
  <si>
    <t xml:space="preserve">The foundations of morality / Joel J. Kupperman.</t>
  </si>
  <si>
    <t xml:space="preserve">Kupperman, Joel.</t>
  </si>
  <si>
    <t xml:space="preserve">London ; Boston : Allen &amp; Unwin, 1983.</t>
  </si>
  <si>
    <t xml:space="preserve">Unwin education books</t>
  </si>
  <si>
    <t xml:space="preserve">2002-04-24</t>
  </si>
  <si>
    <t xml:space="preserve">3863871467:eng</t>
  </si>
  <si>
    <t xml:space="preserve">8708905</t>
  </si>
  <si>
    <t xml:space="preserve">991000055649702656</t>
  </si>
  <si>
    <t xml:space="preserve">2256985200002656</t>
  </si>
  <si>
    <t xml:space="preserve">9780043701256</t>
  </si>
  <si>
    <t xml:space="preserve">32285000302967</t>
  </si>
  <si>
    <t xml:space="preserve">893620136</t>
  </si>
  <si>
    <t xml:space="preserve">BJ1012 .M6356 1985</t>
  </si>
  <si>
    <t xml:space="preserve">0                      BJ 1012000M  6356        1985</t>
  </si>
  <si>
    <t xml:space="preserve">Morality, reason and truth : new essays on the foundations of ethics / edited by David Copp and David Zimmerman.</t>
  </si>
  <si>
    <t xml:space="preserve">Totowa, N.J. : Rowman &amp; Allanheld, 1985, c1984.</t>
  </si>
  <si>
    <t xml:space="preserve">1985</t>
  </si>
  <si>
    <t xml:space="preserve">2002-04-08</t>
  </si>
  <si>
    <t xml:space="preserve">889511860:eng</t>
  </si>
  <si>
    <t xml:space="preserve">10924389</t>
  </si>
  <si>
    <t xml:space="preserve">991000459399702656</t>
  </si>
  <si>
    <t xml:space="preserve">2272561000002656</t>
  </si>
  <si>
    <t xml:space="preserve">9780847673698</t>
  </si>
  <si>
    <t xml:space="preserve">32285000303072</t>
  </si>
  <si>
    <t xml:space="preserve">893237337</t>
  </si>
  <si>
    <t xml:space="preserve">BJ1012 .R45 1962</t>
  </si>
  <si>
    <t xml:space="preserve">0                      BJ 1012000R  45          1962</t>
  </si>
  <si>
    <t xml:space="preserve">Philosophy of conduct / Henri Renard, William Rossner.</t>
  </si>
  <si>
    <t xml:space="preserve">Renard, Henri, 1894-</t>
  </si>
  <si>
    <t xml:space="preserve">Kansas City, Mo. : Rockhurst College, 1962</t>
  </si>
  <si>
    <t xml:space="preserve">1962</t>
  </si>
  <si>
    <t xml:space="preserve">"Experimental Edition."</t>
  </si>
  <si>
    <t xml:space="preserve">2010-12-17</t>
  </si>
  <si>
    <t xml:space="preserve">1991-09-23</t>
  </si>
  <si>
    <t xml:space="preserve">3943281908:eng</t>
  </si>
  <si>
    <t xml:space="preserve">11174584</t>
  </si>
  <si>
    <t xml:space="preserve">991001628839702656</t>
  </si>
  <si>
    <t xml:space="preserve">2259457190002656</t>
  </si>
  <si>
    <t xml:space="preserve">32285000761022</t>
  </si>
  <si>
    <t xml:space="preserve">893809112</t>
  </si>
  <si>
    <t xml:space="preserve">BJ1012 .R6</t>
  </si>
  <si>
    <t xml:space="preserve">0                      BJ 1012000R  6</t>
  </si>
  <si>
    <t xml:space="preserve">The Roots of ethics : science, religion, and values / edited by Daniel Callahan and H. Tristram Engelhardt.</t>
  </si>
  <si>
    <t xml:space="preserve">New York : Plenum Press, 1981.</t>
  </si>
  <si>
    <t xml:space="preserve">1981</t>
  </si>
  <si>
    <t xml:space="preserve">Hastings Center series in ethics</t>
  </si>
  <si>
    <t xml:space="preserve">836684359:eng</t>
  </si>
  <si>
    <t xml:space="preserve">8161388</t>
  </si>
  <si>
    <t xml:space="preserve">991005210209702656</t>
  </si>
  <si>
    <t xml:space="preserve">2257863090002656</t>
  </si>
  <si>
    <t xml:space="preserve">9780306407963</t>
  </si>
  <si>
    <t xml:space="preserve">32285000303148</t>
  </si>
  <si>
    <t xml:space="preserve">893628620</t>
  </si>
  <si>
    <t xml:space="preserve">BJ1012 .W49</t>
  </si>
  <si>
    <t xml:space="preserve">0                      BJ 1012000W  49</t>
  </si>
  <si>
    <t xml:space="preserve">What is and what ought to be done : an essay on ethics and epistemology / Morton White.</t>
  </si>
  <si>
    <t xml:space="preserve">White, Morton, 1917-2016.</t>
  </si>
  <si>
    <t xml:space="preserve">New York : Oxford University Press, 1981.</t>
  </si>
  <si>
    <t xml:space="preserve">2002-03-20</t>
  </si>
  <si>
    <t xml:space="preserve">25927515:eng</t>
  </si>
  <si>
    <t xml:space="preserve">7170636</t>
  </si>
  <si>
    <t xml:space="preserve">991005079999702656</t>
  </si>
  <si>
    <t xml:space="preserve">2256624700002656</t>
  </si>
  <si>
    <t xml:space="preserve">9780195029161</t>
  </si>
  <si>
    <t xml:space="preserve">32285000303239</t>
  </si>
  <si>
    <t xml:space="preserve">893236234</t>
  </si>
  <si>
    <t xml:space="preserve">BJ1025 .H3 1964</t>
  </si>
  <si>
    <t xml:space="preserve">0                      BJ 1025000H  3           1964</t>
  </si>
  <si>
    <t xml:space="preserve">The language of morals / [by] R.M. Hare.</t>
  </si>
  <si>
    <t xml:space="preserve">London ; New York : Oxford University Press, 1964.</t>
  </si>
  <si>
    <t xml:space="preserve">1964</t>
  </si>
  <si>
    <t xml:space="preserve">2010-03-28</t>
  </si>
  <si>
    <t xml:space="preserve">1404248:eng</t>
  </si>
  <si>
    <t xml:space="preserve">272994</t>
  </si>
  <si>
    <t xml:space="preserve">991002156779702656</t>
  </si>
  <si>
    <t xml:space="preserve">2262426440002656</t>
  </si>
  <si>
    <t xml:space="preserve">32285002260460</t>
  </si>
  <si>
    <t xml:space="preserve">893238691</t>
  </si>
  <si>
    <t xml:space="preserve">BJ1031 .T49 1986</t>
  </si>
  <si>
    <t xml:space="preserve">0                      BJ 1031000T  49          1986</t>
  </si>
  <si>
    <t xml:space="preserve">Rights, restitution, and risk : essays in moral theory / Judith Jarvis Thomson ; edited by William Parent.</t>
  </si>
  <si>
    <t xml:space="preserve">Thomson, Judith Jarvis.</t>
  </si>
  <si>
    <t xml:space="preserve">Cambridge, Mass. : Harvard University Press, 1986.</t>
  </si>
  <si>
    <t xml:space="preserve">2001-04-29</t>
  </si>
  <si>
    <t xml:space="preserve">1991-08-06</t>
  </si>
  <si>
    <t xml:space="preserve">836695002:eng</t>
  </si>
  <si>
    <t xml:space="preserve">13010739</t>
  </si>
  <si>
    <t xml:space="preserve">991001632209702656</t>
  </si>
  <si>
    <t xml:space="preserve">2258326810002656</t>
  </si>
  <si>
    <t xml:space="preserve">9780674769809</t>
  </si>
  <si>
    <t xml:space="preserve">32285000303387</t>
  </si>
  <si>
    <t xml:space="preserve">893516333</t>
  </si>
  <si>
    <t xml:space="preserve">BJ1077 .M3</t>
  </si>
  <si>
    <t xml:space="preserve">0                      BJ 1077000M  3</t>
  </si>
  <si>
    <t xml:space="preserve">Neuf leçons sur les notions premiéres de la philosophie morale.</t>
  </si>
  <si>
    <t xml:space="preserve">Maritain, Jacques, 1882-1973.</t>
  </si>
  <si>
    <t xml:space="preserve">Paris : P. Téqui, [1951]</t>
  </si>
  <si>
    <t xml:space="preserve">1951</t>
  </si>
  <si>
    <t xml:space="preserve">Cours et documents. Philosophie. Théologie</t>
  </si>
  <si>
    <t xml:space="preserve">2008-06-05</t>
  </si>
  <si>
    <t xml:space="preserve">1990-09-18</t>
  </si>
  <si>
    <t xml:space="preserve">2626824:eng</t>
  </si>
  <si>
    <t xml:space="preserve">1817525</t>
  </si>
  <si>
    <t xml:space="preserve">991003898189702656</t>
  </si>
  <si>
    <t xml:space="preserve">2267013990002656</t>
  </si>
  <si>
    <t xml:space="preserve">32285000304583</t>
  </si>
  <si>
    <t xml:space="preserve">893699555</t>
  </si>
  <si>
    <t xml:space="preserve">BJ1114 .B5713 1989</t>
  </si>
  <si>
    <t xml:space="preserve">0                      BJ 1114000B  5713        1989</t>
  </si>
  <si>
    <t xml:space="preserve">What reason demands / Rüdiger Bittner ; translated by Theodore Talbot.</t>
  </si>
  <si>
    <t xml:space="preserve">Bittner, Rüdiger, 1945-</t>
  </si>
  <si>
    <t xml:space="preserve">Cambridge [England] ; New York : Cambridge University Press, 1989.</t>
  </si>
  <si>
    <t xml:space="preserve">1989</t>
  </si>
  <si>
    <t xml:space="preserve">2001-02-28</t>
  </si>
  <si>
    <t xml:space="preserve">1990-02-24</t>
  </si>
  <si>
    <t xml:space="preserve">17089745:eng</t>
  </si>
  <si>
    <t xml:space="preserve">18191534</t>
  </si>
  <si>
    <t xml:space="preserve">991005409539702656</t>
  </si>
  <si>
    <t xml:space="preserve">2269174390002656</t>
  </si>
  <si>
    <t xml:space="preserve">9780521352154</t>
  </si>
  <si>
    <t xml:space="preserve">32285000039320</t>
  </si>
  <si>
    <t xml:space="preserve">893248875</t>
  </si>
  <si>
    <t xml:space="preserve">BJ1114 .M413</t>
  </si>
  <si>
    <t xml:space="preserve">0                      BJ 1114000M  413</t>
  </si>
  <si>
    <t xml:space="preserve">Morality, decision, and social organization : toward a logic of ethics / Karl Menger.</t>
  </si>
  <si>
    <t xml:space="preserve">Menger, Karl, 1902-1985.</t>
  </si>
  <si>
    <t xml:space="preserve">Dordrecht ; Boston : D. Reidel Pub. Co., c1974.</t>
  </si>
  <si>
    <t xml:space="preserve">1974</t>
  </si>
  <si>
    <t xml:space="preserve">Vienna Circle collection ; v. 6</t>
  </si>
  <si>
    <t xml:space="preserve">2000-10-10</t>
  </si>
  <si>
    <t xml:space="preserve">4666473325:eng</t>
  </si>
  <si>
    <t xml:space="preserve">1340630</t>
  </si>
  <si>
    <t xml:space="preserve">991003704169702656</t>
  </si>
  <si>
    <t xml:space="preserve">2261897290002656</t>
  </si>
  <si>
    <t xml:space="preserve">9789027703187</t>
  </si>
  <si>
    <t xml:space="preserve">32285002260585</t>
  </si>
  <si>
    <t xml:space="preserve">893512256</t>
  </si>
  <si>
    <t xml:space="preserve">BJ1188 .W56 1989</t>
  </si>
  <si>
    <t xml:space="preserve">0                      BJ 1188000W  56          1989</t>
  </si>
  <si>
    <t xml:space="preserve">Community and spiritual transformation : religion and politics in a communal age / Gibson Winter.</t>
  </si>
  <si>
    <t xml:space="preserve">Winter, Gibson.</t>
  </si>
  <si>
    <t xml:space="preserve">New York : Crossroad, c1989.</t>
  </si>
  <si>
    <t xml:space="preserve">2009-06-21</t>
  </si>
  <si>
    <t xml:space="preserve">1990-06-13</t>
  </si>
  <si>
    <t xml:space="preserve">21805169:eng</t>
  </si>
  <si>
    <t xml:space="preserve">19740719</t>
  </si>
  <si>
    <t xml:space="preserve">991001493689702656</t>
  </si>
  <si>
    <t xml:space="preserve">2264333210002656</t>
  </si>
  <si>
    <t xml:space="preserve">9780824509606</t>
  </si>
  <si>
    <t xml:space="preserve">32285000176601</t>
  </si>
  <si>
    <t xml:space="preserve">893256280</t>
  </si>
  <si>
    <t xml:space="preserve">BJ122 .D3 1965</t>
  </si>
  <si>
    <t xml:space="preserve">0                      BJ 0122000D  3           1965</t>
  </si>
  <si>
    <t xml:space="preserve">Development of moral philosophy in India.</t>
  </si>
  <si>
    <t xml:space="preserve">Dasgupta, Surama.</t>
  </si>
  <si>
    <t xml:space="preserve">New York, F. Ungar Pub. Co. [1965]</t>
  </si>
  <si>
    <t xml:space="preserve">2002-09-10</t>
  </si>
  <si>
    <t xml:space="preserve">199004842:eng</t>
  </si>
  <si>
    <t xml:space="preserve">353244</t>
  </si>
  <si>
    <t xml:space="preserve">991002452719702656</t>
  </si>
  <si>
    <t xml:space="preserve">2267936200002656</t>
  </si>
  <si>
    <t xml:space="preserve">32285002259447</t>
  </si>
  <si>
    <t xml:space="preserve">893421382</t>
  </si>
  <si>
    <t xml:space="preserve">BJ122 .K7 v.1</t>
  </si>
  <si>
    <t xml:space="preserve">0                      BJ 0122000K  7                                                       v.1</t>
  </si>
  <si>
    <t xml:space="preserve">Commentaries on living; first series, from the notebooks of J. Krishnamurti. Edited by D. Rajagopal.</t>
  </si>
  <si>
    <t xml:space="preserve">Krishnamurti, J. (Jiddu), 1895-1986.</t>
  </si>
  <si>
    <t xml:space="preserve">Wheaton, Ill., Theosophical Pub. House [1967, c1956]</t>
  </si>
  <si>
    <t xml:space="preserve">1967</t>
  </si>
  <si>
    <t xml:space="preserve">A Quest book</t>
  </si>
  <si>
    <t xml:space="preserve">2005-04-20</t>
  </si>
  <si>
    <t xml:space="preserve">10252425541:eng</t>
  </si>
  <si>
    <t xml:space="preserve">373496</t>
  </si>
  <si>
    <t xml:space="preserve">991002570329702656</t>
  </si>
  <si>
    <t xml:space="preserve">2261195000002656</t>
  </si>
  <si>
    <t xml:space="preserve">32285002259454</t>
  </si>
  <si>
    <t xml:space="preserve">893903971</t>
  </si>
  <si>
    <t xml:space="preserve">BJ122 .K7 v.2</t>
  </si>
  <si>
    <t xml:space="preserve">0                      BJ 0122000K  7                                                       v.2</t>
  </si>
  <si>
    <t xml:space="preserve">Commentaries on living; second series, from the notebooks of J. Krishnamurti. Edited by D. Rajagopal.</t>
  </si>
  <si>
    <t xml:space="preserve">Wheaton, Ill., Theosophical Pub. House [1967, c1958]</t>
  </si>
  <si>
    <t xml:space="preserve">2007-11-04</t>
  </si>
  <si>
    <t xml:space="preserve">5481507636:eng</t>
  </si>
  <si>
    <t xml:space="preserve">375272</t>
  </si>
  <si>
    <t xml:space="preserve">991002583649702656</t>
  </si>
  <si>
    <t xml:space="preserve">2264123140002656</t>
  </si>
  <si>
    <t xml:space="preserve">32285002259462</t>
  </si>
  <si>
    <t xml:space="preserve">893510935</t>
  </si>
  <si>
    <t xml:space="preserve">BJ122 .K7 v.3</t>
  </si>
  <si>
    <t xml:space="preserve">0                      BJ 0122000K  7                                                       v.3</t>
  </si>
  <si>
    <t xml:space="preserve">Commentaries on living; third series, from the notebooks of J. Krishnamurti. Edited by D. Rajagopal.</t>
  </si>
  <si>
    <t xml:space="preserve">Wheaton, Ill., Theosophical Pub. House [1967, c1960]</t>
  </si>
  <si>
    <t xml:space="preserve">2001-03-16</t>
  </si>
  <si>
    <t xml:space="preserve">4916079813:eng</t>
  </si>
  <si>
    <t xml:space="preserve">373494</t>
  </si>
  <si>
    <t xml:space="preserve">991002570309702656</t>
  </si>
  <si>
    <t xml:space="preserve">2261196470002656</t>
  </si>
  <si>
    <t xml:space="preserve">32285002259470</t>
  </si>
  <si>
    <t xml:space="preserve">893535084</t>
  </si>
  <si>
    <t xml:space="preserve">BJ122 .S47 1965</t>
  </si>
  <si>
    <t xml:space="preserve">0                      BJ 0122000S  47          1965</t>
  </si>
  <si>
    <t xml:space="preserve">Ethical philosophies of India, by I. C. Sharma. Edited and revised by Stanley M. Daugert.</t>
  </si>
  <si>
    <t xml:space="preserve">Sharma, I. C. (Ishwar Chandra), 1921-</t>
  </si>
  <si>
    <t xml:space="preserve">Lincoln, Neb., Johnsen Pub. Co., [1965]</t>
  </si>
  <si>
    <t xml:space="preserve">nbu</t>
  </si>
  <si>
    <t xml:space="preserve">2002-09-25</t>
  </si>
  <si>
    <t xml:space="preserve">1319567:eng</t>
  </si>
  <si>
    <t xml:space="preserve">774060</t>
  </si>
  <si>
    <t xml:space="preserve">991003249209702656</t>
  </si>
  <si>
    <t xml:space="preserve">2262520030002656</t>
  </si>
  <si>
    <t xml:space="preserve">32285002259488</t>
  </si>
  <si>
    <t xml:space="preserve">893893531</t>
  </si>
  <si>
    <t xml:space="preserve">BJ1231 .R3</t>
  </si>
  <si>
    <t xml:space="preserve">0                      BJ 1231000R  3</t>
  </si>
  <si>
    <t xml:space="preserve">Nine modern moralists.</t>
  </si>
  <si>
    <t xml:space="preserve">Ramsey, Paul.</t>
  </si>
  <si>
    <t xml:space="preserve">Englewood Cliffs, N.J., Prentice-Hall [1962]</t>
  </si>
  <si>
    <t xml:space="preserve">A Spectrum book, S-36</t>
  </si>
  <si>
    <t xml:space="preserve">1999-04-07</t>
  </si>
  <si>
    <t xml:space="preserve">1412173:eng</t>
  </si>
  <si>
    <t xml:space="preserve">324853</t>
  </si>
  <si>
    <t xml:space="preserve">991002347909702656</t>
  </si>
  <si>
    <t xml:space="preserve">2254728940002656</t>
  </si>
  <si>
    <t xml:space="preserve">32285002260650</t>
  </si>
  <si>
    <t xml:space="preserve">893245059</t>
  </si>
  <si>
    <t xml:space="preserve">BJ1241 .P8 1974</t>
  </si>
  <si>
    <t xml:space="preserve">0                      BJ 1241000P  8           1974</t>
  </si>
  <si>
    <t xml:space="preserve">A review of the principal questions in morals.</t>
  </si>
  <si>
    <t xml:space="preserve">Price, Richard, 1723-1791.</t>
  </si>
  <si>
    <t xml:space="preserve">New York, B. Franklin Reprints [1974]</t>
  </si>
  <si>
    <t xml:space="preserve">3d ed., corr. and enl.</t>
  </si>
  <si>
    <t xml:space="preserve">Burt Franklin research and source works series, 149. Philosophy and religious history monographs</t>
  </si>
  <si>
    <t xml:space="preserve">2004-09-20</t>
  </si>
  <si>
    <t xml:space="preserve">5090776733:eng</t>
  </si>
  <si>
    <t xml:space="preserve">1156540</t>
  </si>
  <si>
    <t xml:space="preserve">991003577059702656</t>
  </si>
  <si>
    <t xml:space="preserve">2262939450002656</t>
  </si>
  <si>
    <t xml:space="preserve">9780833728319</t>
  </si>
  <si>
    <t xml:space="preserve">32285002260676</t>
  </si>
  <si>
    <t xml:space="preserve">893428943</t>
  </si>
  <si>
    <t xml:space="preserve">BJ1241 .S43 1987</t>
  </si>
  <si>
    <t xml:space="preserve">0                      BJ 1241000S  43          1987</t>
  </si>
  <si>
    <t xml:space="preserve">Sacramental ethics : Paschal identity and the Christian life / Timothy F. Sedgwick.</t>
  </si>
  <si>
    <t xml:space="preserve">Sedgwick, Timothy F.</t>
  </si>
  <si>
    <t xml:space="preserve">1999-02-02</t>
  </si>
  <si>
    <t xml:space="preserve">1995-07-20</t>
  </si>
  <si>
    <t xml:space="preserve">889735165:eng</t>
  </si>
  <si>
    <t xml:space="preserve">15198563</t>
  </si>
  <si>
    <t xml:space="preserve">991001001069702656</t>
  </si>
  <si>
    <t xml:space="preserve">2260553770002656</t>
  </si>
  <si>
    <t xml:space="preserve">9780800619657</t>
  </si>
  <si>
    <t xml:space="preserve">32285002022233</t>
  </si>
  <si>
    <t xml:space="preserve">893503010</t>
  </si>
  <si>
    <t xml:space="preserve">BJ1249 .C65 1939</t>
  </si>
  <si>
    <t xml:space="preserve">0                      BJ 1249000C  65          1939</t>
  </si>
  <si>
    <t xml:space="preserve">Liberty : its use and abuse, being the principles of ethics, basic and applied / by Ignatius W. Cox.</t>
  </si>
  <si>
    <t xml:space="preserve">Cox, Ignatius W. (Ignatius Wiley), 1883-1965.</t>
  </si>
  <si>
    <t xml:space="preserve">New York : Fordham University Press, 1939.</t>
  </si>
  <si>
    <t xml:space="preserve">1939</t>
  </si>
  <si>
    <t xml:space="preserve">2nd ed. rev.</t>
  </si>
  <si>
    <t xml:space="preserve">2001-03-19</t>
  </si>
  <si>
    <t xml:space="preserve">1945593:eng</t>
  </si>
  <si>
    <t xml:space="preserve">3113792</t>
  </si>
  <si>
    <t xml:space="preserve">991004349329702656</t>
  </si>
  <si>
    <t xml:space="preserve">2265500820002656</t>
  </si>
  <si>
    <t xml:space="preserve">32285002260775</t>
  </si>
  <si>
    <t xml:space="preserve">893337617</t>
  </si>
  <si>
    <t xml:space="preserve">BJ1249 .C843</t>
  </si>
  <si>
    <t xml:space="preserve">0                      BJ 1249000C  843</t>
  </si>
  <si>
    <t xml:space="preserve">Transition and tradition in moral theology / Charles E. Curran.</t>
  </si>
  <si>
    <t xml:space="preserve">Curran, Charles E.</t>
  </si>
  <si>
    <t xml:space="preserve">Notre Dame, Ind. : University of Notre Dame Press, c1979.</t>
  </si>
  <si>
    <t xml:space="preserve">2008-03-05</t>
  </si>
  <si>
    <t xml:space="preserve">430752:eng</t>
  </si>
  <si>
    <t xml:space="preserve">4516030</t>
  </si>
  <si>
    <t xml:space="preserve">991001789159702656</t>
  </si>
  <si>
    <t xml:space="preserve">2264718650002656</t>
  </si>
  <si>
    <t xml:space="preserve">9780268018375</t>
  </si>
  <si>
    <t xml:space="preserve">32285000304823</t>
  </si>
  <si>
    <t xml:space="preserve">893885547</t>
  </si>
  <si>
    <t xml:space="preserve">BJ1249 .D88 1987</t>
  </si>
  <si>
    <t xml:space="preserve">0                      BJ 1249000D  88          1987</t>
  </si>
  <si>
    <t xml:space="preserve">Foundations of Christian ethics / John C. Dwyer.</t>
  </si>
  <si>
    <t xml:space="preserve">Dwyer, John C.</t>
  </si>
  <si>
    <t xml:space="preserve">New York : Paulist Press, c1987.</t>
  </si>
  <si>
    <t xml:space="preserve">1998-01-14</t>
  </si>
  <si>
    <t xml:space="preserve">11555342:eng</t>
  </si>
  <si>
    <t xml:space="preserve">15791271</t>
  </si>
  <si>
    <t xml:space="preserve">991001062489702656</t>
  </si>
  <si>
    <t xml:space="preserve">2259758960002656</t>
  </si>
  <si>
    <t xml:space="preserve">9780809129089</t>
  </si>
  <si>
    <t xml:space="preserve">32285000304831</t>
  </si>
  <si>
    <t xml:space="preserve">893334019</t>
  </si>
  <si>
    <t xml:space="preserve">BJ1249 .H355 1986</t>
  </si>
  <si>
    <t xml:space="preserve">0                      BJ 1249000H  355         1986</t>
  </si>
  <si>
    <t xml:space="preserve">Conversion and discipleship : a Christian foundation for ethics and doctrine / Stephen Happel &amp; James J. Walter.</t>
  </si>
  <si>
    <t xml:space="preserve">Happel, Stephen, 1944-</t>
  </si>
  <si>
    <t xml:space="preserve">Philadelphia, Pa. : Fortress Press, c1986.</t>
  </si>
  <si>
    <t xml:space="preserve">1995-03-16</t>
  </si>
  <si>
    <t xml:space="preserve">438994444:eng</t>
  </si>
  <si>
    <t xml:space="preserve">13124959</t>
  </si>
  <si>
    <t xml:space="preserve">991000786419702656</t>
  </si>
  <si>
    <t xml:space="preserve">2257415400002656</t>
  </si>
  <si>
    <t xml:space="preserve">9780800619084</t>
  </si>
  <si>
    <t xml:space="preserve">32285000304872</t>
  </si>
  <si>
    <t xml:space="preserve">893884756</t>
  </si>
  <si>
    <t xml:space="preserve">BJ1249 .H55</t>
  </si>
  <si>
    <t xml:space="preserve">0                      BJ 1249000H  55</t>
  </si>
  <si>
    <t xml:space="preserve">Ethics, general and special / by Owen A. Hill.</t>
  </si>
  <si>
    <t xml:space="preserve">Hill, Owen A. (Owen Aloysius), 1863-1930.</t>
  </si>
  <si>
    <t xml:space="preserve">New York : The Macmillan Co., 1920.</t>
  </si>
  <si>
    <t xml:space="preserve">1920</t>
  </si>
  <si>
    <t xml:space="preserve">2001-04-05</t>
  </si>
  <si>
    <t xml:space="preserve">2790405:eng</t>
  </si>
  <si>
    <t xml:space="preserve">1934129</t>
  </si>
  <si>
    <t xml:space="preserve">991003941899702656</t>
  </si>
  <si>
    <t xml:space="preserve">2262252390002656</t>
  </si>
  <si>
    <t xml:space="preserve">32285002260866</t>
  </si>
  <si>
    <t xml:space="preserve">893519069</t>
  </si>
  <si>
    <t xml:space="preserve">BJ1249 .K53 1980</t>
  </si>
  <si>
    <t xml:space="preserve">0                      BJ 1249000K  53          1980</t>
  </si>
  <si>
    <t xml:space="preserve">Psychology and moral theology : lines of convergence / Bartholomew M. Kiely.</t>
  </si>
  <si>
    <t xml:space="preserve">Kiely, Bartholomew M., 1942-</t>
  </si>
  <si>
    <t xml:space="preserve">Rome : Gregorian University Press, 1980.</t>
  </si>
  <si>
    <t xml:space="preserve">1980</t>
  </si>
  <si>
    <t xml:space="preserve">1999-11-29</t>
  </si>
  <si>
    <t xml:space="preserve">21477575:eng</t>
  </si>
  <si>
    <t xml:space="preserve">8442166</t>
  </si>
  <si>
    <t xml:space="preserve">991005243949702656</t>
  </si>
  <si>
    <t xml:space="preserve">2263386990002656</t>
  </si>
  <si>
    <t xml:space="preserve">32285000304906</t>
  </si>
  <si>
    <t xml:space="preserve">893600874</t>
  </si>
  <si>
    <t xml:space="preserve">BJ1249 .R5 1918</t>
  </si>
  <si>
    <t xml:space="preserve">0                      BJ 1249000R  5           1918</t>
  </si>
  <si>
    <t xml:space="preserve">Moral philosophy: Ethics deontology and natural law. By Joseph Rickaby.</t>
  </si>
  <si>
    <t xml:space="preserve">Rickaby, Joseph, 1845-1932.</t>
  </si>
  <si>
    <t xml:space="preserve">London, New York [etc.] Longmans, Green, and co., 1918.</t>
  </si>
  <si>
    <t xml:space="preserve">1918</t>
  </si>
  <si>
    <t xml:space="preserve">4th ed.</t>
  </si>
  <si>
    <t xml:space="preserve">Stonyhurst philosophical series</t>
  </si>
  <si>
    <t xml:space="preserve">2008-03-04</t>
  </si>
  <si>
    <t xml:space="preserve">3855295088:eng</t>
  </si>
  <si>
    <t xml:space="preserve">2672442</t>
  </si>
  <si>
    <t xml:space="preserve">991004207809702656</t>
  </si>
  <si>
    <t xml:space="preserve">2260550620002656</t>
  </si>
  <si>
    <t xml:space="preserve">32285002260916</t>
  </si>
  <si>
    <t xml:space="preserve">893253396</t>
  </si>
  <si>
    <t xml:space="preserve">BJ1249 .R8 1926</t>
  </si>
  <si>
    <t xml:space="preserve">0                      BJ 1249000R  8           1926</t>
  </si>
  <si>
    <t xml:space="preserve">Christian ethics : the book of right living / by J. Elliot Ross.</t>
  </si>
  <si>
    <t xml:space="preserve">Ross, J. Elliot (John Elliot), 1884-1946.</t>
  </si>
  <si>
    <t xml:space="preserve">New York, The Devin-Adair company, 1924, 1926 printing.</t>
  </si>
  <si>
    <t xml:space="preserve">1924</t>
  </si>
  <si>
    <t xml:space="preserve">2004-12-05</t>
  </si>
  <si>
    <t xml:space="preserve">1996-04-25</t>
  </si>
  <si>
    <t xml:space="preserve">2972555:eng</t>
  </si>
  <si>
    <t xml:space="preserve">1843412</t>
  </si>
  <si>
    <t xml:space="preserve">991003907689702656</t>
  </si>
  <si>
    <t xml:space="preserve">2260157310002656</t>
  </si>
  <si>
    <t xml:space="preserve">32285002160371</t>
  </si>
  <si>
    <t xml:space="preserve">893330978</t>
  </si>
  <si>
    <t xml:space="preserve">BJ1249 .V6 1972</t>
  </si>
  <si>
    <t xml:space="preserve">0                      BJ 1249000V  6           1972</t>
  </si>
  <si>
    <t xml:space="preserve">Ethics.</t>
  </si>
  <si>
    <t xml:space="preserve">Von Hildebrand, Dietrich, 1889-1977.</t>
  </si>
  <si>
    <t xml:space="preserve">Chicago : Franciscan Herald Press, [1972, c1953]</t>
  </si>
  <si>
    <t xml:space="preserve">1972</t>
  </si>
  <si>
    <t xml:space="preserve">1994-03-07</t>
  </si>
  <si>
    <t xml:space="preserve">1994-02-23</t>
  </si>
  <si>
    <t xml:space="preserve">21619497:eng</t>
  </si>
  <si>
    <t xml:space="preserve">488514</t>
  </si>
  <si>
    <t xml:space="preserve">991002854519702656</t>
  </si>
  <si>
    <t xml:space="preserve">2256254750002656</t>
  </si>
  <si>
    <t xml:space="preserve">9780819904454</t>
  </si>
  <si>
    <t xml:space="preserve">32285001839900</t>
  </si>
  <si>
    <t xml:space="preserve">893421876</t>
  </si>
  <si>
    <t xml:space="preserve">BJ1250 .W432 1993</t>
  </si>
  <si>
    <t xml:space="preserve">0                      BJ 1250000W  432         1993</t>
  </si>
  <si>
    <t xml:space="preserve">The price of prophecy : Orthodox Churches on peace, freedom, and security / Alexander F.C. Webster ; foreword by George Huntston Williams.</t>
  </si>
  <si>
    <t xml:space="preserve">Webster, Alexander F. C.</t>
  </si>
  <si>
    <t xml:space="preserve">Washington, D.C. : Ethics and Public Policy Center, c1993.</t>
  </si>
  <si>
    <t xml:space="preserve">1995-02-15</t>
  </si>
  <si>
    <t xml:space="preserve">21004922:eng</t>
  </si>
  <si>
    <t xml:space="preserve">27066280</t>
  </si>
  <si>
    <t xml:space="preserve">991002111139702656</t>
  </si>
  <si>
    <t xml:space="preserve">2256934730002656</t>
  </si>
  <si>
    <t xml:space="preserve">9780896331686</t>
  </si>
  <si>
    <t xml:space="preserve">32285001843472</t>
  </si>
  <si>
    <t xml:space="preserve">893516905</t>
  </si>
  <si>
    <t xml:space="preserve">BJ1251 .D43</t>
  </si>
  <si>
    <t xml:space="preserve">0                      BJ 1251000D  43</t>
  </si>
  <si>
    <t xml:space="preserve">An outline of Anglican moral theology.</t>
  </si>
  <si>
    <t xml:space="preserve">Dewar, Lindsay, 1891-</t>
  </si>
  <si>
    <t xml:space="preserve">London, Mowbray, 1968.</t>
  </si>
  <si>
    <t xml:space="preserve">1968</t>
  </si>
  <si>
    <t xml:space="preserve">2004-01-09</t>
  </si>
  <si>
    <t xml:space="preserve">1996-08-13</t>
  </si>
  <si>
    <t xml:space="preserve">1212483:eng</t>
  </si>
  <si>
    <t xml:space="preserve">43242</t>
  </si>
  <si>
    <t xml:space="preserve">991000098359702656</t>
  </si>
  <si>
    <t xml:space="preserve">2260645780002656</t>
  </si>
  <si>
    <t xml:space="preserve">9780264655611</t>
  </si>
  <si>
    <t xml:space="preserve">32285002261047</t>
  </si>
  <si>
    <t xml:space="preserve">893884110</t>
  </si>
  <si>
    <t xml:space="preserve">BJ1251 .D57</t>
  </si>
  <si>
    <t xml:space="preserve">0                      BJ 1251000D  57</t>
  </si>
  <si>
    <t xml:space="preserve">The distinctiveness of Christian ethics / edited by Charles E. Curran and Richard A. McCormick.</t>
  </si>
  <si>
    <t xml:space="preserve">New York : Paulist Press, c1980.</t>
  </si>
  <si>
    <t xml:space="preserve">Readings in moral theology ; no. 2</t>
  </si>
  <si>
    <t xml:space="preserve">1995-05-24</t>
  </si>
  <si>
    <t xml:space="preserve">1990-09-19</t>
  </si>
  <si>
    <t xml:space="preserve">356242249:eng</t>
  </si>
  <si>
    <t xml:space="preserve">7174925</t>
  </si>
  <si>
    <t xml:space="preserve">991005082689702656</t>
  </si>
  <si>
    <t xml:space="preserve">2269713780002656</t>
  </si>
  <si>
    <t xml:space="preserve">9780809123032</t>
  </si>
  <si>
    <t xml:space="preserve">32285000305176</t>
  </si>
  <si>
    <t xml:space="preserve">893883307</t>
  </si>
  <si>
    <t xml:space="preserve">BJ1251 .D63 1994</t>
  </si>
  <si>
    <t xml:space="preserve">0                      BJ 1251000D  63          1994</t>
  </si>
  <si>
    <t xml:space="preserve">Doing ethics in context : South African perspectives / edited by Charles Villa-Vicencio and John W. de Gruchy.</t>
  </si>
  <si>
    <t xml:space="preserve">Maryknoll, N.Y. : Orbis Books ; Cape Town : D. Philip, 1994.</t>
  </si>
  <si>
    <t xml:space="preserve">1994</t>
  </si>
  <si>
    <t xml:space="preserve">Theology and praxis ; v. 2</t>
  </si>
  <si>
    <t xml:space="preserve">2003-11-02</t>
  </si>
  <si>
    <t xml:space="preserve">1995-11-06</t>
  </si>
  <si>
    <t xml:space="preserve">3769490021:eng</t>
  </si>
  <si>
    <t xml:space="preserve">30788426</t>
  </si>
  <si>
    <t xml:space="preserve">991002369129702656</t>
  </si>
  <si>
    <t xml:space="preserve">2269011640002656</t>
  </si>
  <si>
    <t xml:space="preserve">9780864862662</t>
  </si>
  <si>
    <t xml:space="preserve">32285002101110</t>
  </si>
  <si>
    <t xml:space="preserve">893316733</t>
  </si>
  <si>
    <t xml:space="preserve">BJ1251 .F516</t>
  </si>
  <si>
    <t xml:space="preserve">0                      BJ 1251000F  516</t>
  </si>
  <si>
    <t xml:space="preserve">Hello, lovers! : an introduction to situation ethics / [by] Joseph Fletcher and Thomas Wassmer. Edited by William E. May.</t>
  </si>
  <si>
    <t xml:space="preserve">Fletcher, Joseph F.</t>
  </si>
  <si>
    <t xml:space="preserve">Washington : Corpus Books, [1970]</t>
  </si>
  <si>
    <t xml:space="preserve">2008-05-13</t>
  </si>
  <si>
    <t xml:space="preserve">1991-12-02</t>
  </si>
  <si>
    <t xml:space="preserve">422524051:eng</t>
  </si>
  <si>
    <t xml:space="preserve">93783</t>
  </si>
  <si>
    <t xml:space="preserve">991000564109702656</t>
  </si>
  <si>
    <t xml:space="preserve">2265741330002656</t>
  </si>
  <si>
    <t xml:space="preserve">32285000845221</t>
  </si>
  <si>
    <t xml:space="preserve">893407312</t>
  </si>
  <si>
    <t xml:space="preserve">BJ1251 .F52</t>
  </si>
  <si>
    <t xml:space="preserve">0                      BJ 1251000F  52</t>
  </si>
  <si>
    <t xml:space="preserve">Moral responsibility : situation ethics at work / by Joseph Fletcher.</t>
  </si>
  <si>
    <t xml:space="preserve">Philadelphia : Westminster Press, [1967]</t>
  </si>
  <si>
    <t xml:space="preserve">3186011:eng</t>
  </si>
  <si>
    <t xml:space="preserve">170070</t>
  </si>
  <si>
    <t xml:space="preserve">991000964049702656</t>
  </si>
  <si>
    <t xml:space="preserve">2269331170002656</t>
  </si>
  <si>
    <t xml:space="preserve">32285000845213</t>
  </si>
  <si>
    <t xml:space="preserve">893243756</t>
  </si>
  <si>
    <t xml:space="preserve">BJ1251 .G87</t>
  </si>
  <si>
    <t xml:space="preserve">0                      BJ 1251000G  87</t>
  </si>
  <si>
    <t xml:space="preserve">Christ and the moral life [by] James M. Gustafson.</t>
  </si>
  <si>
    <t xml:space="preserve">Gustafson, James M.</t>
  </si>
  <si>
    <t xml:space="preserve">New York, Harper &amp; Row [1968]</t>
  </si>
  <si>
    <t xml:space="preserve">2002-05-24</t>
  </si>
  <si>
    <t xml:space="preserve">418486:eng</t>
  </si>
  <si>
    <t xml:space="preserve">304710</t>
  </si>
  <si>
    <t xml:space="preserve">991002261649702656</t>
  </si>
  <si>
    <t xml:space="preserve">2271297660002656</t>
  </si>
  <si>
    <t xml:space="preserve">32285002261088</t>
  </si>
  <si>
    <t xml:space="preserve">893609657</t>
  </si>
  <si>
    <t xml:space="preserve">BJ1251 .R284 1994</t>
  </si>
  <si>
    <t xml:space="preserve">0                      BJ 1251000R  284         1994</t>
  </si>
  <si>
    <t xml:space="preserve">The essential Paul Ramsey : a collection / edited by William Werpehowski and Stephen D. Crocco.</t>
  </si>
  <si>
    <t xml:space="preserve">New Haven : Yale University Press, c1994.</t>
  </si>
  <si>
    <t xml:space="preserve">2005-12-01</t>
  </si>
  <si>
    <t xml:space="preserve">1995-01-23</t>
  </si>
  <si>
    <t xml:space="preserve">836899380:eng</t>
  </si>
  <si>
    <t xml:space="preserve">28800201</t>
  </si>
  <si>
    <t xml:space="preserve">991002234569702656</t>
  </si>
  <si>
    <t xml:space="preserve">2258585120002656</t>
  </si>
  <si>
    <t xml:space="preserve">9780300058154</t>
  </si>
  <si>
    <t xml:space="preserve">32285001994978</t>
  </si>
  <si>
    <t xml:space="preserve">893439921</t>
  </si>
  <si>
    <t xml:space="preserve">BJ1251 .S4</t>
  </si>
  <si>
    <t xml:space="preserve">0                      BJ 1251000S  4</t>
  </si>
  <si>
    <t xml:space="preserve">Theological ethics [by] James Sellers.</t>
  </si>
  <si>
    <t xml:space="preserve">Sellers, James, 1926-</t>
  </si>
  <si>
    <t xml:space="preserve">New York, Macmillan [1966]</t>
  </si>
  <si>
    <t xml:space="preserve">2004-12-09</t>
  </si>
  <si>
    <t xml:space="preserve">1458826:eng</t>
  </si>
  <si>
    <t xml:space="preserve">374116</t>
  </si>
  <si>
    <t xml:space="preserve">991002572709702656</t>
  </si>
  <si>
    <t xml:space="preserve">2262138460002656</t>
  </si>
  <si>
    <t xml:space="preserve">32285002261195</t>
  </si>
  <si>
    <t xml:space="preserve">893517453</t>
  </si>
  <si>
    <t xml:space="preserve">BJ1251 .S43</t>
  </si>
  <si>
    <t xml:space="preserve">0                      BJ 1251000S  43</t>
  </si>
  <si>
    <t xml:space="preserve">The structure of Christian ethics.</t>
  </si>
  <si>
    <t xml:space="preserve">Sittler, Joseph.</t>
  </si>
  <si>
    <t xml:space="preserve">Baton Rouge, Louisiana State University Press, 1958.</t>
  </si>
  <si>
    <t xml:space="preserve">1958</t>
  </si>
  <si>
    <t xml:space="preserve">Rockwell lectures</t>
  </si>
  <si>
    <t xml:space="preserve">2005-09-07</t>
  </si>
  <si>
    <t xml:space="preserve">566933:eng</t>
  </si>
  <si>
    <t xml:space="preserve">282329</t>
  </si>
  <si>
    <t xml:space="preserve">991002193869702656</t>
  </si>
  <si>
    <t xml:space="preserve">2266202550002656</t>
  </si>
  <si>
    <t xml:space="preserve">32285002261203</t>
  </si>
  <si>
    <t xml:space="preserve">893785832</t>
  </si>
  <si>
    <t xml:space="preserve">BJ1252 .M413</t>
  </si>
  <si>
    <t xml:space="preserve">0                      BJ 1252000M  413</t>
  </si>
  <si>
    <t xml:space="preserve">Catholic ethics and Protestant ethics / translated by James H. Farley.</t>
  </si>
  <si>
    <t xml:space="preserve">Mehl, Roger.</t>
  </si>
  <si>
    <t xml:space="preserve">Philadelphia : Westminster Press, [1971]</t>
  </si>
  <si>
    <t xml:space="preserve">1971</t>
  </si>
  <si>
    <t xml:space="preserve">The Warfield lectures, Princeton Theological Seminary, 1968</t>
  </si>
  <si>
    <t xml:space="preserve">1994-02-15</t>
  </si>
  <si>
    <t xml:space="preserve">1993-01-13</t>
  </si>
  <si>
    <t xml:space="preserve">1304586:eng</t>
  </si>
  <si>
    <t xml:space="preserve">140997</t>
  </si>
  <si>
    <t xml:space="preserve">991000812429702656</t>
  </si>
  <si>
    <t xml:space="preserve">2255636240002656</t>
  </si>
  <si>
    <t xml:space="preserve">9780664209032</t>
  </si>
  <si>
    <t xml:space="preserve">32285001474617</t>
  </si>
  <si>
    <t xml:space="preserve">893589757</t>
  </si>
  <si>
    <t xml:space="preserve">BJ1253 .B615 1955a</t>
  </si>
  <si>
    <t xml:space="preserve">0                      BJ 1253000B  615         1955a</t>
  </si>
  <si>
    <t xml:space="preserve">Ethics / Dietrich Bonhoeffer ; edited by Eberhard Bethge ; translated by Neville Horton Smith.</t>
  </si>
  <si>
    <t xml:space="preserve">Bonhoeffer, Dietrich, 1906-1945.</t>
  </si>
  <si>
    <t xml:space="preserve">New York : Macmillan, 1964, c1955.</t>
  </si>
  <si>
    <t xml:space="preserve">Library of theology and philosophy</t>
  </si>
  <si>
    <t xml:space="preserve">2006-10-22</t>
  </si>
  <si>
    <t xml:space="preserve">3133657277:eng</t>
  </si>
  <si>
    <t xml:space="preserve">5453541</t>
  </si>
  <si>
    <t xml:space="preserve">991002003279702656</t>
  </si>
  <si>
    <t xml:space="preserve">2268523020002656</t>
  </si>
  <si>
    <t xml:space="preserve">32285002261237</t>
  </si>
  <si>
    <t xml:space="preserve">893444911</t>
  </si>
  <si>
    <t xml:space="preserve">BJ1253 .R4413 1986</t>
  </si>
  <si>
    <t xml:space="preserve">0                      BJ 1253000R  4413        1986</t>
  </si>
  <si>
    <t xml:space="preserve">Ethics / Trutz Rendtorff ; translated by Keith Crim.</t>
  </si>
  <si>
    <t xml:space="preserve">Rendtorff, Trutz.</t>
  </si>
  <si>
    <t xml:space="preserve">Philadelphia : Fortress Press, c1986-</t>
  </si>
  <si>
    <t xml:space="preserve">2000-06-18</t>
  </si>
  <si>
    <t xml:space="preserve">3943322121:eng</t>
  </si>
  <si>
    <t xml:space="preserve">12974445</t>
  </si>
  <si>
    <t xml:space="preserve">991000762119702656</t>
  </si>
  <si>
    <t xml:space="preserve">2260847030002656</t>
  </si>
  <si>
    <t xml:space="preserve">9780800607678</t>
  </si>
  <si>
    <t xml:space="preserve">32285000305366</t>
  </si>
  <si>
    <t xml:space="preserve">893897191</t>
  </si>
  <si>
    <t xml:space="preserve">BJ1253 .S3213 1989</t>
  </si>
  <si>
    <t xml:space="preserve">0                      BJ 1253000S  3213        1989</t>
  </si>
  <si>
    <t xml:space="preserve">Introduction to Christian ethics / Friedrich Schleiermacher ; translated by John C. Shelley.</t>
  </si>
  <si>
    <t xml:space="preserve">Schleiermacher, Friedrich, 1768-1834.</t>
  </si>
  <si>
    <t xml:space="preserve">Nashville : Abingdon Press, c1989.</t>
  </si>
  <si>
    <t xml:space="preserve">1993-01-26</t>
  </si>
  <si>
    <t xml:space="preserve">1991-02-22</t>
  </si>
  <si>
    <t xml:space="preserve">3901289797:eng</t>
  </si>
  <si>
    <t xml:space="preserve">19774898</t>
  </si>
  <si>
    <t xml:space="preserve">991001496899702656</t>
  </si>
  <si>
    <t xml:space="preserve">2271452680002656</t>
  </si>
  <si>
    <t xml:space="preserve">9780687195008</t>
  </si>
  <si>
    <t xml:space="preserve">32285000492651</t>
  </si>
  <si>
    <t xml:space="preserve">893872559</t>
  </si>
  <si>
    <t xml:space="preserve">BJ1253 .T5213 1979</t>
  </si>
  <si>
    <t xml:space="preserve">0                      BJ 1253000T  5213        1979</t>
  </si>
  <si>
    <t xml:space="preserve">Theological ethics / by Helmut Thielicke ; edited by William H. Lazareth.</t>
  </si>
  <si>
    <t xml:space="preserve">Thielicke, Helmut, 1908-1986.</t>
  </si>
  <si>
    <t xml:space="preserve">Grand Rapids : Eerdmans, [1979- , c1966-</t>
  </si>
  <si>
    <t xml:space="preserve">2002-04-06</t>
  </si>
  <si>
    <t xml:space="preserve">1990-05-22</t>
  </si>
  <si>
    <t xml:space="preserve">4714471762:eng</t>
  </si>
  <si>
    <t xml:space="preserve">4593683</t>
  </si>
  <si>
    <t xml:space="preserve">991004688589702656</t>
  </si>
  <si>
    <t xml:space="preserve">2271395710002656</t>
  </si>
  <si>
    <t xml:space="preserve">9780802817914</t>
  </si>
  <si>
    <t xml:space="preserve">32285000153626</t>
  </si>
  <si>
    <t xml:space="preserve">893901620</t>
  </si>
  <si>
    <t xml:space="preserve">BJ1275 .F75</t>
  </si>
  <si>
    <t xml:space="preserve">0                      BJ 1275000F  75</t>
  </si>
  <si>
    <t xml:space="preserve">Adults making responsible moral decisions / by Robert M. Friday.</t>
  </si>
  <si>
    <t xml:space="preserve">Friday, Robert M.</t>
  </si>
  <si>
    <t xml:space="preserve">Washington, D.C. : National Conference of Diocesan Directors of Religious Education-CCD, c1979.</t>
  </si>
  <si>
    <t xml:space="preserve">1998-09-08</t>
  </si>
  <si>
    <t xml:space="preserve">2287370467:eng</t>
  </si>
  <si>
    <t xml:space="preserve">6359193</t>
  </si>
  <si>
    <t xml:space="preserve">991004971319702656</t>
  </si>
  <si>
    <t xml:space="preserve">2255311930002656</t>
  </si>
  <si>
    <t xml:space="preserve">32285000305382</t>
  </si>
  <si>
    <t xml:space="preserve">893536286</t>
  </si>
  <si>
    <t xml:space="preserve">BJ1279 .I57 1975</t>
  </si>
  <si>
    <t xml:space="preserve">0                      BJ 1279000I  57          1975</t>
  </si>
  <si>
    <t xml:space="preserve">Modern Jewish ethics, theory and practice / edited by Marvin Fox.</t>
  </si>
  <si>
    <t xml:space="preserve">Makhon le-Yahadut ule-maḥshavah bat-zemanenu (Israel)</t>
  </si>
  <si>
    <t xml:space="preserve">Columbus : Ohio State University Press, [1975]</t>
  </si>
  <si>
    <t xml:space="preserve">1975</t>
  </si>
  <si>
    <t xml:space="preserve">ohu</t>
  </si>
  <si>
    <t xml:space="preserve">2002-03-29</t>
  </si>
  <si>
    <t xml:space="preserve">862768697:eng</t>
  </si>
  <si>
    <t xml:space="preserve">1104357</t>
  </si>
  <si>
    <t xml:space="preserve">991003540339702656</t>
  </si>
  <si>
    <t xml:space="preserve">2256348650002656</t>
  </si>
  <si>
    <t xml:space="preserve">9780814201923</t>
  </si>
  <si>
    <t xml:space="preserve">32285002261294</t>
  </si>
  <si>
    <t xml:space="preserve">893499409</t>
  </si>
  <si>
    <t xml:space="preserve">BJ1281 .H4 1971</t>
  </si>
  <si>
    <t xml:space="preserve">0                      BJ 1281000H  4           1971</t>
  </si>
  <si>
    <t xml:space="preserve">Talmud and Apocrypha; a comparative study of the Jewish ethical teaching in the rabbinical and non-rabbinical sources in the early centuries.</t>
  </si>
  <si>
    <t xml:space="preserve">Herford, R. Travers (Robert Travers), 1860-1950.</t>
  </si>
  <si>
    <t xml:space="preserve">New York, Ktav Pub. House, 1971.</t>
  </si>
  <si>
    <t xml:space="preserve">2001-11-12</t>
  </si>
  <si>
    <t xml:space="preserve">515800:eng</t>
  </si>
  <si>
    <t xml:space="preserve">126032</t>
  </si>
  <si>
    <t xml:space="preserve">991000718939702656</t>
  </si>
  <si>
    <t xml:space="preserve">2260419060002656</t>
  </si>
  <si>
    <t xml:space="preserve">9780870681585</t>
  </si>
  <si>
    <t xml:space="preserve">32285002261310</t>
  </si>
  <si>
    <t xml:space="preserve">893419718</t>
  </si>
  <si>
    <t xml:space="preserve">BJ1285 .H38 1984</t>
  </si>
  <si>
    <t xml:space="preserve">0                      BJ 1285000H  38          1984</t>
  </si>
  <si>
    <t xml:space="preserve">Jewish ethics and Halakhah for our time : sources and commentary / by Basil F. Herring.</t>
  </si>
  <si>
    <t xml:space="preserve">Herring, Basil.</t>
  </si>
  <si>
    <t xml:space="preserve">New York : Ktav Pub. House : Yeshiva University Press, c1984.</t>
  </si>
  <si>
    <t xml:space="preserve">The Library of Jewish law and ethics ; v. 11</t>
  </si>
  <si>
    <t xml:space="preserve">2006-11-07</t>
  </si>
  <si>
    <t xml:space="preserve">865269301:eng</t>
  </si>
  <si>
    <t xml:space="preserve">10605853</t>
  </si>
  <si>
    <t xml:space="preserve">991000399929702656</t>
  </si>
  <si>
    <t xml:space="preserve">2258641690002656</t>
  </si>
  <si>
    <t xml:space="preserve">9780881250459</t>
  </si>
  <si>
    <t xml:space="preserve">32285000305432</t>
  </si>
  <si>
    <t xml:space="preserve">893702070</t>
  </si>
  <si>
    <t xml:space="preserve">BJ1311 .H8 1971</t>
  </si>
  <si>
    <t xml:space="preserve">0                      BJ 1311000H  8           1971</t>
  </si>
  <si>
    <t xml:space="preserve">Touchstone for ethics, 1893-1943 [by] Thomas H. Huxley and Julian Huxley.</t>
  </si>
  <si>
    <t xml:space="preserve">Huxley, Thomas Henry, 1825-1895.</t>
  </si>
  <si>
    <t xml:space="preserve">Freeport, N.Y., Books for Libraries Press [1971, c1947]</t>
  </si>
  <si>
    <t xml:space="preserve">Essay index reprint series</t>
  </si>
  <si>
    <t xml:space="preserve">2008-10-29</t>
  </si>
  <si>
    <t xml:space="preserve">1367664:eng</t>
  </si>
  <si>
    <t xml:space="preserve">235621</t>
  </si>
  <si>
    <t xml:space="preserve">991001750399702656</t>
  </si>
  <si>
    <t xml:space="preserve">2258172540002656</t>
  </si>
  <si>
    <t xml:space="preserve">9780836924022</t>
  </si>
  <si>
    <t xml:space="preserve">32285002261336</t>
  </si>
  <si>
    <t xml:space="preserve">893439388</t>
  </si>
  <si>
    <t xml:space="preserve">BJ1311 .W52 1970</t>
  </si>
  <si>
    <t xml:space="preserve">0                      BJ 1311000W  52          1970</t>
  </si>
  <si>
    <t xml:space="preserve">Ethical relativity / by Edward Westermarck.</t>
  </si>
  <si>
    <t xml:space="preserve">Westermarck, Edward, 1862-1939.</t>
  </si>
  <si>
    <t xml:space="preserve">Westport, Conn. : Greenwood Press, [1970]</t>
  </si>
  <si>
    <t xml:space="preserve">2001-02-23</t>
  </si>
  <si>
    <t xml:space="preserve">1327753:eng</t>
  </si>
  <si>
    <t xml:space="preserve">98071</t>
  </si>
  <si>
    <t xml:space="preserve">991000599349702656</t>
  </si>
  <si>
    <t xml:space="preserve">2272141100002656</t>
  </si>
  <si>
    <t xml:space="preserve">9780837143668</t>
  </si>
  <si>
    <t xml:space="preserve">32285000305465</t>
  </si>
  <si>
    <t xml:space="preserve">893589594</t>
  </si>
  <si>
    <t xml:space="preserve">BJ1321 .F4 1968</t>
  </si>
  <si>
    <t xml:space="preserve">0                      BJ 1321000F  4           1968</t>
  </si>
  <si>
    <t xml:space="preserve">Evolutionary ethics / [by] Antony Flew.</t>
  </si>
  <si>
    <t xml:space="preserve">Flew, Antony, 1923-2010.</t>
  </si>
  <si>
    <t xml:space="preserve">London ; Melbourne : Macmillan ; New York : St. Martin's P., 1967 [i.e. 1968].</t>
  </si>
  <si>
    <t xml:space="preserve">New studies in ethics</t>
  </si>
  <si>
    <t xml:space="preserve">2004-03-30</t>
  </si>
  <si>
    <t xml:space="preserve">476533285:eng</t>
  </si>
  <si>
    <t xml:space="preserve">165940</t>
  </si>
  <si>
    <t xml:space="preserve">991000940079702656</t>
  </si>
  <si>
    <t xml:space="preserve">2271510420002656</t>
  </si>
  <si>
    <t xml:space="preserve">32285002160447</t>
  </si>
  <si>
    <t xml:space="preserve">893772147</t>
  </si>
  <si>
    <t xml:space="preserve">BJ1371 .H3</t>
  </si>
  <si>
    <t xml:space="preserve">0                      BJ 1371000H  3</t>
  </si>
  <si>
    <t xml:space="preserve">Law, liberty, and morality / by H.L.A. Hart.</t>
  </si>
  <si>
    <t xml:space="preserve">Hart, H. L. A. (Herbert Lionel Adolphus), 1907-1992.</t>
  </si>
  <si>
    <t xml:space="preserve">Stanford, Calif. : Stanford University Press, c1963, 1969 printing.</t>
  </si>
  <si>
    <t xml:space="preserve">1969</t>
  </si>
  <si>
    <t xml:space="preserve">The Harry Camp lectures.</t>
  </si>
  <si>
    <t xml:space="preserve">2000-11-20</t>
  </si>
  <si>
    <t xml:space="preserve">170836171:eng</t>
  </si>
  <si>
    <t xml:space="preserve">3592162</t>
  </si>
  <si>
    <t xml:space="preserve">991004470209702656</t>
  </si>
  <si>
    <t xml:space="preserve">2262388200002656</t>
  </si>
  <si>
    <t xml:space="preserve">32285000305481</t>
  </si>
  <si>
    <t xml:space="preserve">893235531</t>
  </si>
  <si>
    <t xml:space="preserve">BJ1390 .L79 1985</t>
  </si>
  <si>
    <t xml:space="preserve">0                      BJ 1390000L  79          1985</t>
  </si>
  <si>
    <t xml:space="preserve">Marxism and morality / Steven Lukes.</t>
  </si>
  <si>
    <t xml:space="preserve">Lukes, Steven.</t>
  </si>
  <si>
    <t xml:space="preserve">Oxford [Oxfordshire] : Clarendon Press ; New York : Oxford University Press, 1985.</t>
  </si>
  <si>
    <t xml:space="preserve">Marxist introductions</t>
  </si>
  <si>
    <t xml:space="preserve">2005-11-13</t>
  </si>
  <si>
    <t xml:space="preserve">4255053:eng</t>
  </si>
  <si>
    <t xml:space="preserve">11497949</t>
  </si>
  <si>
    <t xml:space="preserve">991000543679702656</t>
  </si>
  <si>
    <t xml:space="preserve">2262909940002656</t>
  </si>
  <si>
    <t xml:space="preserve">9780198761013</t>
  </si>
  <si>
    <t xml:space="preserve">32285000305515</t>
  </si>
  <si>
    <t xml:space="preserve">893419560</t>
  </si>
  <si>
    <t xml:space="preserve">BJ1401 .C28</t>
  </si>
  <si>
    <t xml:space="preserve">0                      BJ 1401000C  28</t>
  </si>
  <si>
    <t xml:space="preserve">The third peacock; the goodness of God and the badness of the world.</t>
  </si>
  <si>
    <t xml:space="preserve">Capon, Robert Farrar.</t>
  </si>
  <si>
    <t xml:space="preserve">Garden City, N.Y., Doubleday, 1971.</t>
  </si>
  <si>
    <t xml:space="preserve">2010-09-11</t>
  </si>
  <si>
    <t xml:space="preserve">1278786:eng</t>
  </si>
  <si>
    <t xml:space="preserve">134282</t>
  </si>
  <si>
    <t xml:space="preserve">991000779349702656</t>
  </si>
  <si>
    <t xml:space="preserve">2260837800002656</t>
  </si>
  <si>
    <t xml:space="preserve">32285002261427</t>
  </si>
  <si>
    <t xml:space="preserve">893790840</t>
  </si>
  <si>
    <t xml:space="preserve">BJ1401 .D66</t>
  </si>
  <si>
    <t xml:space="preserve">0                      BJ 1401000D  66</t>
  </si>
  <si>
    <t xml:space="preserve">Panorama of evil : insights from the behavioral sciences / Leonard W. Doob.</t>
  </si>
  <si>
    <t xml:space="preserve">Doob, Leonard W. (Leonard William), 1909-2000.</t>
  </si>
  <si>
    <t xml:space="preserve">Westport, Conn. : Greenwood Press, 1978.</t>
  </si>
  <si>
    <t xml:space="preserve">Contributions in philosophy, 0084-926X ; no. 10</t>
  </si>
  <si>
    <t xml:space="preserve">2004-12-01</t>
  </si>
  <si>
    <t xml:space="preserve">282174676:eng</t>
  </si>
  <si>
    <t xml:space="preserve">3446979</t>
  </si>
  <si>
    <t xml:space="preserve">991004436839702656</t>
  </si>
  <si>
    <t xml:space="preserve">2268263210002656</t>
  </si>
  <si>
    <t xml:space="preserve">9780313200304</t>
  </si>
  <si>
    <t xml:space="preserve">32285000305531</t>
  </si>
  <si>
    <t xml:space="preserve">893718891</t>
  </si>
  <si>
    <t xml:space="preserve">BJ1401 .W7 1963</t>
  </si>
  <si>
    <t xml:space="preserve">0                      BJ 1401000W  7           1963</t>
  </si>
  <si>
    <t xml:space="preserve">The varieties of goodness.</t>
  </si>
  <si>
    <t xml:space="preserve">Wright, G. H. von (Georg Henrik), 1916-2003.</t>
  </si>
  <si>
    <t xml:space="preserve">London, Routledge &amp; K. Paul; New York, Humanities Press [1963]</t>
  </si>
  <si>
    <t xml:space="preserve">1963</t>
  </si>
  <si>
    <t xml:space="preserve">International library of philosophy and scientific method</t>
  </si>
  <si>
    <t xml:space="preserve">2005-03-15</t>
  </si>
  <si>
    <t xml:space="preserve">49176575:eng</t>
  </si>
  <si>
    <t xml:space="preserve">374628</t>
  </si>
  <si>
    <t xml:space="preserve">991002574909702656</t>
  </si>
  <si>
    <t xml:space="preserve">2262272400002656</t>
  </si>
  <si>
    <t xml:space="preserve">32285002261500</t>
  </si>
  <si>
    <t xml:space="preserve">893251395</t>
  </si>
  <si>
    <t xml:space="preserve">BJ1401.R5 O5 1975</t>
  </si>
  <si>
    <t xml:space="preserve">0                      BJ 1401000R  5                  O  5           1975</t>
  </si>
  <si>
    <t xml:space="preserve">On the knowledge of good and evil / Philip Blair Rice.</t>
  </si>
  <si>
    <t xml:space="preserve">Rice, Philip Blair.</t>
  </si>
  <si>
    <t xml:space="preserve">Westport, Conn. : Greenwood Press, 1975, c1955.</t>
  </si>
  <si>
    <t xml:space="preserve">2008-04-21</t>
  </si>
  <si>
    <t xml:space="preserve">501287:eng</t>
  </si>
  <si>
    <t xml:space="preserve">1273499</t>
  </si>
  <si>
    <t xml:space="preserve">991003662779702656</t>
  </si>
  <si>
    <t xml:space="preserve">2267760450002656</t>
  </si>
  <si>
    <t xml:space="preserve">9780837181240</t>
  </si>
  <si>
    <t xml:space="preserve">32285002261476</t>
  </si>
  <si>
    <t xml:space="preserve">893775015</t>
  </si>
  <si>
    <t xml:space="preserve">BJ1402 .S54</t>
  </si>
  <si>
    <t xml:space="preserve">0                      BJ 1402000S  54</t>
  </si>
  <si>
    <t xml:space="preserve">The philosophy of evil.</t>
  </si>
  <si>
    <t xml:space="preserve">Siwek, Paweł, 1893-1986.</t>
  </si>
  <si>
    <t xml:space="preserve">New York, Ronald Press Co. [1951]</t>
  </si>
  <si>
    <t xml:space="preserve">2002-04-19</t>
  </si>
  <si>
    <t xml:space="preserve">1815955648:eng</t>
  </si>
  <si>
    <t xml:space="preserve">1939799</t>
  </si>
  <si>
    <t xml:space="preserve">991003943669702656</t>
  </si>
  <si>
    <t xml:space="preserve">2259875520002656</t>
  </si>
  <si>
    <t xml:space="preserve">32285002261518</t>
  </si>
  <si>
    <t xml:space="preserve">893441978</t>
  </si>
  <si>
    <t xml:space="preserve">BJ1406 .B7713</t>
  </si>
  <si>
    <t xml:space="preserve">0                      BJ 1406000B  7713</t>
  </si>
  <si>
    <t xml:space="preserve">Good and evil, two interpretations: I. right and wrong. [Translated by Ronald Gregor Smith] II. Images of good and evil. [Translated by Michael Bullock]</t>
  </si>
  <si>
    <t xml:space="preserve">Buber, Martin, 1878-1965.</t>
  </si>
  <si>
    <t xml:space="preserve">New York, Scribner, 1953.</t>
  </si>
  <si>
    <t xml:space="preserve">1953</t>
  </si>
  <si>
    <t xml:space="preserve">1999-04-27</t>
  </si>
  <si>
    <t xml:space="preserve">5815102:eng</t>
  </si>
  <si>
    <t xml:space="preserve">378012</t>
  </si>
  <si>
    <t xml:space="preserve">991002611739702656</t>
  </si>
  <si>
    <t xml:space="preserve">2264409180002656</t>
  </si>
  <si>
    <t xml:space="preserve">32285002261534</t>
  </si>
  <si>
    <t xml:space="preserve">893698004</t>
  </si>
  <si>
    <t xml:space="preserve">BJ1406 .D25</t>
  </si>
  <si>
    <t xml:space="preserve">0                      BJ 1406000D  25</t>
  </si>
  <si>
    <t xml:space="preserve">Pain and the providence of God, by M.C. D'Arcy.</t>
  </si>
  <si>
    <t xml:space="preserve">D'Arcy, Martin Cyril, 1888-1976.</t>
  </si>
  <si>
    <t xml:space="preserve">Milwaukee [etc.] The Bruce publishing company [c1935]</t>
  </si>
  <si>
    <t xml:space="preserve">1935</t>
  </si>
  <si>
    <t xml:space="preserve">Science and culture series</t>
  </si>
  <si>
    <t xml:space="preserve">1997-04-13</t>
  </si>
  <si>
    <t xml:space="preserve">3901080029:eng</t>
  </si>
  <si>
    <t xml:space="preserve">1250107</t>
  </si>
  <si>
    <t xml:space="preserve">991003647809702656</t>
  </si>
  <si>
    <t xml:space="preserve">2263149700002656</t>
  </si>
  <si>
    <t xml:space="preserve">32285002261567</t>
  </si>
  <si>
    <t xml:space="preserve">893234405</t>
  </si>
  <si>
    <t xml:space="preserve">BJ1451 .M65</t>
  </si>
  <si>
    <t xml:space="preserve">0                      BJ 1451000M  65</t>
  </si>
  <si>
    <t xml:space="preserve">Freedom and responsibility : readings in philosophy and law / edited by Herbert Morris.</t>
  </si>
  <si>
    <t xml:space="preserve">Stanford, Calif. : Stanford University Press, 1961.</t>
  </si>
  <si>
    <t xml:space="preserve">1961</t>
  </si>
  <si>
    <t xml:space="preserve">2007-04-02</t>
  </si>
  <si>
    <t xml:space="preserve">118347027:eng</t>
  </si>
  <si>
    <t xml:space="preserve">374275</t>
  </si>
  <si>
    <t xml:space="preserve">991002573319702656</t>
  </si>
  <si>
    <t xml:space="preserve">2262312760002656</t>
  </si>
  <si>
    <t xml:space="preserve">32285002261666</t>
  </si>
  <si>
    <t xml:space="preserve">893892727</t>
  </si>
  <si>
    <t xml:space="preserve">BJ1451 .R47 1987</t>
  </si>
  <si>
    <t xml:space="preserve">0                      BJ 1451000R  47          1987</t>
  </si>
  <si>
    <t xml:space="preserve">Responsibility, character, and the emotions : new essays in moral psychology / edited by Ferdinand Schoeman.</t>
  </si>
  <si>
    <t xml:space="preserve">Cambridge [Cambridgeshire] ; New York : Cambridge University Press, 1987.</t>
  </si>
  <si>
    <t xml:space="preserve">2005-03-22</t>
  </si>
  <si>
    <t xml:space="preserve">1992-03-09</t>
  </si>
  <si>
    <t xml:space="preserve">895774352:eng</t>
  </si>
  <si>
    <t xml:space="preserve">16225264</t>
  </si>
  <si>
    <t xml:space="preserve">991001636609702656</t>
  </si>
  <si>
    <t xml:space="preserve">2267955480002656</t>
  </si>
  <si>
    <t xml:space="preserve">9780521327206</t>
  </si>
  <si>
    <t xml:space="preserve">32285000305713</t>
  </si>
  <si>
    <t xml:space="preserve">893715563</t>
  </si>
  <si>
    <t xml:space="preserve">BJ1453 .I49 1983</t>
  </si>
  <si>
    <t xml:space="preserve">0                      BJ 1453000I  49          1983</t>
  </si>
  <si>
    <t xml:space="preserve">Man and value / Roman Ingarden ; translation by Arthur Szylewicz.</t>
  </si>
  <si>
    <t xml:space="preserve">Ingarden, Roman, 1893-1970.</t>
  </si>
  <si>
    <t xml:space="preserve">Washington, D.C. : Catholic University of America Press ; München : Philosophia Verlag, c1983.</t>
  </si>
  <si>
    <t xml:space="preserve">Philosophia resources library</t>
  </si>
  <si>
    <t xml:space="preserve">14652025:eng</t>
  </si>
  <si>
    <t xml:space="preserve">9896622</t>
  </si>
  <si>
    <t xml:space="preserve">991000277659702656</t>
  </si>
  <si>
    <t xml:space="preserve">2264272470002656</t>
  </si>
  <si>
    <t xml:space="preserve">9780813205922</t>
  </si>
  <si>
    <t xml:space="preserve">32285000305721</t>
  </si>
  <si>
    <t xml:space="preserve">893327190</t>
  </si>
  <si>
    <t xml:space="preserve">BJ1453 .J6613 1984</t>
  </si>
  <si>
    <t xml:space="preserve">0                      BJ 1453000J  6613        1984</t>
  </si>
  <si>
    <t xml:space="preserve">The imperative of responsibility : in search of an ethics for the technological age / Hans Jonas ; translated by Hans Jonas, with the collaboration of David Herr.</t>
  </si>
  <si>
    <t xml:space="preserve">Jonas, Hans, 1903-1993.</t>
  </si>
  <si>
    <t xml:space="preserve">Chicago : University of Chicago Press, 1984.</t>
  </si>
  <si>
    <t xml:space="preserve">2908814357:eng</t>
  </si>
  <si>
    <t xml:space="preserve">9970115</t>
  </si>
  <si>
    <t xml:space="preserve">991000291679702656</t>
  </si>
  <si>
    <t xml:space="preserve">2254838880002656</t>
  </si>
  <si>
    <t xml:space="preserve">9780226405964</t>
  </si>
  <si>
    <t xml:space="preserve">32285000305739</t>
  </si>
  <si>
    <t xml:space="preserve">893620357</t>
  </si>
  <si>
    <t xml:space="preserve">BJ1460 .R513</t>
  </si>
  <si>
    <t xml:space="preserve">0                      BJ 1460000R  513</t>
  </si>
  <si>
    <t xml:space="preserve">Freedom and nature : the voluntary and involuntary / Translated, with an introd., by Erazim V. Kohák.</t>
  </si>
  <si>
    <t xml:space="preserve">Ricœur, Paul.</t>
  </si>
  <si>
    <t xml:space="preserve">Evanston, Ill. : Northwestern University Press, 1966.</t>
  </si>
  <si>
    <t xml:space="preserve">Northwestern University studies in phenomenology &amp; existential philosophy</t>
  </si>
  <si>
    <t xml:space="preserve">2007-10-23</t>
  </si>
  <si>
    <t xml:space="preserve">5189653489:eng</t>
  </si>
  <si>
    <t xml:space="preserve">375436</t>
  </si>
  <si>
    <t xml:space="preserve">991002589139702656</t>
  </si>
  <si>
    <t xml:space="preserve">2263993330002656</t>
  </si>
  <si>
    <t xml:space="preserve">32285000305747</t>
  </si>
  <si>
    <t xml:space="preserve">893245355</t>
  </si>
  <si>
    <t xml:space="preserve">BJ1461 .A8</t>
  </si>
  <si>
    <t xml:space="preserve">0                      BJ 1461000A  8</t>
  </si>
  <si>
    <t xml:space="preserve">The refutation of determinism: an essay in philosophical logic [by] M. R. Ayers.</t>
  </si>
  <si>
    <t xml:space="preserve">Ayers, Michael, 1935-</t>
  </si>
  <si>
    <t xml:space="preserve">London, Methuen, 1968.</t>
  </si>
  <si>
    <t xml:space="preserve">2006-10-07</t>
  </si>
  <si>
    <t xml:space="preserve">1401247:eng</t>
  </si>
  <si>
    <t xml:space="preserve">271795</t>
  </si>
  <si>
    <t xml:space="preserve">991002149559702656</t>
  </si>
  <si>
    <t xml:space="preserve">2264239030002656</t>
  </si>
  <si>
    <t xml:space="preserve">32285002261708</t>
  </si>
  <si>
    <t xml:space="preserve">893716112</t>
  </si>
  <si>
    <t xml:space="preserve">BJ1461 .C55</t>
  </si>
  <si>
    <t xml:space="preserve">0                      BJ 1461000C  55</t>
  </si>
  <si>
    <t xml:space="preserve">The freedom of man, by Arthur H. Compton.</t>
  </si>
  <si>
    <t xml:space="preserve">Compton, Arthur Holly, 1892-1962.</t>
  </si>
  <si>
    <t xml:space="preserve">New Haven, Yale university press; London, H. Milford, Oxford university press [1935]</t>
  </si>
  <si>
    <t xml:space="preserve">The Terry lectures</t>
  </si>
  <si>
    <t xml:space="preserve">2004-11-14</t>
  </si>
  <si>
    <t xml:space="preserve">1242952:eng</t>
  </si>
  <si>
    <t xml:space="preserve">5723621</t>
  </si>
  <si>
    <t xml:space="preserve">991004863299702656</t>
  </si>
  <si>
    <t xml:space="preserve">2261723440002656</t>
  </si>
  <si>
    <t xml:space="preserve">32285002261740</t>
  </si>
  <si>
    <t xml:space="preserve">893350455</t>
  </si>
  <si>
    <t xml:space="preserve">BJ1461 .C57</t>
  </si>
  <si>
    <t xml:space="preserve">0                      BJ 1461000C  57</t>
  </si>
  <si>
    <t xml:space="preserve">The Concept of willing: outdated idea or essential key to man's future? Edited by James N. Lapsley. Foreword by Seward Hiltner.</t>
  </si>
  <si>
    <t xml:space="preserve">New York, Abingdon Press [1967]</t>
  </si>
  <si>
    <t xml:space="preserve">2002-04-07</t>
  </si>
  <si>
    <t xml:space="preserve">3350279:eng</t>
  </si>
  <si>
    <t xml:space="preserve">1991857</t>
  </si>
  <si>
    <t xml:space="preserve">991003969899702656</t>
  </si>
  <si>
    <t xml:space="preserve">2264014180002656</t>
  </si>
  <si>
    <t xml:space="preserve">32285002261757</t>
  </si>
  <si>
    <t xml:space="preserve">893240851</t>
  </si>
  <si>
    <t xml:space="preserve">BJ1461 .H27 1975</t>
  </si>
  <si>
    <t xml:space="preserve">0                      BJ 1461000H  27          1975</t>
  </si>
  <si>
    <t xml:space="preserve">Freedom of the individual / Stuart Hampshire.</t>
  </si>
  <si>
    <t xml:space="preserve">Hampshire, Stuart, 1914-2004.</t>
  </si>
  <si>
    <t xml:space="preserve">Princeton, N.J. : Princeton University Press, 1975.</t>
  </si>
  <si>
    <t xml:space="preserve">Expanded ed.</t>
  </si>
  <si>
    <t xml:space="preserve">2004-11-15</t>
  </si>
  <si>
    <t xml:space="preserve">143595355:eng</t>
  </si>
  <si>
    <t xml:space="preserve">1395497</t>
  </si>
  <si>
    <t xml:space="preserve">991003737409702656</t>
  </si>
  <si>
    <t xml:space="preserve">2261838800002656</t>
  </si>
  <si>
    <t xml:space="preserve">9780691072081</t>
  </si>
  <si>
    <t xml:space="preserve">32285002261799</t>
  </si>
  <si>
    <t xml:space="preserve">893806149</t>
  </si>
  <si>
    <t xml:space="preserve">BJ1461 .L78</t>
  </si>
  <si>
    <t xml:space="preserve">0                      BJ 1461000L  78</t>
  </si>
  <si>
    <t xml:space="preserve">The freedom of the will, by J. R. Lucas.</t>
  </si>
  <si>
    <t xml:space="preserve">Lucas, J. R. (John Randolph), 1929-</t>
  </si>
  <si>
    <t xml:space="preserve">Oxford, Clarendon P., 1970.</t>
  </si>
  <si>
    <t xml:space="preserve">2004-11-17</t>
  </si>
  <si>
    <t xml:space="preserve">416078:eng</t>
  </si>
  <si>
    <t xml:space="preserve">105645</t>
  </si>
  <si>
    <t xml:space="preserve">991000629789702656</t>
  </si>
  <si>
    <t xml:space="preserve">2263159620002656</t>
  </si>
  <si>
    <t xml:space="preserve">9780198243434</t>
  </si>
  <si>
    <t xml:space="preserve">32285002261831</t>
  </si>
  <si>
    <t xml:space="preserve">893502656</t>
  </si>
  <si>
    <t xml:space="preserve">BJ1461 .T78 1984</t>
  </si>
  <si>
    <t xml:space="preserve">0                      BJ 1461000T  78          1984</t>
  </si>
  <si>
    <t xml:space="preserve">Free will and responsibility / Jennifer Trusted.</t>
  </si>
  <si>
    <t xml:space="preserve">Trusted, Jennifer.</t>
  </si>
  <si>
    <t xml:space="preserve">Oxford [Oxfordshire] ; New York : Oxford University Press, 1984.</t>
  </si>
  <si>
    <t xml:space="preserve">An OPUS book</t>
  </si>
  <si>
    <t xml:space="preserve">4893127:eng</t>
  </si>
  <si>
    <t xml:space="preserve">9945981</t>
  </si>
  <si>
    <t xml:space="preserve">991000288009702656</t>
  </si>
  <si>
    <t xml:space="preserve">2264238150002656</t>
  </si>
  <si>
    <t xml:space="preserve">9780192891709</t>
  </si>
  <si>
    <t xml:space="preserve">32285000305812</t>
  </si>
  <si>
    <t xml:space="preserve">893333356</t>
  </si>
  <si>
    <t xml:space="preserve">BJ1461 .Y68 1975b</t>
  </si>
  <si>
    <t xml:space="preserve">0                      BJ 1461000Y  68          1975b</t>
  </si>
  <si>
    <t xml:space="preserve">Freedom, responsibility, and God / Robert Young.</t>
  </si>
  <si>
    <t xml:space="preserve">Young, Robert, Ph. D.</t>
  </si>
  <si>
    <t xml:space="preserve">New York : Barnes &amp; Noble Books, 1975.</t>
  </si>
  <si>
    <t xml:space="preserve">Library of philosophy and religion</t>
  </si>
  <si>
    <t xml:space="preserve">2004-11-18</t>
  </si>
  <si>
    <t xml:space="preserve">2216331:eng</t>
  </si>
  <si>
    <t xml:space="preserve">1652454</t>
  </si>
  <si>
    <t xml:space="preserve">991003855249702656</t>
  </si>
  <si>
    <t xml:space="preserve">2271744010002656</t>
  </si>
  <si>
    <t xml:space="preserve">9780064979573</t>
  </si>
  <si>
    <t xml:space="preserve">32285002261880</t>
  </si>
  <si>
    <t xml:space="preserve">893881632</t>
  </si>
  <si>
    <t xml:space="preserve">BJ1462 .S4813 1996</t>
  </si>
  <si>
    <t xml:space="preserve">0                      BJ 1462000S  4813        1996</t>
  </si>
  <si>
    <t xml:space="preserve">Foresight and knowledge / Yves R. Simon ; edited by Ralph Nelson and Anthony O. Simon.</t>
  </si>
  <si>
    <t xml:space="preserve">Simon, Yves R., 1903-1961.</t>
  </si>
  <si>
    <t xml:space="preserve">New York : Fordham University Press, 1996.</t>
  </si>
  <si>
    <t xml:space="preserve">1996</t>
  </si>
  <si>
    <t xml:space="preserve">2008-09-26</t>
  </si>
  <si>
    <t xml:space="preserve">2000-02-16</t>
  </si>
  <si>
    <t xml:space="preserve">627268:eng</t>
  </si>
  <si>
    <t xml:space="preserve">33079508</t>
  </si>
  <si>
    <t xml:space="preserve">991002546419702656</t>
  </si>
  <si>
    <t xml:space="preserve">2272112780002656</t>
  </si>
  <si>
    <t xml:space="preserve">9780823216215</t>
  </si>
  <si>
    <t xml:space="preserve">32285003662151</t>
  </si>
  <si>
    <t xml:space="preserve">893504509</t>
  </si>
  <si>
    <t xml:space="preserve">BJ1463 .S363</t>
  </si>
  <si>
    <t xml:space="preserve">0                      BJ 1463000S  363</t>
  </si>
  <si>
    <t xml:space="preserve">Essay on the freedom of the will. Translated, with an introd., by Konstantin Kolenda.</t>
  </si>
  <si>
    <t xml:space="preserve">Schopenhauer, Arthur, 1788-1860.</t>
  </si>
  <si>
    <t xml:space="preserve">New York, Liberal Arts Press [1960]</t>
  </si>
  <si>
    <t xml:space="preserve">The Library of liberal arts, no. 70</t>
  </si>
  <si>
    <t xml:space="preserve">2908576612:eng</t>
  </si>
  <si>
    <t xml:space="preserve">2691501</t>
  </si>
  <si>
    <t xml:space="preserve">991004213579702656</t>
  </si>
  <si>
    <t xml:space="preserve">2262891580002656</t>
  </si>
  <si>
    <t xml:space="preserve">32285002261930</t>
  </si>
  <si>
    <t xml:space="preserve">893423518</t>
  </si>
  <si>
    <t xml:space="preserve">BJ1468.5 .D85 1987</t>
  </si>
  <si>
    <t xml:space="preserve">0                      BJ 1468500D  85          1987</t>
  </si>
  <si>
    <t xml:space="preserve">The possibility of weakness of will / Robert Dunn.</t>
  </si>
  <si>
    <t xml:space="preserve">Dunn, Robert, 1949-</t>
  </si>
  <si>
    <t xml:space="preserve">Indianapolis : Hackett Pub. Co., c1987.</t>
  </si>
  <si>
    <t xml:space="preserve">2006-04-28</t>
  </si>
  <si>
    <t xml:space="preserve">1992-04-02</t>
  </si>
  <si>
    <t xml:space="preserve">5409311:eng</t>
  </si>
  <si>
    <t xml:space="preserve">12665466</t>
  </si>
  <si>
    <t xml:space="preserve">991000720339702656</t>
  </si>
  <si>
    <t xml:space="preserve">2264334360002656</t>
  </si>
  <si>
    <t xml:space="preserve">9780915145997</t>
  </si>
  <si>
    <t xml:space="preserve">32285001008068</t>
  </si>
  <si>
    <t xml:space="preserve">893714830</t>
  </si>
  <si>
    <t xml:space="preserve">BJ1474 .S69</t>
  </si>
  <si>
    <t xml:space="preserve">0                      BJ 1474000S  69</t>
  </si>
  <si>
    <t xml:space="preserve">The ways and power of love; types, factors, and techniques of moral transformation.</t>
  </si>
  <si>
    <t xml:space="preserve">Sorokin, Pitirim Aleksandrovich, 1889-1968.</t>
  </si>
  <si>
    <t xml:space="preserve">Boston, Beacon Press [1954]</t>
  </si>
  <si>
    <t xml:space="preserve">2006-03-15</t>
  </si>
  <si>
    <t xml:space="preserve">2286905:eng</t>
  </si>
  <si>
    <t xml:space="preserve">1421065</t>
  </si>
  <si>
    <t xml:space="preserve">991003748149702656</t>
  </si>
  <si>
    <t xml:space="preserve">2270903170002656</t>
  </si>
  <si>
    <t xml:space="preserve">32285002262060</t>
  </si>
  <si>
    <t xml:space="preserve">893435385</t>
  </si>
  <si>
    <t xml:space="preserve">BJ1481 .G636 1982</t>
  </si>
  <si>
    <t xml:space="preserve">0                      BJ 1481000G  636         1982</t>
  </si>
  <si>
    <t xml:space="preserve">The Greeks on pleasure / J.C.B. Gosling and C.C.W. Taylor.</t>
  </si>
  <si>
    <t xml:space="preserve">Gosling, J. C. B. (Justin Cyril Bertrand)</t>
  </si>
  <si>
    <t xml:space="preserve">Oxford [Oxfordshire] : Clarendon Press ; New York : Oxford University Press, 1982.</t>
  </si>
  <si>
    <t xml:space="preserve">1982</t>
  </si>
  <si>
    <t xml:space="preserve">2003-04-17</t>
  </si>
  <si>
    <t xml:space="preserve">1990-09-20</t>
  </si>
  <si>
    <t xml:space="preserve">571264:eng</t>
  </si>
  <si>
    <t xml:space="preserve">8452087</t>
  </si>
  <si>
    <t xml:space="preserve">991005245359702656</t>
  </si>
  <si>
    <t xml:space="preserve">2262951270002656</t>
  </si>
  <si>
    <t xml:space="preserve">9780198246664</t>
  </si>
  <si>
    <t xml:space="preserve">32285000306646</t>
  </si>
  <si>
    <t xml:space="preserve">893242430</t>
  </si>
  <si>
    <t xml:space="preserve">BJ1481 .P43</t>
  </si>
  <si>
    <t xml:space="preserve">0                      BJ 1481000P  43</t>
  </si>
  <si>
    <t xml:space="preserve">The concept of pleasure, by David L. Perry.</t>
  </si>
  <si>
    <t xml:space="preserve">Perry, David L.</t>
  </si>
  <si>
    <t xml:space="preserve">The Hague, Mouton, 1967.</t>
  </si>
  <si>
    <t xml:space="preserve">Studies in philosophy ; 14</t>
  </si>
  <si>
    <t xml:space="preserve">308877038:eng</t>
  </si>
  <si>
    <t xml:space="preserve">337421</t>
  </si>
  <si>
    <t xml:space="preserve">991002402279702656</t>
  </si>
  <si>
    <t xml:space="preserve">2255931150002656</t>
  </si>
  <si>
    <t xml:space="preserve">32285002262086</t>
  </si>
  <si>
    <t xml:space="preserve">893433836</t>
  </si>
  <si>
    <t xml:space="preserve">BJ1481 .R85 1927a</t>
  </si>
  <si>
    <t xml:space="preserve">0                      BJ 1481000R  85          1927a</t>
  </si>
  <si>
    <t xml:space="preserve">The right to be happy by Mrs. Bertrand Russell (Dora Russell)</t>
  </si>
  <si>
    <t xml:space="preserve">Russell, Dora, 1894-1986.</t>
  </si>
  <si>
    <t xml:space="preserve">New York and London, Harper &amp; Brothers, 1927.</t>
  </si>
  <si>
    <t xml:space="preserve">1927</t>
  </si>
  <si>
    <t xml:space="preserve">2010-07-30</t>
  </si>
  <si>
    <t xml:space="preserve">146685969:eng</t>
  </si>
  <si>
    <t xml:space="preserve">1091095</t>
  </si>
  <si>
    <t xml:space="preserve">991003527299702656</t>
  </si>
  <si>
    <t xml:space="preserve">2265771120002656</t>
  </si>
  <si>
    <t xml:space="preserve">32285002262102</t>
  </si>
  <si>
    <t xml:space="preserve">893810034</t>
  </si>
  <si>
    <t xml:space="preserve">BJ1496 .F5</t>
  </si>
  <si>
    <t xml:space="preserve">0                      BJ 1496000F  5</t>
  </si>
  <si>
    <t xml:space="preserve">No more plastic Jesus : global justice and Christian lifestyle / Adam Daniel Finnerty.</t>
  </si>
  <si>
    <t xml:space="preserve">Corson-Finnerty, Adam Daniel.</t>
  </si>
  <si>
    <t xml:space="preserve">1977</t>
  </si>
  <si>
    <t xml:space="preserve">2005-09-16</t>
  </si>
  <si>
    <t xml:space="preserve">5723879:eng</t>
  </si>
  <si>
    <t xml:space="preserve">2597528</t>
  </si>
  <si>
    <t xml:space="preserve">991004177679702656</t>
  </si>
  <si>
    <t xml:space="preserve">2265717490002656</t>
  </si>
  <si>
    <t xml:space="preserve">9780883443408</t>
  </si>
  <si>
    <t xml:space="preserve">32285002262136</t>
  </si>
  <si>
    <t xml:space="preserve">893869388</t>
  </si>
  <si>
    <t xml:space="preserve">BJ1499.S6 D86</t>
  </si>
  <si>
    <t xml:space="preserve">0                      BJ 1499000S  6                  D  86</t>
  </si>
  <si>
    <t xml:space="preserve">The reasons of the heart : a journey into solitude and back again into the human circle / John S. Dunne.</t>
  </si>
  <si>
    <t xml:space="preserve">Dunne, John S., 1929-2013.</t>
  </si>
  <si>
    <t xml:space="preserve">New York : Macmillan, c1978.</t>
  </si>
  <si>
    <t xml:space="preserve">2005-03-16</t>
  </si>
  <si>
    <t xml:space="preserve">1994-05-04</t>
  </si>
  <si>
    <t xml:space="preserve">430703:eng</t>
  </si>
  <si>
    <t xml:space="preserve">3415309</t>
  </si>
  <si>
    <t xml:space="preserve">991004429889702656</t>
  </si>
  <si>
    <t xml:space="preserve">2260313930002656</t>
  </si>
  <si>
    <t xml:space="preserve">9780025339507</t>
  </si>
  <si>
    <t xml:space="preserve">32285001906873</t>
  </si>
  <si>
    <t xml:space="preserve">893319219</t>
  </si>
  <si>
    <t xml:space="preserve">BJ1499.S6 L67</t>
  </si>
  <si>
    <t xml:space="preserve">0                      BJ 1499000S  6                  L  67</t>
  </si>
  <si>
    <t xml:space="preserve">The problem of loneliness [by] J. B. Lotz.</t>
  </si>
  <si>
    <t xml:space="preserve">Lotz, Johannes B. (Johannes Baptist), 1903-1992.</t>
  </si>
  <si>
    <t xml:space="preserve">Staten Island, N.Y., Alba House [1967]</t>
  </si>
  <si>
    <t xml:space="preserve">2009-09-14</t>
  </si>
  <si>
    <t xml:space="preserve">4160828688:eng</t>
  </si>
  <si>
    <t xml:space="preserve">3135438</t>
  </si>
  <si>
    <t xml:space="preserve">991004355159702656</t>
  </si>
  <si>
    <t xml:space="preserve">2257166990002656</t>
  </si>
  <si>
    <t xml:space="preserve">32285002262201</t>
  </si>
  <si>
    <t xml:space="preserve">893337626</t>
  </si>
  <si>
    <t xml:space="preserve">BJ1499.S6 S37</t>
  </si>
  <si>
    <t xml:space="preserve">0                      BJ 1499000S  6                  S  37</t>
  </si>
  <si>
    <t xml:space="preserve">Solitude in society : a sociological study in French literature / Robert Sayre. --</t>
  </si>
  <si>
    <t xml:space="preserve">Sayre, Robert, 1943-</t>
  </si>
  <si>
    <t xml:space="preserve">Cambridge, Mass. : Harvard University Press, 1978.</t>
  </si>
  <si>
    <t xml:space="preserve">2009-03-17</t>
  </si>
  <si>
    <t xml:space="preserve">866845050:eng</t>
  </si>
  <si>
    <t xml:space="preserve">3380351</t>
  </si>
  <si>
    <t xml:space="preserve">991004420469702656</t>
  </si>
  <si>
    <t xml:space="preserve">2272760960002656</t>
  </si>
  <si>
    <t xml:space="preserve">9780674817616</t>
  </si>
  <si>
    <t xml:space="preserve">32285000306737</t>
  </si>
  <si>
    <t xml:space="preserve">893894990</t>
  </si>
  <si>
    <t xml:space="preserve">BJ1533.C8 P553 1954</t>
  </si>
  <si>
    <t xml:space="preserve">0                      BJ 1533000C  8                  P  553         1954</t>
  </si>
  <si>
    <t xml:space="preserve">Fortitude, and Temperance / Josef Pieper ; translated by Daniel F. Coogan.</t>
  </si>
  <si>
    <t xml:space="preserve">Pieper, Josef, 1904-1997.</t>
  </si>
  <si>
    <t xml:space="preserve">[New York] : Pantheon Books, [1954]</t>
  </si>
  <si>
    <t xml:space="preserve">2007-10-02</t>
  </si>
  <si>
    <t xml:space="preserve">49746832:eng</t>
  </si>
  <si>
    <t xml:space="preserve">1453355</t>
  </si>
  <si>
    <t xml:space="preserve">991003763099702656</t>
  </si>
  <si>
    <t xml:space="preserve">2257329570002656</t>
  </si>
  <si>
    <t xml:space="preserve">32285000306794</t>
  </si>
  <si>
    <t xml:space="preserve">893794005</t>
  </si>
  <si>
    <t xml:space="preserve">BJ1533.C8 T5</t>
  </si>
  <si>
    <t xml:space="preserve">0                      BJ 1533000C  8                  T  5</t>
  </si>
  <si>
    <t xml:space="preserve">The courage to be.</t>
  </si>
  <si>
    <t xml:space="preserve">Tillich, Paul, 1886-1965.</t>
  </si>
  <si>
    <t xml:space="preserve">New Haven, Yale University Press, 1952.</t>
  </si>
  <si>
    <t xml:space="preserve">1952</t>
  </si>
  <si>
    <t xml:space="preserve">2004-10-03</t>
  </si>
  <si>
    <t xml:space="preserve">434731:eng</t>
  </si>
  <si>
    <t xml:space="preserve">266130</t>
  </si>
  <si>
    <t xml:space="preserve">991002099099702656</t>
  </si>
  <si>
    <t xml:space="preserve">2269561320002656</t>
  </si>
  <si>
    <t xml:space="preserve">32285002262284</t>
  </si>
  <si>
    <t xml:space="preserve">893621903</t>
  </si>
  <si>
    <t xml:space="preserve">BJ1533.J9 F4</t>
  </si>
  <si>
    <t xml:space="preserve">0                      BJ 1533000J  9                  F  4</t>
  </si>
  <si>
    <t xml:space="preserve">The act of social justice : an analysis of the Thomistic concept of legal justice, with special reference to the doctrine of social justice proposed by His Holiness Pope Pius XI in his encyclicals Quadragesimo anno and Divini Redemptoris, to determine the precise nature of the act of this virtue ... / [by] Reverend William Ferree.</t>
  </si>
  <si>
    <t xml:space="preserve">Ferree, William, 1905-1985.</t>
  </si>
  <si>
    <t xml:space="preserve">Washington, D.C. : The Catholic university of America press, 1942 [i. e. 1943]</t>
  </si>
  <si>
    <t xml:space="preserve">1943</t>
  </si>
  <si>
    <t xml:space="preserve">The Catholic university of America. Philosophical studies, v. 72</t>
  </si>
  <si>
    <t xml:space="preserve">1999-09-08</t>
  </si>
  <si>
    <t xml:space="preserve">223054424:eng</t>
  </si>
  <si>
    <t xml:space="preserve">5813809</t>
  </si>
  <si>
    <t xml:space="preserve">991004880319702656</t>
  </si>
  <si>
    <t xml:space="preserve">2260975740002656</t>
  </si>
  <si>
    <t xml:space="preserve">32285002160520</t>
  </si>
  <si>
    <t xml:space="preserve">893418109</t>
  </si>
  <si>
    <t xml:space="preserve">BJ1533.J9 P443 1963</t>
  </si>
  <si>
    <t xml:space="preserve">0                      BJ 1533000J  9                  P  443         1963</t>
  </si>
  <si>
    <t xml:space="preserve">The idea of justice and the problem of argument.</t>
  </si>
  <si>
    <t xml:space="preserve">Perelman, Chaïm.</t>
  </si>
  <si>
    <t xml:space="preserve">London, Routledge &amp; Paul; New York, Humanities Press [1963]</t>
  </si>
  <si>
    <t xml:space="preserve">2006-10-09</t>
  </si>
  <si>
    <t xml:space="preserve">1452555:eng</t>
  </si>
  <si>
    <t xml:space="preserve">372492</t>
  </si>
  <si>
    <t xml:space="preserve">991002565349702656</t>
  </si>
  <si>
    <t xml:space="preserve">2261618700002656</t>
  </si>
  <si>
    <t xml:space="preserve">32285002262326</t>
  </si>
  <si>
    <t xml:space="preserve">893873699</t>
  </si>
  <si>
    <t xml:space="preserve">BJ1535.A6 M55 1989</t>
  </si>
  <si>
    <t xml:space="preserve">0                      BJ 1535000A  6                  M  55          1989</t>
  </si>
  <si>
    <t xml:space="preserve">Good anger / John Giles Milhaven.</t>
  </si>
  <si>
    <t xml:space="preserve">Milhaven, John Giles.</t>
  </si>
  <si>
    <t xml:space="preserve">Kansas City, MO : Sheed &amp; Ward, c1989.</t>
  </si>
  <si>
    <t xml:space="preserve">2002-08-13</t>
  </si>
  <si>
    <t xml:space="preserve">22458854:eng</t>
  </si>
  <si>
    <t xml:space="preserve">20927958</t>
  </si>
  <si>
    <t xml:space="preserve">991003856419702656</t>
  </si>
  <si>
    <t xml:space="preserve">2261287300002656</t>
  </si>
  <si>
    <t xml:space="preserve">9781556122644</t>
  </si>
  <si>
    <t xml:space="preserve">32285004642822</t>
  </si>
  <si>
    <t xml:space="preserve">893592978</t>
  </si>
  <si>
    <t xml:space="preserve">BJ1581.2 .M34 1982</t>
  </si>
  <si>
    <t xml:space="preserve">0                      BJ 1581200M  34          1982</t>
  </si>
  <si>
    <t xml:space="preserve">You can find a way : a book of factual optimism / Patrick Mahony.</t>
  </si>
  <si>
    <t xml:space="preserve">Mahony, Patrick, 1911-</t>
  </si>
  <si>
    <t xml:space="preserve">Washington D. C. : The Institute for the Study of Man, 1982.</t>
  </si>
  <si>
    <t xml:space="preserve">1992-12-06</t>
  </si>
  <si>
    <t xml:space="preserve">423093757:eng</t>
  </si>
  <si>
    <t xml:space="preserve">9144112</t>
  </si>
  <si>
    <t xml:space="preserve">991000111789702656</t>
  </si>
  <si>
    <t xml:space="preserve">2260163540002656</t>
  </si>
  <si>
    <t xml:space="preserve">32285000306992</t>
  </si>
  <si>
    <t xml:space="preserve">893783975</t>
  </si>
  <si>
    <t xml:space="preserve">BJ1581.2 .P46</t>
  </si>
  <si>
    <t xml:space="preserve">0                      BJ 1581200P  46</t>
  </si>
  <si>
    <t xml:space="preserve">The Peter prescription; how to be creative, confident &amp; competent / by Laurence J. Peter.</t>
  </si>
  <si>
    <t xml:space="preserve">Peter, Laurence J.</t>
  </si>
  <si>
    <t xml:space="preserve">New York, Morrow, 1972.</t>
  </si>
  <si>
    <t xml:space="preserve">1992-01-23</t>
  </si>
  <si>
    <t xml:space="preserve">3900995503:eng</t>
  </si>
  <si>
    <t xml:space="preserve">363482</t>
  </si>
  <si>
    <t xml:space="preserve">991002494829702656</t>
  </si>
  <si>
    <t xml:space="preserve">2263990070002656</t>
  </si>
  <si>
    <t xml:space="preserve">32285000307008</t>
  </si>
  <si>
    <t xml:space="preserve">893786221</t>
  </si>
  <si>
    <t xml:space="preserve">BJ1581.2 .P54 1981</t>
  </si>
  <si>
    <t xml:space="preserve">0                      BJ 1581200P  54          1981</t>
  </si>
  <si>
    <t xml:space="preserve">Wellness, your invitation to full life / by John J. Pilch.</t>
  </si>
  <si>
    <t xml:space="preserve">Pilch, John J.</t>
  </si>
  <si>
    <t xml:space="preserve">Minneapolis, MN : Winston Press, c1981.</t>
  </si>
  <si>
    <t xml:space="preserve">2009-07-28</t>
  </si>
  <si>
    <t xml:space="preserve">513276:eng</t>
  </si>
  <si>
    <t xml:space="preserve">7734797</t>
  </si>
  <si>
    <t xml:space="preserve">991005328509702656</t>
  </si>
  <si>
    <t xml:space="preserve">2255822910002656</t>
  </si>
  <si>
    <t xml:space="preserve">9780030590627</t>
  </si>
  <si>
    <t xml:space="preserve">32285005539241</t>
  </si>
  <si>
    <t xml:space="preserve">893520839</t>
  </si>
  <si>
    <t xml:space="preserve">BJ1581.2 .V36 1969</t>
  </si>
  <si>
    <t xml:space="preserve">0                      BJ 1581200V  36          1969</t>
  </si>
  <si>
    <t xml:space="preserve">The participant self [by] Adrian van Kaam, Bert van Croonenburg [and] Susan Muto.</t>
  </si>
  <si>
    <t xml:space="preserve">Van Kaam, Adrian L., 1920-2007.</t>
  </si>
  <si>
    <t xml:space="preserve">Denville, N.J., Dimension Books [c1969]</t>
  </si>
  <si>
    <t xml:space="preserve">[1st American ed.]</t>
  </si>
  <si>
    <t xml:space="preserve">2002-07-08</t>
  </si>
  <si>
    <t xml:space="preserve">4131463721:eng</t>
  </si>
  <si>
    <t xml:space="preserve">163134</t>
  </si>
  <si>
    <t xml:space="preserve">991000925269702656</t>
  </si>
  <si>
    <t xml:space="preserve">2272082640002656</t>
  </si>
  <si>
    <t xml:space="preserve">32285002262508</t>
  </si>
  <si>
    <t xml:space="preserve">893897345</t>
  </si>
  <si>
    <t xml:space="preserve">BJ1581.2 .V36 1969 V.2</t>
  </si>
  <si>
    <t xml:space="preserve">0                      BJ 1581200V  36          1969                                        V.2</t>
  </si>
  <si>
    <t xml:space="preserve">V.2*</t>
  </si>
  <si>
    <t xml:space="preserve">2001-07-26</t>
  </si>
  <si>
    <t xml:space="preserve">32285002262516</t>
  </si>
  <si>
    <t xml:space="preserve">893872139</t>
  </si>
  <si>
    <t xml:space="preserve">BJ1604.C45 E8</t>
  </si>
  <si>
    <t xml:space="preserve">0                      BJ 1604000C  45                 E  8</t>
  </si>
  <si>
    <t xml:space="preserve">The book of the courtier / Baldassare Castiglione.</t>
  </si>
  <si>
    <t xml:space="preserve">Castiglione, Baldassarre, conte, 1478-1529.</t>
  </si>
  <si>
    <t xml:space="preserve">London : Dent, ; New York : Dutton, 1948, c1928.</t>
  </si>
  <si>
    <t xml:space="preserve">1948</t>
  </si>
  <si>
    <t xml:space="preserve">Everyman's library ; no. 807</t>
  </si>
  <si>
    <t xml:space="preserve">2010-03-18</t>
  </si>
  <si>
    <t xml:space="preserve">1992-11-18</t>
  </si>
  <si>
    <t xml:space="preserve">10596143664:eng</t>
  </si>
  <si>
    <t xml:space="preserve">9376469</t>
  </si>
  <si>
    <t xml:space="preserve">991000180969702656</t>
  </si>
  <si>
    <t xml:space="preserve">2271076180002656</t>
  </si>
  <si>
    <t xml:space="preserve">32285001406189</t>
  </si>
  <si>
    <t xml:space="preserve">893249160</t>
  </si>
  <si>
    <t xml:space="preserve">BJ1604.C6 W66</t>
  </si>
  <si>
    <t xml:space="preserve">0                      BJ 1604000C  6                  W  66</t>
  </si>
  <si>
    <t xml:space="preserve">Baldesar Castiglione : a reassessment of The courtier / J. R. Woodhouse.</t>
  </si>
  <si>
    <t xml:space="preserve">Woodhouse, J. R. (John Robert), 1937-</t>
  </si>
  <si>
    <t xml:space="preserve">Edinburgh : Edinburgh University Press, c1978.</t>
  </si>
  <si>
    <t xml:space="preserve">Writers of Italy series ; 7</t>
  </si>
  <si>
    <t xml:space="preserve">2004-11-09</t>
  </si>
  <si>
    <t xml:space="preserve">890686556:eng</t>
  </si>
  <si>
    <t xml:space="preserve">4829913</t>
  </si>
  <si>
    <t xml:space="preserve">991004728059702656</t>
  </si>
  <si>
    <t xml:space="preserve">2263868570002656</t>
  </si>
  <si>
    <t xml:space="preserve">9780852243466</t>
  </si>
  <si>
    <t xml:space="preserve">32285000307040</t>
  </si>
  <si>
    <t xml:space="preserve">893870034</t>
  </si>
  <si>
    <t xml:space="preserve">BJ1661 .M4</t>
  </si>
  <si>
    <t xml:space="preserve">0                      BJ 1661000M  4</t>
  </si>
  <si>
    <t xml:space="preserve">Blueprint for teen-age living, by William C. Menninger and others</t>
  </si>
  <si>
    <t xml:space="preserve">Menninger, William Claire, 1899-1966.</t>
  </si>
  <si>
    <t xml:space="preserve">New York Sterling Pub. Co. [1958].</t>
  </si>
  <si>
    <t xml:space="preserve">2008-01-08</t>
  </si>
  <si>
    <t xml:space="preserve">2116278:eng</t>
  </si>
  <si>
    <t xml:space="preserve">1220942</t>
  </si>
  <si>
    <t xml:space="preserve">991003629919702656</t>
  </si>
  <si>
    <t xml:space="preserve">2259954760002656</t>
  </si>
  <si>
    <t xml:space="preserve">32285002262664</t>
  </si>
  <si>
    <t xml:space="preserve">893252552</t>
  </si>
  <si>
    <t xml:space="preserve">BJ1691 .N68</t>
  </si>
  <si>
    <t xml:space="preserve">0                      BJ 1691000N  68</t>
  </si>
  <si>
    <t xml:space="preserve">Aging [by] Henri J. M. Nouwen [and] Walter J. Gaffney. Photos. by Ron P. Van Den Bosch.</t>
  </si>
  <si>
    <t xml:space="preserve">Nouwen, Henri J. M.</t>
  </si>
  <si>
    <t xml:space="preserve">Garden City, N.Y., Doubleday, 1974.</t>
  </si>
  <si>
    <t xml:space="preserve">2002-10-06</t>
  </si>
  <si>
    <t xml:space="preserve">883868:eng</t>
  </si>
  <si>
    <t xml:space="preserve">867917</t>
  </si>
  <si>
    <t xml:space="preserve">991003337499702656</t>
  </si>
  <si>
    <t xml:space="preserve">2265809110002656</t>
  </si>
  <si>
    <t xml:space="preserve">9780385041812</t>
  </si>
  <si>
    <t xml:space="preserve">32285002262748</t>
  </si>
  <si>
    <t xml:space="preserve">893780883</t>
  </si>
  <si>
    <t xml:space="preserve">BJ1725 .B29</t>
  </si>
  <si>
    <t xml:space="preserve">0                      BJ 1725000B  29</t>
  </si>
  <si>
    <t xml:space="preserve">Professional ethics / Michael D. Bayles.</t>
  </si>
  <si>
    <t xml:space="preserve">Bayles, Michael D.</t>
  </si>
  <si>
    <t xml:space="preserve">Belmont, Calif. : Wadsworth Pub. Co., c1981.</t>
  </si>
  <si>
    <t xml:space="preserve">The Wadsworth series in social philosophy</t>
  </si>
  <si>
    <t xml:space="preserve">1996-05-09</t>
  </si>
  <si>
    <t xml:space="preserve">16640700:eng</t>
  </si>
  <si>
    <t xml:space="preserve">7552740</t>
  </si>
  <si>
    <t xml:space="preserve">991005124889702656</t>
  </si>
  <si>
    <t xml:space="preserve">2262954530002656</t>
  </si>
  <si>
    <t xml:space="preserve">9780534009984</t>
  </si>
  <si>
    <t xml:space="preserve">32285000307149</t>
  </si>
  <si>
    <t xml:space="preserve">893446579</t>
  </si>
  <si>
    <t xml:space="preserve">BJ1725 .B4</t>
  </si>
  <si>
    <t xml:space="preserve">0                      BJ 1725000B  4</t>
  </si>
  <si>
    <t xml:space="preserve">Dollars and sense; ideology, ethics, and the meaning of work in profit and nonprofit organizations.</t>
  </si>
  <si>
    <t xml:space="preserve">Bensman, Joseph.</t>
  </si>
  <si>
    <t xml:space="preserve">New York, Macmillan [1967]</t>
  </si>
  <si>
    <t xml:space="preserve">2009-11-12</t>
  </si>
  <si>
    <t xml:space="preserve">1322356:eng</t>
  </si>
  <si>
    <t xml:space="preserve">180766</t>
  </si>
  <si>
    <t xml:space="preserve">991001087049702656</t>
  </si>
  <si>
    <t xml:space="preserve">2271937180002656</t>
  </si>
  <si>
    <t xml:space="preserve">32285002262755</t>
  </si>
  <si>
    <t xml:space="preserve">893778545</t>
  </si>
  <si>
    <t xml:space="preserve">BJ1725 .C28 1983</t>
  </si>
  <si>
    <t xml:space="preserve">0                      BJ 1725000C  28          1983</t>
  </si>
  <si>
    <t xml:space="preserve">Grounding professional ethics in a pluralistic society / Paul F. Camenisch.</t>
  </si>
  <si>
    <t xml:space="preserve">Camenisch, Paul F.</t>
  </si>
  <si>
    <t xml:space="preserve">New York : Haven, 1983.</t>
  </si>
  <si>
    <t xml:space="preserve">1998-11-28</t>
  </si>
  <si>
    <t xml:space="preserve">1995-08-03</t>
  </si>
  <si>
    <t xml:space="preserve">3189500:eng</t>
  </si>
  <si>
    <t xml:space="preserve">10421820</t>
  </si>
  <si>
    <t xml:space="preserve">991000369249702656</t>
  </si>
  <si>
    <t xml:space="preserve">2271978000002656</t>
  </si>
  <si>
    <t xml:space="preserve">9780930586119</t>
  </si>
  <si>
    <t xml:space="preserve">32285000307156</t>
  </si>
  <si>
    <t xml:space="preserve">893589373</t>
  </si>
  <si>
    <t xml:space="preserve">BJ1725 .K84 1988</t>
  </si>
  <si>
    <t xml:space="preserve">0                      BJ 1725000K  84          1988</t>
  </si>
  <si>
    <t xml:space="preserve">Ethics and professionalism / John Kultgen.</t>
  </si>
  <si>
    <t xml:space="preserve">Kultgen, John H.</t>
  </si>
  <si>
    <t xml:space="preserve">Philadelphia : University of Pennsylvania Press, 1988.</t>
  </si>
  <si>
    <t xml:space="preserve">2010-09-24</t>
  </si>
  <si>
    <t xml:space="preserve">1990-01-09</t>
  </si>
  <si>
    <t xml:space="preserve">1010276:eng</t>
  </si>
  <si>
    <t xml:space="preserve">16832367</t>
  </si>
  <si>
    <t xml:space="preserve">991001791789702656</t>
  </si>
  <si>
    <t xml:space="preserve">2256808160002656</t>
  </si>
  <si>
    <t xml:space="preserve">9780812212631</t>
  </si>
  <si>
    <t xml:space="preserve">32285000026798</t>
  </si>
  <si>
    <t xml:space="preserve">893522854</t>
  </si>
  <si>
    <t xml:space="preserve">BJ1853 .D66 1982</t>
  </si>
  <si>
    <t xml:space="preserve">0                      BJ 1853000D  66          1982</t>
  </si>
  <si>
    <t xml:space="preserve">Class acts : etiquette for today / Eve Drobot.</t>
  </si>
  <si>
    <t xml:space="preserve">Drobot, Eve.</t>
  </si>
  <si>
    <t xml:space="preserve">New York : Van Nostrand Reinhold, 1982.</t>
  </si>
  <si>
    <t xml:space="preserve">2001-09-23</t>
  </si>
  <si>
    <t xml:space="preserve">1990-04-30</t>
  </si>
  <si>
    <t xml:space="preserve">31479989:eng</t>
  </si>
  <si>
    <t xml:space="preserve">8306499</t>
  </si>
  <si>
    <t xml:space="preserve">991005229389702656</t>
  </si>
  <si>
    <t xml:space="preserve">2269214650002656</t>
  </si>
  <si>
    <t xml:space="preserve">9780442296636</t>
  </si>
  <si>
    <t xml:space="preserve">32285000128545</t>
  </si>
  <si>
    <t xml:space="preserve">893810943</t>
  </si>
  <si>
    <t xml:space="preserve">BJ1853 .G27</t>
  </si>
  <si>
    <t xml:space="preserve">0                      BJ 1853000G  27</t>
  </si>
  <si>
    <t xml:space="preserve">Courtesy book; a short course in polite behavior for use in schools, churches and individual homes/ by Horace J. Gardner and Patricia Farren; foreword by Grace Livingston Hill; illustrated by Katharine Haviland-Taylor.</t>
  </si>
  <si>
    <t xml:space="preserve">Gardner, Horace J. (Horace John), 1895-1950.</t>
  </si>
  <si>
    <t xml:space="preserve">Philadelphia, London, J.B. Lippincott company [c1937]</t>
  </si>
  <si>
    <t xml:space="preserve">1937</t>
  </si>
  <si>
    <t xml:space="preserve">2010-01-27</t>
  </si>
  <si>
    <t xml:space="preserve">9667181:eng</t>
  </si>
  <si>
    <t xml:space="preserve">3370935</t>
  </si>
  <si>
    <t xml:space="preserve">991004417929702656</t>
  </si>
  <si>
    <t xml:space="preserve">2267135330002656</t>
  </si>
  <si>
    <t xml:space="preserve">32285002262789</t>
  </si>
  <si>
    <t xml:space="preserve">893807040</t>
  </si>
  <si>
    <t xml:space="preserve">BJ1853 .P3</t>
  </si>
  <si>
    <t xml:space="preserve">0                      BJ 1853000P  3</t>
  </si>
  <si>
    <t xml:space="preserve">What do I do now? A guide to correct conduct and dress for business people, by Mildred M. Payne.</t>
  </si>
  <si>
    <t xml:space="preserve">Payne, Mildred M.</t>
  </si>
  <si>
    <t xml:space="preserve">New York, Gregg publishing co. [c1940]</t>
  </si>
  <si>
    <t xml:space="preserve">1940</t>
  </si>
  <si>
    <t xml:space="preserve">2010-07-01</t>
  </si>
  <si>
    <t xml:space="preserve">4080081:eng</t>
  </si>
  <si>
    <t xml:space="preserve">2216889</t>
  </si>
  <si>
    <t xml:space="preserve">991004052849702656</t>
  </si>
  <si>
    <t xml:space="preserve">2257552360002656</t>
  </si>
  <si>
    <t xml:space="preserve">32285002262797</t>
  </si>
  <si>
    <t xml:space="preserve">893417160</t>
  </si>
  <si>
    <t xml:space="preserve">BJ1853 .V27 1956</t>
  </si>
  <si>
    <t xml:space="preserve">0                      BJ 1853000V  27          1956</t>
  </si>
  <si>
    <t xml:space="preserve">Complete book of etiquette : a guide to gracious living / drawings by Fred McCarroll, Mary Suzuki, and Andrew Warhol.</t>
  </si>
  <si>
    <t xml:space="preserve">Vanderbilt, Amy.</t>
  </si>
  <si>
    <t xml:space="preserve">Garden City, N.Y. : Doubleday, 1956 [c1955]</t>
  </si>
  <si>
    <t xml:space="preserve">1956</t>
  </si>
  <si>
    <t xml:space="preserve">1995-02-24</t>
  </si>
  <si>
    <t xml:space="preserve">3855346628:eng</t>
  </si>
  <si>
    <t xml:space="preserve">7235608</t>
  </si>
  <si>
    <t xml:space="preserve">991005092049702656</t>
  </si>
  <si>
    <t xml:space="preserve">2265844750002656</t>
  </si>
  <si>
    <t xml:space="preserve">32285001989903</t>
  </si>
  <si>
    <t xml:space="preserve">893807806</t>
  </si>
  <si>
    <t xml:space="preserve">BJ1853 .V6 1948</t>
  </si>
  <si>
    <t xml:space="preserve">0                      BJ 1853000V  6           1948</t>
  </si>
  <si>
    <t xml:space="preserve">Vogue's book of etiquette : a complete guide to traditional forms and modern usage / by Millicent Fenwick.</t>
  </si>
  <si>
    <t xml:space="preserve">New York : Simon and Schuster, [1948]</t>
  </si>
  <si>
    <t xml:space="preserve">1994-04-25</t>
  </si>
  <si>
    <t xml:space="preserve">22722154:eng</t>
  </si>
  <si>
    <t xml:space="preserve">6554688</t>
  </si>
  <si>
    <t xml:space="preserve">991005002649702656</t>
  </si>
  <si>
    <t xml:space="preserve">2255491230002656</t>
  </si>
  <si>
    <t xml:space="preserve">32285001891000</t>
  </si>
  <si>
    <t xml:space="preserve">893795488</t>
  </si>
  <si>
    <t xml:space="preserve">BJ1857.C5 M32 1984</t>
  </si>
  <si>
    <t xml:space="preserve">0                      BJ 1857000C  5                  M  32          1984</t>
  </si>
  <si>
    <t xml:space="preserve">Miss Manners' guide to rearing perfect children / Judith Martin ; illustrated by Gloria Kamen.</t>
  </si>
  <si>
    <t xml:space="preserve">Martin, Judith, 1938-</t>
  </si>
  <si>
    <t xml:space="preserve">New York : Atheneum Publishers, 1984.</t>
  </si>
  <si>
    <t xml:space="preserve">3943307655:eng</t>
  </si>
  <si>
    <t xml:space="preserve">10753618</t>
  </si>
  <si>
    <t xml:space="preserve">991000426479702656</t>
  </si>
  <si>
    <t xml:space="preserve">2265517000002656</t>
  </si>
  <si>
    <t xml:space="preserve">9780689114892</t>
  </si>
  <si>
    <t xml:space="preserve">32285000307214</t>
  </si>
  <si>
    <t xml:space="preserve">893243235</t>
  </si>
  <si>
    <t xml:space="preserve">BJ2051 .P56 1990</t>
  </si>
  <si>
    <t xml:space="preserve">0                      BJ 2051000P  56          1990</t>
  </si>
  <si>
    <t xml:space="preserve">The groom-to-groom book : a complete wedding planner for the groom / Thomas M. Piljac.</t>
  </si>
  <si>
    <t xml:space="preserve">Piljac, Thomas M., 1952-</t>
  </si>
  <si>
    <t xml:space="preserve">Chicago, IL : Bryce-Waterton Publications : Distributed by Independent Publishers Group, c1990.</t>
  </si>
  <si>
    <t xml:space="preserve">1990</t>
  </si>
  <si>
    <t xml:space="preserve">All new, expanded ed.</t>
  </si>
  <si>
    <t xml:space="preserve">2004-02-17</t>
  </si>
  <si>
    <t xml:space="preserve">1998-02-09</t>
  </si>
  <si>
    <t xml:space="preserve">12017066:eng</t>
  </si>
  <si>
    <t xml:space="preserve">36749780</t>
  </si>
  <si>
    <t xml:space="preserve">991002797599702656</t>
  </si>
  <si>
    <t xml:space="preserve">2261806740002656</t>
  </si>
  <si>
    <t xml:space="preserve">9781556522239</t>
  </si>
  <si>
    <t xml:space="preserve">32285003313268</t>
  </si>
  <si>
    <t xml:space="preserve">893899240</t>
  </si>
  <si>
    <t xml:space="preserve">BJ21 .B74 1971</t>
  </si>
  <si>
    <t xml:space="preserve">0                      BJ 0021000B  74          1971</t>
  </si>
  <si>
    <t xml:space="preserve">Broad's critical essays in moral philosophy / by C.D. Broad ; edited by David R. Cheney.</t>
  </si>
  <si>
    <t xml:space="preserve">Broad, C. D. (Charlie Dunbar), 1887-1971.</t>
  </si>
  <si>
    <t xml:space="preserve">London : Allen &amp; Unwin ; New York ; Humanities Press, 1971.</t>
  </si>
  <si>
    <t xml:space="preserve">Library of philosophy</t>
  </si>
  <si>
    <t xml:space="preserve">1997-11-03</t>
  </si>
  <si>
    <t xml:space="preserve">1990-09-12</t>
  </si>
  <si>
    <t xml:space="preserve">1436576497:eng</t>
  </si>
  <si>
    <t xml:space="preserve">379902</t>
  </si>
  <si>
    <t xml:space="preserve">991005149419702656</t>
  </si>
  <si>
    <t xml:space="preserve">2267775750002656</t>
  </si>
  <si>
    <t xml:space="preserve">9780041900064</t>
  </si>
  <si>
    <t xml:space="preserve">32285000302199</t>
  </si>
  <si>
    <t xml:space="preserve">893412397</t>
  </si>
  <si>
    <t xml:space="preserve">BJ21 .H83</t>
  </si>
  <si>
    <t xml:space="preserve">0                      BJ 0021000H  83</t>
  </si>
  <si>
    <t xml:space="preserve">Human values in a secular world / edited by Robert Z. Apostol.</t>
  </si>
  <si>
    <t xml:space="preserve">New York : Humanities Press, [1971, c1970]</t>
  </si>
  <si>
    <t xml:space="preserve">1996-04-21</t>
  </si>
  <si>
    <t xml:space="preserve">1995-09-21</t>
  </si>
  <si>
    <t xml:space="preserve">2000-06-14</t>
  </si>
  <si>
    <t xml:space="preserve">422251499:eng</t>
  </si>
  <si>
    <t xml:space="preserve">115673</t>
  </si>
  <si>
    <t xml:space="preserve">991001731519702656</t>
  </si>
  <si>
    <t xml:space="preserve">2260313330002656</t>
  </si>
  <si>
    <t xml:space="preserve">9780391001206</t>
  </si>
  <si>
    <t xml:space="preserve">32285002066552</t>
  </si>
  <si>
    <t xml:space="preserve">893791657</t>
  </si>
  <si>
    <t xml:space="preserve">BJ21 .K6</t>
  </si>
  <si>
    <t xml:space="preserve">0                      BJ 0021000K  6</t>
  </si>
  <si>
    <t xml:space="preserve">Contemporary European ethics; selected readings. Edited, translated in part, and introduced by Joseph J. Kockelmans.</t>
  </si>
  <si>
    <t xml:space="preserve">Kockelmans, Joseph J., 1923- compiler.</t>
  </si>
  <si>
    <t xml:space="preserve">Garden City, N.Y., Anchor Books, 1972.</t>
  </si>
  <si>
    <t xml:space="preserve">2000-04-21</t>
  </si>
  <si>
    <t xml:space="preserve">1996-08-08</t>
  </si>
  <si>
    <t xml:space="preserve">1418044:eng</t>
  </si>
  <si>
    <t xml:space="preserve">277929</t>
  </si>
  <si>
    <t xml:space="preserve">991002175309702656</t>
  </si>
  <si>
    <t xml:space="preserve">2260275560002656</t>
  </si>
  <si>
    <t xml:space="preserve">32285002259033</t>
  </si>
  <si>
    <t xml:space="preserve">893892237</t>
  </si>
  <si>
    <t xml:space="preserve">BJ21 .M25</t>
  </si>
  <si>
    <t xml:space="preserve">0                      BJ 0021000M  25</t>
  </si>
  <si>
    <t xml:space="preserve">Approaches to morality : readings in ethics from classical philosophy to existentialism / under the general editorship of: Jesse A. Mann, Gerald F. Kreyche. Contributing editors: Francis H. Eterovich [and others]</t>
  </si>
  <si>
    <t xml:space="preserve">Mann, Jesse A. (Jesse Aloysius), 1921-2016 editor.</t>
  </si>
  <si>
    <t xml:space="preserve">New York : Harcourt, Brace &amp; World, [1966]</t>
  </si>
  <si>
    <t xml:space="preserve">The Harbrace series in philosophy</t>
  </si>
  <si>
    <t xml:space="preserve">2006-11-02</t>
  </si>
  <si>
    <t xml:space="preserve">1994-03-14</t>
  </si>
  <si>
    <t xml:space="preserve">1876080:eng</t>
  </si>
  <si>
    <t xml:space="preserve">892447</t>
  </si>
  <si>
    <t xml:space="preserve">991003357899702656</t>
  </si>
  <si>
    <t xml:space="preserve">2263817820002656</t>
  </si>
  <si>
    <t xml:space="preserve">32285001853380</t>
  </si>
  <si>
    <t xml:space="preserve">893604716</t>
  </si>
  <si>
    <t xml:space="preserve">BJ21 .M4</t>
  </si>
  <si>
    <t xml:space="preserve">0                      BJ 0021000M  4</t>
  </si>
  <si>
    <t xml:space="preserve">Essays in moral philosophy / edited by A.I. Melden.</t>
  </si>
  <si>
    <t xml:space="preserve">Melden, A. I. (Abraham Irving), 1910-1991.</t>
  </si>
  <si>
    <t xml:space="preserve">Seattle : University of Washington Press, 1958.</t>
  </si>
  <si>
    <t xml:space="preserve">wau</t>
  </si>
  <si>
    <t xml:space="preserve">2006-01-25</t>
  </si>
  <si>
    <t xml:space="preserve">1993-04-29</t>
  </si>
  <si>
    <t xml:space="preserve">54614145:eng</t>
  </si>
  <si>
    <t xml:space="preserve">10265425</t>
  </si>
  <si>
    <t xml:space="preserve">991000340689702656</t>
  </si>
  <si>
    <t xml:space="preserve">2264653360002656</t>
  </si>
  <si>
    <t xml:space="preserve">32285001630788</t>
  </si>
  <si>
    <t xml:space="preserve">893871576</t>
  </si>
  <si>
    <t xml:space="preserve">BJ21 .R54 1989</t>
  </si>
  <si>
    <t xml:space="preserve">0                      BJ 0021000R  54          1989</t>
  </si>
  <si>
    <t xml:space="preserve">The Right thing to do : basic readings in moral philosophy / edited by James Rachels.</t>
  </si>
  <si>
    <t xml:space="preserve">New York : McGraw-Hill, c1989.</t>
  </si>
  <si>
    <t xml:space="preserve">iau</t>
  </si>
  <si>
    <t xml:space="preserve">The Heritage series in philosophy</t>
  </si>
  <si>
    <t xml:space="preserve">796412581:eng</t>
  </si>
  <si>
    <t xml:space="preserve">31494585</t>
  </si>
  <si>
    <t xml:space="preserve">991004400609702656</t>
  </si>
  <si>
    <t xml:space="preserve">2254796120002656</t>
  </si>
  <si>
    <t xml:space="preserve">9780075570028</t>
  </si>
  <si>
    <t xml:space="preserve">32285005005672</t>
  </si>
  <si>
    <t xml:space="preserve">893325342</t>
  </si>
  <si>
    <t xml:space="preserve">BJ212 .M67 1986</t>
  </si>
  <si>
    <t xml:space="preserve">0                      BJ 0212000M  67          1986</t>
  </si>
  <si>
    <t xml:space="preserve">Moral exhortation : a Greco-Roman sourcebook / [compiled by] Abraham J. Malherbe.</t>
  </si>
  <si>
    <t xml:space="preserve">Philadelphia : Westminster Press, c1986.</t>
  </si>
  <si>
    <t xml:space="preserve">Library of early Christianity ; 4</t>
  </si>
  <si>
    <t xml:space="preserve">2000-03-28</t>
  </si>
  <si>
    <t xml:space="preserve">796606340:eng</t>
  </si>
  <si>
    <t xml:space="preserve">13330594</t>
  </si>
  <si>
    <t xml:space="preserve">991000809979702656</t>
  </si>
  <si>
    <t xml:space="preserve">2266075540002656</t>
  </si>
  <si>
    <t xml:space="preserve">9780664219086</t>
  </si>
  <si>
    <t xml:space="preserve">32285000302504</t>
  </si>
  <si>
    <t xml:space="preserve">893683772</t>
  </si>
  <si>
    <t xml:space="preserve">BJ22 .F3</t>
  </si>
  <si>
    <t xml:space="preserve">0                      BJ 0022000F  3</t>
  </si>
  <si>
    <t xml:space="preserve">Anthology of right and reason / [edited by] Austin Fagothey.</t>
  </si>
  <si>
    <t xml:space="preserve">Fagothey, Austin, 1901-1975.</t>
  </si>
  <si>
    <t xml:space="preserve">Saint Louis : C.V. Mosby, 1972.</t>
  </si>
  <si>
    <t xml:space="preserve">2006-08-24</t>
  </si>
  <si>
    <t xml:space="preserve">1990-03-07</t>
  </si>
  <si>
    <t xml:space="preserve">31253178:eng</t>
  </si>
  <si>
    <t xml:space="preserve">8191313</t>
  </si>
  <si>
    <t xml:space="preserve">991005215589702656</t>
  </si>
  <si>
    <t xml:space="preserve">2266171890002656</t>
  </si>
  <si>
    <t xml:space="preserve">9780801615405</t>
  </si>
  <si>
    <t xml:space="preserve">32285000075787</t>
  </si>
  <si>
    <t xml:space="preserve">893883524</t>
  </si>
  <si>
    <t xml:space="preserve">BJ319 .D37 1984</t>
  </si>
  <si>
    <t xml:space="preserve">0                      BJ 0319000D  37          1984</t>
  </si>
  <si>
    <t xml:space="preserve">Darwin, Marx, and Freud : their influence on moral theory / edited by Arthur L. Caplan and Bruce Jennings.</t>
  </si>
  <si>
    <t xml:space="preserve">New York : Plenum Press, c1984.</t>
  </si>
  <si>
    <t xml:space="preserve">The Hastings Center series in ethics</t>
  </si>
  <si>
    <t xml:space="preserve">1993-12-05</t>
  </si>
  <si>
    <t xml:space="preserve">1990-02-08</t>
  </si>
  <si>
    <t xml:space="preserve">836656642:eng</t>
  </si>
  <si>
    <t xml:space="preserve">10459122</t>
  </si>
  <si>
    <t xml:space="preserve">991000376029702656</t>
  </si>
  <si>
    <t xml:space="preserve">2268555170002656</t>
  </si>
  <si>
    <t xml:space="preserve">9780306415302</t>
  </si>
  <si>
    <t xml:space="preserve">32285000007848</t>
  </si>
  <si>
    <t xml:space="preserve">893527989</t>
  </si>
  <si>
    <t xml:space="preserve">BJ319 .H27</t>
  </si>
  <si>
    <t xml:space="preserve">0                      BJ 0319000H  27</t>
  </si>
  <si>
    <t xml:space="preserve">Twentieth century ethics [by] Roger N. Hancock.</t>
  </si>
  <si>
    <t xml:space="preserve">Hancock, Roger N., 1929-</t>
  </si>
  <si>
    <t xml:space="preserve">New York, Columbia University Press, 1974.</t>
  </si>
  <si>
    <t xml:space="preserve">1999-05-19</t>
  </si>
  <si>
    <t xml:space="preserve">419886:eng</t>
  </si>
  <si>
    <t xml:space="preserve">948226</t>
  </si>
  <si>
    <t xml:space="preserve">991003410079702656</t>
  </si>
  <si>
    <t xml:space="preserve">2264909530002656</t>
  </si>
  <si>
    <t xml:space="preserve">9780231038775</t>
  </si>
  <si>
    <t xml:space="preserve">32285002259546</t>
  </si>
  <si>
    <t xml:space="preserve">893893697</t>
  </si>
  <si>
    <t xml:space="preserve">BJ319 .L37 1996</t>
  </si>
  <si>
    <t xml:space="preserve">0                      BJ 0319000L  37          1996</t>
  </si>
  <si>
    <t xml:space="preserve">The morals of modernity / Charles Larmore.</t>
  </si>
  <si>
    <t xml:space="preserve">Larmore, Charles E.</t>
  </si>
  <si>
    <t xml:space="preserve">Cambridge [England] ; New York : Cambridge University Press, 1996.</t>
  </si>
  <si>
    <t xml:space="preserve">Modern European philosophy</t>
  </si>
  <si>
    <t xml:space="preserve">2004-03-31</t>
  </si>
  <si>
    <t xml:space="preserve">1996-10-10</t>
  </si>
  <si>
    <t xml:space="preserve">37541608:eng</t>
  </si>
  <si>
    <t xml:space="preserve">32969871</t>
  </si>
  <si>
    <t xml:space="preserve">991002537359702656</t>
  </si>
  <si>
    <t xml:space="preserve">2265721490002656</t>
  </si>
  <si>
    <t xml:space="preserve">9780521497176</t>
  </si>
  <si>
    <t xml:space="preserve">32285002365202</t>
  </si>
  <si>
    <t xml:space="preserve">893773740</t>
  </si>
  <si>
    <t xml:space="preserve">BJ319 .M45 1987</t>
  </si>
  <si>
    <t xml:space="preserve">0                      BJ 0319000M  45          1987</t>
  </si>
  <si>
    <t xml:space="preserve">History, ethics, and emergent probability : ethics, society, and history in the work of Bernard Lonergan / Kenneth R. Melchin.</t>
  </si>
  <si>
    <t xml:space="preserve">Melchin, Kenneth R., 1949-</t>
  </si>
  <si>
    <t xml:space="preserve">Lanham : University Press of America, 1987.</t>
  </si>
  <si>
    <t xml:space="preserve">1999-12-12</t>
  </si>
  <si>
    <t xml:space="preserve">1991-07-12</t>
  </si>
  <si>
    <t xml:space="preserve">10834920:eng</t>
  </si>
  <si>
    <t xml:space="preserve">15549698</t>
  </si>
  <si>
    <t xml:space="preserve">991001036909702656</t>
  </si>
  <si>
    <t xml:space="preserve">2266786820002656</t>
  </si>
  <si>
    <t xml:space="preserve">9780819163639</t>
  </si>
  <si>
    <t xml:space="preserve">32285000638865</t>
  </si>
  <si>
    <t xml:space="preserve">893808920</t>
  </si>
  <si>
    <t xml:space="preserve">BJ319 .N48 1986</t>
  </si>
  <si>
    <t xml:space="preserve">0                      BJ 0319000N  48          1986</t>
  </si>
  <si>
    <t xml:space="preserve">New directions in ethics : the challenge of applied ethics / edited by Joseph P. DeMarco, Richard M. Fox.</t>
  </si>
  <si>
    <t xml:space="preserve">London ; Boston : Routledge &amp; Kegan Paul, 1986.</t>
  </si>
  <si>
    <t xml:space="preserve">1998-11-16</t>
  </si>
  <si>
    <t xml:space="preserve">836676224:eng</t>
  </si>
  <si>
    <t xml:space="preserve">12724455</t>
  </si>
  <si>
    <t xml:space="preserve">991000731099702656</t>
  </si>
  <si>
    <t xml:space="preserve">2266757320002656</t>
  </si>
  <si>
    <t xml:space="preserve">9780710208477</t>
  </si>
  <si>
    <t xml:space="preserve">32285000302520</t>
  </si>
  <si>
    <t xml:space="preserve">893413624</t>
  </si>
  <si>
    <t xml:space="preserve">BJ352 .E25 1993</t>
  </si>
  <si>
    <t xml:space="preserve">0                      BJ 0352000E  25          1993</t>
  </si>
  <si>
    <t xml:space="preserve">In search of the ethical : moral theory in twentieth century America / Abraham Edel.</t>
  </si>
  <si>
    <t xml:space="preserve">Edel, Abraham, 1908-2007.</t>
  </si>
  <si>
    <t xml:space="preserve">New Brunswick, N.J., U.S.A. : Transaction Publishers, c1993.</t>
  </si>
  <si>
    <t xml:space="preserve">Science, ideology, and value ; v. 5</t>
  </si>
  <si>
    <t xml:space="preserve">2005-11-10</t>
  </si>
  <si>
    <t xml:space="preserve">20602248:eng</t>
  </si>
  <si>
    <t xml:space="preserve">25708222</t>
  </si>
  <si>
    <t xml:space="preserve">991004671989702656</t>
  </si>
  <si>
    <t xml:space="preserve">2260357180002656</t>
  </si>
  <si>
    <t xml:space="preserve">9781560000693</t>
  </si>
  <si>
    <t xml:space="preserve">32285005146039</t>
  </si>
  <si>
    <t xml:space="preserve">893869966</t>
  </si>
  <si>
    <t xml:space="preserve">BJ352 .S87</t>
  </si>
  <si>
    <t xml:space="preserve">0                      BJ 0352000S  87</t>
  </si>
  <si>
    <t xml:space="preserve">American ethical thought / Guy W. Stroh.</t>
  </si>
  <si>
    <t xml:space="preserve">Stroh, Guy W.</t>
  </si>
  <si>
    <t xml:space="preserve">Chicago : Nelson-Hall, [1979]</t>
  </si>
  <si>
    <t xml:space="preserve">2001-03-22</t>
  </si>
  <si>
    <t xml:space="preserve">1990-06-19</t>
  </si>
  <si>
    <t xml:space="preserve">541364:eng</t>
  </si>
  <si>
    <t xml:space="preserve">4638274</t>
  </si>
  <si>
    <t xml:space="preserve">991004694259702656</t>
  </si>
  <si>
    <t xml:space="preserve">2256042490002656</t>
  </si>
  <si>
    <t xml:space="preserve">9780882293561</t>
  </si>
  <si>
    <t xml:space="preserve">32285000198589</t>
  </si>
  <si>
    <t xml:space="preserve">893694217</t>
  </si>
  <si>
    <t xml:space="preserve">BJ37 .B77</t>
  </si>
  <si>
    <t xml:space="preserve">0                      BJ 0037000B  77</t>
  </si>
  <si>
    <t xml:space="preserve">Ethical theory : the problems of normative and critical ethics.</t>
  </si>
  <si>
    <t xml:space="preserve">Brandt, Richard B.</t>
  </si>
  <si>
    <t xml:space="preserve">Englewood Cliffs, N.J. : Prentice-Hall, 1959.</t>
  </si>
  <si>
    <t xml:space="preserve">1959</t>
  </si>
  <si>
    <t xml:space="preserve">Prentice-Hall philosophy series</t>
  </si>
  <si>
    <t xml:space="preserve">1999-03-03</t>
  </si>
  <si>
    <t xml:space="preserve">1993-02-17</t>
  </si>
  <si>
    <t xml:space="preserve">366014852:eng</t>
  </si>
  <si>
    <t xml:space="preserve">710678</t>
  </si>
  <si>
    <t xml:space="preserve">991003175599702656</t>
  </si>
  <si>
    <t xml:space="preserve">2262508600002656</t>
  </si>
  <si>
    <t xml:space="preserve">32285001502920</t>
  </si>
  <si>
    <t xml:space="preserve">893330040</t>
  </si>
  <si>
    <t xml:space="preserve">BJ37 .L469 1995</t>
  </si>
  <si>
    <t xml:space="preserve">0                      BJ 0037000L  469         1995</t>
  </si>
  <si>
    <t xml:space="preserve">The high road of humanity ; the seven ethical ages of Western man / Albert William Levi ; edited by Donald Phillip Verene and Molly Black Verene.</t>
  </si>
  <si>
    <t xml:space="preserve">Levi, Albert William, 1911-1988.</t>
  </si>
  <si>
    <t xml:space="preserve">Amsterdam : Rodopi, 1995.</t>
  </si>
  <si>
    <t xml:space="preserve">1995</t>
  </si>
  <si>
    <t xml:space="preserve">Value inquiry book series ; v. 27</t>
  </si>
  <si>
    <t xml:space="preserve">2010-08-31</t>
  </si>
  <si>
    <t xml:space="preserve">1996-06-21</t>
  </si>
  <si>
    <t xml:space="preserve">39471286:eng</t>
  </si>
  <si>
    <t xml:space="preserve">34563740</t>
  </si>
  <si>
    <t xml:space="preserve">991002639939702656</t>
  </si>
  <si>
    <t xml:space="preserve">2271425560002656</t>
  </si>
  <si>
    <t xml:space="preserve">9789051838435</t>
  </si>
  <si>
    <t xml:space="preserve">32285002171402</t>
  </si>
  <si>
    <t xml:space="preserve">893867493</t>
  </si>
  <si>
    <t xml:space="preserve">BJ37 .V4</t>
  </si>
  <si>
    <t xml:space="preserve">0                      BJ 0037000V  4</t>
  </si>
  <si>
    <t xml:space="preserve">Rational man; a modern interpretation of Aristotelian ethics.</t>
  </si>
  <si>
    <t xml:space="preserve">Veatch, Henry Babcock.</t>
  </si>
  <si>
    <t xml:space="preserve">Bloomington, Indiana University Press [1962]</t>
  </si>
  <si>
    <t xml:space="preserve">2003-10-24</t>
  </si>
  <si>
    <t xml:space="preserve">571647:eng</t>
  </si>
  <si>
    <t xml:space="preserve">375273</t>
  </si>
  <si>
    <t xml:space="preserve">991002583699702656</t>
  </si>
  <si>
    <t xml:space="preserve">2264123360002656</t>
  </si>
  <si>
    <t xml:space="preserve">32285002259165</t>
  </si>
  <si>
    <t xml:space="preserve">893530200</t>
  </si>
  <si>
    <t xml:space="preserve">BJ37 .Z5 1962</t>
  </si>
  <si>
    <t xml:space="preserve">0                      BJ 0037000Z  5           1962</t>
  </si>
  <si>
    <t xml:space="preserve">The concepts of ethics.</t>
  </si>
  <si>
    <t xml:space="preserve">Zink, Sidney, 1917-</t>
  </si>
  <si>
    <t xml:space="preserve">London : Macmillan ; New York : St. Martin's Press, 1962.</t>
  </si>
  <si>
    <t xml:space="preserve">1992-09-16</t>
  </si>
  <si>
    <t xml:space="preserve">1408191:eng</t>
  </si>
  <si>
    <t xml:space="preserve">274563</t>
  </si>
  <si>
    <t xml:space="preserve">991002163979702656</t>
  </si>
  <si>
    <t xml:space="preserve">2260894000002656</t>
  </si>
  <si>
    <t xml:space="preserve">32285001301059</t>
  </si>
  <si>
    <t xml:space="preserve">893785789</t>
  </si>
  <si>
    <t xml:space="preserve">BJ41 .H8</t>
  </si>
  <si>
    <t xml:space="preserve">0                      BJ 0041000H  8</t>
  </si>
  <si>
    <t xml:space="preserve">Modern moral philosophy [by] W. D. Hudson.</t>
  </si>
  <si>
    <t xml:space="preserve">Hudson, W. D. (William Donald)</t>
  </si>
  <si>
    <t xml:space="preserve">Garden City, N.Y., Anchor Books [1970]</t>
  </si>
  <si>
    <t xml:space="preserve">New introduction to philosophy</t>
  </si>
  <si>
    <t xml:space="preserve">1102375587:eng</t>
  </si>
  <si>
    <t xml:space="preserve">92024</t>
  </si>
  <si>
    <t xml:space="preserve">991000548389702656</t>
  </si>
  <si>
    <t xml:space="preserve">2265144810002656</t>
  </si>
  <si>
    <t xml:space="preserve">32285002259173</t>
  </si>
  <si>
    <t xml:space="preserve">893432060</t>
  </si>
  <si>
    <t xml:space="preserve">BJ41 .P85</t>
  </si>
  <si>
    <t xml:space="preserve">0                      BJ 0041000P  85</t>
  </si>
  <si>
    <t xml:space="preserve">Reflective naturalism : an introduction to moral philosophy / [by] Vincent C. Punzo.</t>
  </si>
  <si>
    <t xml:space="preserve">Punzo, Vincent C.</t>
  </si>
  <si>
    <t xml:space="preserve">New York : Macmillan, [1969]</t>
  </si>
  <si>
    <t xml:space="preserve">2002-12-02</t>
  </si>
  <si>
    <t xml:space="preserve">836619772:eng</t>
  </si>
  <si>
    <t xml:space="preserve">12295</t>
  </si>
  <si>
    <t xml:space="preserve">991000003719702656</t>
  </si>
  <si>
    <t xml:space="preserve">2265037940002656</t>
  </si>
  <si>
    <t xml:space="preserve">32285000304450</t>
  </si>
  <si>
    <t xml:space="preserve">893626146</t>
  </si>
  <si>
    <t xml:space="preserve">BJ43 .S8 1960</t>
  </si>
  <si>
    <t xml:space="preserve">0                      BJ 0043000S  8           1960</t>
  </si>
  <si>
    <t xml:space="preserve">Ethics and language / by Charles L. Stevenson.</t>
  </si>
  <si>
    <t xml:space="preserve">Stevenson, Charles L. (Charles Leslie), 1908-1979.</t>
  </si>
  <si>
    <t xml:space="preserve">New Haven : Yale University Press, 1960, c1944.</t>
  </si>
  <si>
    <t xml:space="preserve">cnu</t>
  </si>
  <si>
    <t xml:space="preserve">A Yale paperbound ; Y-19</t>
  </si>
  <si>
    <t xml:space="preserve">2009-10-10</t>
  </si>
  <si>
    <t xml:space="preserve">1668534:eng</t>
  </si>
  <si>
    <t xml:space="preserve">4747323</t>
  </si>
  <si>
    <t xml:space="preserve">991004709349702656</t>
  </si>
  <si>
    <t xml:space="preserve">2260813260002656</t>
  </si>
  <si>
    <t xml:space="preserve">32285002259199</t>
  </si>
  <si>
    <t xml:space="preserve">893411861</t>
  </si>
  <si>
    <t xml:space="preserve">BJ43 .T6 1960</t>
  </si>
  <si>
    <t xml:space="preserve">0                      BJ 0043000T  6           1960</t>
  </si>
  <si>
    <t xml:space="preserve">An examination of the place of reason in ethics / by Stephen Edelston Toulmin.</t>
  </si>
  <si>
    <t xml:space="preserve">Toulmin, Stephen, 1922-2009.</t>
  </si>
  <si>
    <t xml:space="preserve">Cambridge, [Eng.] : University Press, [1960]</t>
  </si>
  <si>
    <t xml:space="preserve">2001-05-30</t>
  </si>
  <si>
    <t xml:space="preserve">1993-09-03</t>
  </si>
  <si>
    <t xml:space="preserve">1469212:eng</t>
  </si>
  <si>
    <t xml:space="preserve">1375518</t>
  </si>
  <si>
    <t xml:space="preserve">991003727129702656</t>
  </si>
  <si>
    <t xml:space="preserve">2259318510002656</t>
  </si>
  <si>
    <t xml:space="preserve">32285001763274</t>
  </si>
  <si>
    <t xml:space="preserve">893429131</t>
  </si>
  <si>
    <t xml:space="preserve">BJ44 .L36 1991</t>
  </si>
  <si>
    <t xml:space="preserve">0                      BJ 0044000L  36          1991</t>
  </si>
  <si>
    <t xml:space="preserve">Writing and the moral self / Berel Lang.</t>
  </si>
  <si>
    <t xml:space="preserve">Lang, Berel.</t>
  </si>
  <si>
    <t xml:space="preserve">New York : Routledge, 1991.</t>
  </si>
  <si>
    <t xml:space="preserve">1991</t>
  </si>
  <si>
    <t xml:space="preserve">1997-10-21</t>
  </si>
  <si>
    <t xml:space="preserve">1993-11-29</t>
  </si>
  <si>
    <t xml:space="preserve">24161081:eng</t>
  </si>
  <si>
    <t xml:space="preserve">22862075</t>
  </si>
  <si>
    <t xml:space="preserve">991001818589702656</t>
  </si>
  <si>
    <t xml:space="preserve">2272572460002656</t>
  </si>
  <si>
    <t xml:space="preserve">9780415902960</t>
  </si>
  <si>
    <t xml:space="preserve">32285001812857</t>
  </si>
  <si>
    <t xml:space="preserve">893426896</t>
  </si>
  <si>
    <t xml:space="preserve">BJ45 .K7</t>
  </si>
  <si>
    <t xml:space="preserve">0                      BJ 0045000K  7</t>
  </si>
  <si>
    <t xml:space="preserve">Behaviorism and ethics / by Jon E. Krapfl and Ernest A. Vargas.</t>
  </si>
  <si>
    <t xml:space="preserve">Krapfl, Jon E., 1941-</t>
  </si>
  <si>
    <t xml:space="preserve">Kalamazoo, Mi. : Behaviordelia, inc., [1977]</t>
  </si>
  <si>
    <t xml:space="preserve">1996-11-10</t>
  </si>
  <si>
    <t xml:space="preserve">363957446:eng</t>
  </si>
  <si>
    <t xml:space="preserve">2836977</t>
  </si>
  <si>
    <t xml:space="preserve">991004259109702656</t>
  </si>
  <si>
    <t xml:space="preserve">2262232230002656</t>
  </si>
  <si>
    <t xml:space="preserve">9780914474258</t>
  </si>
  <si>
    <t xml:space="preserve">32285000302298</t>
  </si>
  <si>
    <t xml:space="preserve">893888484</t>
  </si>
  <si>
    <t xml:space="preserve">BJ47 .L5</t>
  </si>
  <si>
    <t xml:space="preserve">0                      BJ 0047000L  5</t>
  </si>
  <si>
    <t xml:space="preserve">A preface to morals.</t>
  </si>
  <si>
    <t xml:space="preserve">Lippmann, Walter, 1889-1974.</t>
  </si>
  <si>
    <t xml:space="preserve">New York, The Macmillan company, 1929.</t>
  </si>
  <si>
    <t xml:space="preserve">1929</t>
  </si>
  <si>
    <t xml:space="preserve">2009-06-02</t>
  </si>
  <si>
    <t xml:space="preserve">538512:eng</t>
  </si>
  <si>
    <t xml:space="preserve">376369</t>
  </si>
  <si>
    <t xml:space="preserve">991002592779702656</t>
  </si>
  <si>
    <t xml:space="preserve">2263593540002656</t>
  </si>
  <si>
    <t xml:space="preserve">32285002259256</t>
  </si>
  <si>
    <t xml:space="preserve">893685532</t>
  </si>
  <si>
    <t xml:space="preserve">BJ52 .M66 1997</t>
  </si>
  <si>
    <t xml:space="preserve">0                      BJ 0052000M  66          1997</t>
  </si>
  <si>
    <t xml:space="preserve">Fieldwork in familiar places : morality, culture, and philosophy / Michele M. Moody-Adams.</t>
  </si>
  <si>
    <t xml:space="preserve">Moody-Adams, Michele M.</t>
  </si>
  <si>
    <t xml:space="preserve">Cambridge, Mass. : Harvard University Press, 1997.</t>
  </si>
  <si>
    <t xml:space="preserve">2005-04-25</t>
  </si>
  <si>
    <t xml:space="preserve">1999-03-22</t>
  </si>
  <si>
    <t xml:space="preserve">836924479:eng</t>
  </si>
  <si>
    <t xml:space="preserve">36621927</t>
  </si>
  <si>
    <t xml:space="preserve">991002788249702656</t>
  </si>
  <si>
    <t xml:space="preserve">2265326640002656</t>
  </si>
  <si>
    <t xml:space="preserve">9780674299535</t>
  </si>
  <si>
    <t xml:space="preserve">32285003534442</t>
  </si>
  <si>
    <t xml:space="preserve">893257708</t>
  </si>
  <si>
    <t xml:space="preserve">BJ55 .C65 1993</t>
  </si>
  <si>
    <t xml:space="preserve">0                      BJ 0055000C  65          1993</t>
  </si>
  <si>
    <t xml:space="preserve">The Augustinian imperative : a reflection on the politics of morality / William E. Connolly.</t>
  </si>
  <si>
    <t xml:space="preserve">Connolly, William E.</t>
  </si>
  <si>
    <t xml:space="preserve">Newbury Park : Sage Publications, c1993.</t>
  </si>
  <si>
    <t xml:space="preserve">Modernity and political thought ; v. 1</t>
  </si>
  <si>
    <t xml:space="preserve">1994-12-07</t>
  </si>
  <si>
    <t xml:space="preserve">1993-10-12</t>
  </si>
  <si>
    <t xml:space="preserve">351995:eng</t>
  </si>
  <si>
    <t xml:space="preserve">27186380</t>
  </si>
  <si>
    <t xml:space="preserve">991002121779702656</t>
  </si>
  <si>
    <t xml:space="preserve">2270608920002656</t>
  </si>
  <si>
    <t xml:space="preserve">9780803936362</t>
  </si>
  <si>
    <t xml:space="preserve">32285001785988</t>
  </si>
  <si>
    <t xml:space="preserve">893516923</t>
  </si>
  <si>
    <t xml:space="preserve">BJ55 .R4</t>
  </si>
  <si>
    <t xml:space="preserve">0                      BJ 0055000R  4</t>
  </si>
  <si>
    <t xml:space="preserve">The authority of law : essays on law and morality / by Joseph Raz.</t>
  </si>
  <si>
    <t xml:space="preserve">Raz, Joseph.</t>
  </si>
  <si>
    <t xml:space="preserve">Oxford : Clarendon Press ; 1979.</t>
  </si>
  <si>
    <t xml:space="preserve">1999-08-31</t>
  </si>
  <si>
    <t xml:space="preserve">1999-10-25</t>
  </si>
  <si>
    <t xml:space="preserve">1991-08-12</t>
  </si>
  <si>
    <t xml:space="preserve">416145:eng</t>
  </si>
  <si>
    <t xml:space="preserve">5100968</t>
  </si>
  <si>
    <t xml:space="preserve">991001805009702656</t>
  </si>
  <si>
    <t xml:space="preserve">2256125680002656</t>
  </si>
  <si>
    <t xml:space="preserve">9780198253457</t>
  </si>
  <si>
    <t xml:space="preserve">32285000302355</t>
  </si>
  <si>
    <t xml:space="preserve">893503719</t>
  </si>
  <si>
    <t xml:space="preserve">BJ55 .S7</t>
  </si>
  <si>
    <t xml:space="preserve">0                      BJ 0055000S  7</t>
  </si>
  <si>
    <t xml:space="preserve">Morality and the law.</t>
  </si>
  <si>
    <t xml:space="preserve">Stumpf, Samuel Enoch, 1918-1998.</t>
  </si>
  <si>
    <t xml:space="preserve">Nashville, Vanderbilt University Press, 1966.</t>
  </si>
  <si>
    <t xml:space="preserve">1360001:eng</t>
  </si>
  <si>
    <t xml:space="preserve">306991</t>
  </si>
  <si>
    <t xml:space="preserve">991002265999702656</t>
  </si>
  <si>
    <t xml:space="preserve">2265980510002656</t>
  </si>
  <si>
    <t xml:space="preserve">32285002259322</t>
  </si>
  <si>
    <t xml:space="preserve">893341234</t>
  </si>
  <si>
    <t xml:space="preserve">BJ55 .T46 1990</t>
  </si>
  <si>
    <t xml:space="preserve">0                      BJ 0055000T  46          1990</t>
  </si>
  <si>
    <t xml:space="preserve">The realm of rights / Judith Jarvis Thomson.</t>
  </si>
  <si>
    <t xml:space="preserve">Cambridge, Mass. : Harvard University Press, 1990.</t>
  </si>
  <si>
    <t xml:space="preserve">2006-09-13</t>
  </si>
  <si>
    <t xml:space="preserve">1992-03-31</t>
  </si>
  <si>
    <t xml:space="preserve">2683593:eng</t>
  </si>
  <si>
    <t xml:space="preserve">21080172</t>
  </si>
  <si>
    <t xml:space="preserve">991001644419702656</t>
  </si>
  <si>
    <t xml:space="preserve">2257185650002656</t>
  </si>
  <si>
    <t xml:space="preserve">9780674749481</t>
  </si>
  <si>
    <t xml:space="preserve">32285001006880</t>
  </si>
  <si>
    <t xml:space="preserve">893703155</t>
  </si>
  <si>
    <t xml:space="preserve">BJ57 .M67</t>
  </si>
  <si>
    <t xml:space="preserve">0                      BJ 0057000M  67</t>
  </si>
  <si>
    <t xml:space="preserve">Morals, science, and sociality / edited by H. Tristram Engelhardt, Jr. and Daniel Callahan.</t>
  </si>
  <si>
    <t xml:space="preserve">Hastings-on-Hudson, N.Y. : Hasting Center, Institute of Society, Ethics, and the Life Sciences, c1978.</t>
  </si>
  <si>
    <t xml:space="preserve">The Foundations of ethics and its relationship to science ; v. 3</t>
  </si>
  <si>
    <t xml:space="preserve">14588549:eng</t>
  </si>
  <si>
    <t xml:space="preserve">4135661</t>
  </si>
  <si>
    <t xml:space="preserve">991001762879702656</t>
  </si>
  <si>
    <t xml:space="preserve">2255175480002656</t>
  </si>
  <si>
    <t xml:space="preserve">9780916558031</t>
  </si>
  <si>
    <t xml:space="preserve">32285000302371</t>
  </si>
  <si>
    <t xml:space="preserve">893503668</t>
  </si>
  <si>
    <t xml:space="preserve">BJ57 .R4 1971</t>
  </si>
  <si>
    <t xml:space="preserve">0                      BJ 0057000R  4           1971</t>
  </si>
  <si>
    <t xml:space="preserve">Ethics for scientific researchers, by Charles E. Reagan.</t>
  </si>
  <si>
    <t xml:space="preserve">Reagan, Charles E.</t>
  </si>
  <si>
    <t xml:space="preserve">Springfield, Ill., Thomas [1971]</t>
  </si>
  <si>
    <t xml:space="preserve">2d ed.</t>
  </si>
  <si>
    <t xml:space="preserve">2001-01-05</t>
  </si>
  <si>
    <t xml:space="preserve">471199:eng</t>
  </si>
  <si>
    <t xml:space="preserve">129606</t>
  </si>
  <si>
    <t xml:space="preserve">991000742179702656</t>
  </si>
  <si>
    <t xml:space="preserve">2266669540002656</t>
  </si>
  <si>
    <t xml:space="preserve">32285002259355</t>
  </si>
  <si>
    <t xml:space="preserve">893897172</t>
  </si>
  <si>
    <t xml:space="preserve">BJ59 .C63 1987</t>
  </si>
  <si>
    <t xml:space="preserve">0                      BJ 0059000C  63          1987</t>
  </si>
  <si>
    <t xml:space="preserve">Contemporary moral controversies in technology / edited by A. Pablo Iannone.</t>
  </si>
  <si>
    <t xml:space="preserve">New York : Oxford University Press, 1987.</t>
  </si>
  <si>
    <t xml:space="preserve">1992-04-01</t>
  </si>
  <si>
    <t xml:space="preserve">1990-06-28</t>
  </si>
  <si>
    <t xml:space="preserve">7814095:eng</t>
  </si>
  <si>
    <t xml:space="preserve">13396186</t>
  </si>
  <si>
    <t xml:space="preserve">991000822779702656</t>
  </si>
  <si>
    <t xml:space="preserve">2263379150002656</t>
  </si>
  <si>
    <t xml:space="preserve">9780195041255</t>
  </si>
  <si>
    <t xml:space="preserve">32285000205996</t>
  </si>
  <si>
    <t xml:space="preserve">893608312</t>
  </si>
  <si>
    <t xml:space="preserve">BJ66 .E84</t>
  </si>
  <si>
    <t xml:space="preserve">0                      BJ 0066000E  84</t>
  </si>
  <si>
    <t xml:space="preserve">Ethics teaching in higher education / edited by Daniel Callahan and Sissela Bok.</t>
  </si>
  <si>
    <t xml:space="preserve">New York : Plenum Press, c1980.</t>
  </si>
  <si>
    <t xml:space="preserve">Hastings Center monographs</t>
  </si>
  <si>
    <t xml:space="preserve">2006-06-30</t>
  </si>
  <si>
    <t xml:space="preserve">355492966:eng</t>
  </si>
  <si>
    <t xml:space="preserve">6602806</t>
  </si>
  <si>
    <t xml:space="preserve">991005010949702656</t>
  </si>
  <si>
    <t xml:space="preserve">2255585140002656</t>
  </si>
  <si>
    <t xml:space="preserve">9780306405228</t>
  </si>
  <si>
    <t xml:space="preserve">32285000302413</t>
  </si>
  <si>
    <t xml:space="preserve">893260433</t>
  </si>
  <si>
    <t xml:space="preserve">BJ66 .H37 1980</t>
  </si>
  <si>
    <t xml:space="preserve">0                      BJ 0066000H  37          1980</t>
  </si>
  <si>
    <t xml:space="preserve">The teaching of ethics in higher education : a report / by the Hastings Center.</t>
  </si>
  <si>
    <t xml:space="preserve">Institute of Society, Ethics, and the Life Sciences.</t>
  </si>
  <si>
    <t xml:space="preserve">Hastings-on-Hudson, N.Y. : Hastings Center, Institute for Society, Ethics, and the Life Sciences, c1980.</t>
  </si>
  <si>
    <t xml:space="preserve">The Teaching of ethics ; 1</t>
  </si>
  <si>
    <t xml:space="preserve">905861046:eng</t>
  </si>
  <si>
    <t xml:space="preserve">6092002</t>
  </si>
  <si>
    <t xml:space="preserve">991004929489702656</t>
  </si>
  <si>
    <t xml:space="preserve">2263606600002656</t>
  </si>
  <si>
    <t xml:space="preserve">9780916558093</t>
  </si>
  <si>
    <t xml:space="preserve">32285000302421</t>
  </si>
  <si>
    <t xml:space="preserve">893707010</t>
  </si>
  <si>
    <t xml:space="preserve">BJ66 .R67</t>
  </si>
  <si>
    <t xml:space="preserve">0                      BJ 0066000R  67</t>
  </si>
  <si>
    <t xml:space="preserve">Ethics in the undergraduate curriculum / Bernard Rosen, Arthur L. Caplan.</t>
  </si>
  <si>
    <t xml:space="preserve">Rosen, Bernard.</t>
  </si>
  <si>
    <t xml:space="preserve">New York : The Hastings Center, [1980]</t>
  </si>
  <si>
    <t xml:space="preserve">The teaching of ethics ; 9</t>
  </si>
  <si>
    <t xml:space="preserve">561006:eng</t>
  </si>
  <si>
    <t xml:space="preserve">6087789</t>
  </si>
  <si>
    <t xml:space="preserve">991004928279702656</t>
  </si>
  <si>
    <t xml:space="preserve">2259639640002656</t>
  </si>
  <si>
    <t xml:space="preserve">9780916558130</t>
  </si>
  <si>
    <t xml:space="preserve">32285000302439</t>
  </si>
  <si>
    <t xml:space="preserve">893801510</t>
  </si>
  <si>
    <t xml:space="preserve">BJ702 .C7</t>
  </si>
  <si>
    <t xml:space="preserve">0                      BJ 0702000C  7</t>
  </si>
  <si>
    <t xml:space="preserve">Nature and culture; ethical thought in the French enlightenment.</t>
  </si>
  <si>
    <t xml:space="preserve">Crocker, Lester G.</t>
  </si>
  <si>
    <t xml:space="preserve">Baltimore, Johns Hopkins Press [1963]</t>
  </si>
  <si>
    <t xml:space="preserve">2009-04-16</t>
  </si>
  <si>
    <t xml:space="preserve">196830741:eng</t>
  </si>
  <si>
    <t xml:space="preserve">376677</t>
  </si>
  <si>
    <t xml:space="preserve">991002595939702656</t>
  </si>
  <si>
    <t xml:space="preserve">2263603350002656</t>
  </si>
  <si>
    <t xml:space="preserve">32285002259660</t>
  </si>
  <si>
    <t xml:space="preserve">893227045</t>
  </si>
  <si>
    <t xml:space="preserve">BD111 .B8 1946</t>
  </si>
  <si>
    <t xml:space="preserve">0                      BD 0111000B  8           1946</t>
  </si>
  <si>
    <t xml:space="preserve">Appearance and reality : a metaphysical essay / by F. H. Bradley.</t>
  </si>
  <si>
    <t xml:space="preserve">Bradley, F. H. (Francis Herbert), 1846-1924.</t>
  </si>
  <si>
    <t xml:space="preserve">Oxford : Clarendon Press, 1946.</t>
  </si>
  <si>
    <t xml:space="preserve">1946</t>
  </si>
  <si>
    <t xml:space="preserve">[2d ed. rev.]</t>
  </si>
  <si>
    <t xml:space="preserve">BD </t>
  </si>
  <si>
    <t xml:space="preserve">2003-12-03</t>
  </si>
  <si>
    <t xml:space="preserve">1990-07-24</t>
  </si>
  <si>
    <t xml:space="preserve">416075:eng</t>
  </si>
  <si>
    <t xml:space="preserve">801899</t>
  </si>
  <si>
    <t xml:space="preserve">991003278979702656</t>
  </si>
  <si>
    <t xml:space="preserve">2270020970002656</t>
  </si>
  <si>
    <t xml:space="preserve">32285000234335</t>
  </si>
  <si>
    <t xml:space="preserve">893240050</t>
  </si>
  <si>
    <t xml:space="preserve">BD111 .C34 1990</t>
  </si>
  <si>
    <t xml:space="preserve">0                      BD 0111000C  34          1990</t>
  </si>
  <si>
    <t xml:space="preserve">The elements of metaphysics / William R. Carter.</t>
  </si>
  <si>
    <t xml:space="preserve">Carter, William R.</t>
  </si>
  <si>
    <t xml:space="preserve">New York : McGraw-Hill, c1990.</t>
  </si>
  <si>
    <t xml:space="preserve">2008-12-09</t>
  </si>
  <si>
    <t xml:space="preserve">3943543708:eng</t>
  </si>
  <si>
    <t xml:space="preserve">18988146</t>
  </si>
  <si>
    <t xml:space="preserve">991005282129702656</t>
  </si>
  <si>
    <t xml:space="preserve">2262529200002656</t>
  </si>
  <si>
    <t xml:space="preserve">9780075574828</t>
  </si>
  <si>
    <t xml:space="preserve">32285005471247</t>
  </si>
  <si>
    <t xml:space="preserve">893619738</t>
  </si>
  <si>
    <t xml:space="preserve">BD111 .H4</t>
  </si>
  <si>
    <t xml:space="preserve">0                      BD 0111000H  4</t>
  </si>
  <si>
    <t xml:space="preserve">Method in metaphysics.</t>
  </si>
  <si>
    <t xml:space="preserve">Henle, R. J. (Robert John), 1909-2000.</t>
  </si>
  <si>
    <t xml:space="preserve">Milwaukee, Marquette University Press, 1951</t>
  </si>
  <si>
    <t xml:space="preserve">The Aquinas lecture, 1950</t>
  </si>
  <si>
    <t xml:space="preserve">552373181:eng</t>
  </si>
  <si>
    <t xml:space="preserve">171214</t>
  </si>
  <si>
    <t xml:space="preserve">991000991699702656</t>
  </si>
  <si>
    <t xml:space="preserve">2267345860002656</t>
  </si>
  <si>
    <t xml:space="preserve">32285000234475</t>
  </si>
  <si>
    <t xml:space="preserve">893808900</t>
  </si>
  <si>
    <t xml:space="preserve">BD131 .K6</t>
  </si>
  <si>
    <t xml:space="preserve">0                      BD 0131000K  6</t>
  </si>
  <si>
    <t xml:space="preserve">An introduction to the science of metaphysics.</t>
  </si>
  <si>
    <t xml:space="preserve">Koren, Henry J.</t>
  </si>
  <si>
    <t xml:space="preserve">St. Louis : Herder, [1955]</t>
  </si>
  <si>
    <t xml:space="preserve">2010-04-22</t>
  </si>
  <si>
    <t xml:space="preserve">1990-07-25</t>
  </si>
  <si>
    <t xml:space="preserve">1972623:eng</t>
  </si>
  <si>
    <t xml:space="preserve">990851</t>
  </si>
  <si>
    <t xml:space="preserve">991003452149702656</t>
  </si>
  <si>
    <t xml:space="preserve">2259655340002656</t>
  </si>
  <si>
    <t xml:space="preserve">32285000250646</t>
  </si>
  <si>
    <t xml:space="preserve">893887473</t>
  </si>
  <si>
    <t xml:space="preserve">BD161 .A5 1975</t>
  </si>
  <si>
    <t xml:space="preserve">0                      BD 0161000A  5           1975</t>
  </si>
  <si>
    <t xml:space="preserve">Analysis and metaphysics : essays in honor of R. M. Chisholm / edited by Keith Lehrer.</t>
  </si>
  <si>
    <t xml:space="preserve">Dordrecht, Holland ; Boston : D. Reidel Pub. Co., [1975]</t>
  </si>
  <si>
    <t xml:space="preserve">Philosophical studies series in philosophy ; v. 4</t>
  </si>
  <si>
    <t xml:space="preserve">2004-04-29</t>
  </si>
  <si>
    <t xml:space="preserve">807267530:eng</t>
  </si>
  <si>
    <t xml:space="preserve">1254917</t>
  </si>
  <si>
    <t xml:space="preserve">991003651069702656</t>
  </si>
  <si>
    <t xml:space="preserve">2261099060002656</t>
  </si>
  <si>
    <t xml:space="preserve">9789027705716</t>
  </si>
  <si>
    <t xml:space="preserve">32285000250869</t>
  </si>
  <si>
    <t xml:space="preserve">893336761</t>
  </si>
  <si>
    <t xml:space="preserve">BD161 .A65 1973</t>
  </si>
  <si>
    <t xml:space="preserve">0                      BD 0161000A  65          1973</t>
  </si>
  <si>
    <t xml:space="preserve">Belief, truth and knowledge / [by] D. M. Armstrong.</t>
  </si>
  <si>
    <t xml:space="preserve">Armstrong, D. M. (David Malet), 1926-2014.</t>
  </si>
  <si>
    <t xml:space="preserve">London : Cambridge University Press, 1973.</t>
  </si>
  <si>
    <t xml:space="preserve">2000-11-28</t>
  </si>
  <si>
    <t xml:space="preserve">1674561:eng</t>
  </si>
  <si>
    <t xml:space="preserve">617958</t>
  </si>
  <si>
    <t xml:space="preserve">991003060599702656</t>
  </si>
  <si>
    <t xml:space="preserve">2270856220002656</t>
  </si>
  <si>
    <t xml:space="preserve">9780521087063</t>
  </si>
  <si>
    <t xml:space="preserve">32285000250885</t>
  </si>
  <si>
    <t xml:space="preserve">893239852</t>
  </si>
  <si>
    <t xml:space="preserve">BD161 .B87</t>
  </si>
  <si>
    <t xml:space="preserve">0                      BD 0161000B  87</t>
  </si>
  <si>
    <t xml:space="preserve">The concept of knowledge / [by] Panayot Butchvarov.</t>
  </si>
  <si>
    <t xml:space="preserve">Butchvarov, Panayot, 1933-</t>
  </si>
  <si>
    <t xml:space="preserve">Evanston : Northwestern University Press, 1970.</t>
  </si>
  <si>
    <t xml:space="preserve">Northwestern University publications in analytical philosophy</t>
  </si>
  <si>
    <t xml:space="preserve">2000-02-01</t>
  </si>
  <si>
    <t xml:space="preserve">1222103:eng</t>
  </si>
  <si>
    <t xml:space="preserve">109702</t>
  </si>
  <si>
    <t xml:space="preserve">991005353279702656</t>
  </si>
  <si>
    <t xml:space="preserve">2254931530002656</t>
  </si>
  <si>
    <t xml:space="preserve">9780810103191</t>
  </si>
  <si>
    <t xml:space="preserve">32285000251016</t>
  </si>
  <si>
    <t xml:space="preserve">893508021</t>
  </si>
  <si>
    <t xml:space="preserve">BD161 .C42 1962</t>
  </si>
  <si>
    <t xml:space="preserve">0                      BD 0161000C  42          1962</t>
  </si>
  <si>
    <t xml:space="preserve">The philosophy of mind.</t>
  </si>
  <si>
    <t xml:space="preserve">Chappell, V. C. (Vere Claiborne), 1930-, editor.</t>
  </si>
  <si>
    <t xml:space="preserve">Englewood Cliffs, N.J. : Prentice-Hall, [1962]</t>
  </si>
  <si>
    <t xml:space="preserve">A Spectrum book, S-43</t>
  </si>
  <si>
    <t xml:space="preserve">2001-04-17</t>
  </si>
  <si>
    <t xml:space="preserve">10792680251:eng</t>
  </si>
  <si>
    <t xml:space="preserve">325530</t>
  </si>
  <si>
    <t xml:space="preserve">991002355969702656</t>
  </si>
  <si>
    <t xml:space="preserve">2269857020002656</t>
  </si>
  <si>
    <t xml:space="preserve">32285000251057</t>
  </si>
  <si>
    <t xml:space="preserve">893316717</t>
  </si>
  <si>
    <t xml:space="preserve">BD161 .F57 1987</t>
  </si>
  <si>
    <t xml:space="preserve">0                      BD 0161000F  57          1987</t>
  </si>
  <si>
    <t xml:space="preserve">The theory of epistemic rationality / Richard Foley.</t>
  </si>
  <si>
    <t xml:space="preserve">Foley, Richard.</t>
  </si>
  <si>
    <t xml:space="preserve">Cambridge, Mass. : Harvard University Press, 1987.</t>
  </si>
  <si>
    <t xml:space="preserve">2004-07-20</t>
  </si>
  <si>
    <t xml:space="preserve">20975806:eng</t>
  </si>
  <si>
    <t xml:space="preserve">15015094</t>
  </si>
  <si>
    <t xml:space="preserve">991000975339702656</t>
  </si>
  <si>
    <t xml:space="preserve">2272030220002656</t>
  </si>
  <si>
    <t xml:space="preserve">9780674882768</t>
  </si>
  <si>
    <t xml:space="preserve">32285000251255</t>
  </si>
  <si>
    <t xml:space="preserve">893261687</t>
  </si>
  <si>
    <t xml:space="preserve">BD161 .K265 1989</t>
  </si>
  <si>
    <t xml:space="preserve">0                      BD 0161000K  265         1989</t>
  </si>
  <si>
    <t xml:space="preserve">Science, language, and the human condition / Morton A. Kaplan.</t>
  </si>
  <si>
    <t xml:space="preserve">Kaplan, Morton A.</t>
  </si>
  <si>
    <t xml:space="preserve">New York : Paragon House, 1989.</t>
  </si>
  <si>
    <t xml:space="preserve">Rev. ed.</t>
  </si>
  <si>
    <t xml:space="preserve">2001-10-02</t>
  </si>
  <si>
    <t xml:space="preserve">1991-01-22</t>
  </si>
  <si>
    <t xml:space="preserve">3157009:eng</t>
  </si>
  <si>
    <t xml:space="preserve">19210874</t>
  </si>
  <si>
    <t xml:space="preserve">991001438149702656</t>
  </si>
  <si>
    <t xml:space="preserve">2261324710002656</t>
  </si>
  <si>
    <t xml:space="preserve">9781557781475</t>
  </si>
  <si>
    <t xml:space="preserve">32285000460021</t>
  </si>
  <si>
    <t xml:space="preserve">893225855</t>
  </si>
  <si>
    <t xml:space="preserve">BD161 .K53 1986</t>
  </si>
  <si>
    <t xml:space="preserve">0                      BD 0161000K  53          1986</t>
  </si>
  <si>
    <t xml:space="preserve">Piaget's theory of knowledge : genetic epistemology &amp; scientific reason / Richard F. Kitchener.</t>
  </si>
  <si>
    <t xml:space="preserve">Kitchener, Richard F., 1941-</t>
  </si>
  <si>
    <t xml:space="preserve">New Haven : Yale University Press, c1986.</t>
  </si>
  <si>
    <t xml:space="preserve">2010-10-25</t>
  </si>
  <si>
    <t xml:space="preserve">836676329:eng</t>
  </si>
  <si>
    <t xml:space="preserve">12724717</t>
  </si>
  <si>
    <t xml:space="preserve">991000731309702656</t>
  </si>
  <si>
    <t xml:space="preserve">2266872080002656</t>
  </si>
  <si>
    <t xml:space="preserve">9780300035797</t>
  </si>
  <si>
    <t xml:space="preserve">32285000251420</t>
  </si>
  <si>
    <t xml:space="preserve">893339834</t>
  </si>
  <si>
    <t xml:space="preserve">BD161 .L38</t>
  </si>
  <si>
    <t xml:space="preserve">0                      BD 0161000L  38</t>
  </si>
  <si>
    <t xml:space="preserve">Mind and the world-order : outline of a theory of knowledge.</t>
  </si>
  <si>
    <t xml:space="preserve">Lewis, Clarence Irving, 1883-1964.</t>
  </si>
  <si>
    <t xml:space="preserve">New York ; Chicago [etc.] : C. Scribner's Sons, [c1929]</t>
  </si>
  <si>
    <t xml:space="preserve">2006-04-15</t>
  </si>
  <si>
    <t xml:space="preserve">1457807:eng</t>
  </si>
  <si>
    <t xml:space="preserve">1034227</t>
  </si>
  <si>
    <t xml:space="preserve">991003486879702656</t>
  </si>
  <si>
    <t xml:space="preserve">2266969850002656</t>
  </si>
  <si>
    <t xml:space="preserve">32285000251479</t>
  </si>
  <si>
    <t xml:space="preserve">893617377</t>
  </si>
  <si>
    <t xml:space="preserve">BD161 .M283</t>
  </si>
  <si>
    <t xml:space="preserve">0                      BD 0161000M  283</t>
  </si>
  <si>
    <t xml:space="preserve">Thought and knowledge : essays / by Norman Malcolm.</t>
  </si>
  <si>
    <t xml:space="preserve">Malcolm, Norman, 1911-1990.</t>
  </si>
  <si>
    <t xml:space="preserve">Ithaca, N.Y. : Cornell University Press, 1977.</t>
  </si>
  <si>
    <t xml:space="preserve">2005-04-15</t>
  </si>
  <si>
    <t xml:space="preserve">319397720:eng</t>
  </si>
  <si>
    <t xml:space="preserve">2645036</t>
  </si>
  <si>
    <t xml:space="preserve">991004196889702656</t>
  </si>
  <si>
    <t xml:space="preserve">2256915370002656</t>
  </si>
  <si>
    <t xml:space="preserve">9780801410741</t>
  </si>
  <si>
    <t xml:space="preserve">32285000251545</t>
  </si>
  <si>
    <t xml:space="preserve">893263142</t>
  </si>
  <si>
    <t xml:space="preserve">BD161 .O47</t>
  </si>
  <si>
    <t xml:space="preserve">0                      BD 0161000O  47</t>
  </si>
  <si>
    <t xml:space="preserve">Readings in epistemology.</t>
  </si>
  <si>
    <t xml:space="preserve">O'Neill, Reginald F. editor.</t>
  </si>
  <si>
    <t xml:space="preserve">Englewood Cliffs, N.J. : Prentice-Hall, 1962.</t>
  </si>
  <si>
    <t xml:space="preserve">2009-01-05</t>
  </si>
  <si>
    <t xml:space="preserve">1947017:eng</t>
  </si>
  <si>
    <t xml:space="preserve">981527</t>
  </si>
  <si>
    <t xml:space="preserve">991003446129702656</t>
  </si>
  <si>
    <t xml:space="preserve">2269761910002656</t>
  </si>
  <si>
    <t xml:space="preserve">32285000251628</t>
  </si>
  <si>
    <t xml:space="preserve">893499295</t>
  </si>
  <si>
    <t xml:space="preserve">BD161 .P4 1971</t>
  </si>
  <si>
    <t xml:space="preserve">0                      BD 0161000P  4           1971</t>
  </si>
  <si>
    <t xml:space="preserve">What is knowledge? / [by] David Pears.</t>
  </si>
  <si>
    <t xml:space="preserve">Pears, David, 1921-2009.</t>
  </si>
  <si>
    <t xml:space="preserve">New York : Harper &amp; Row, [1971]</t>
  </si>
  <si>
    <t xml:space="preserve">Harper essays in philosophy</t>
  </si>
  <si>
    <t xml:space="preserve">311805281:eng</t>
  </si>
  <si>
    <t xml:space="preserve">155752</t>
  </si>
  <si>
    <t xml:space="preserve">991000895259702656</t>
  </si>
  <si>
    <t xml:space="preserve">2256654120002656</t>
  </si>
  <si>
    <t xml:space="preserve">9780061315862</t>
  </si>
  <si>
    <t xml:space="preserve">32285000251636</t>
  </si>
  <si>
    <t xml:space="preserve">893778345</t>
  </si>
  <si>
    <t xml:space="preserve">BD161 .R33 1987</t>
  </si>
  <si>
    <t xml:space="preserve">0                      BD 0161000R  33          1987</t>
  </si>
  <si>
    <t xml:space="preserve">New ways of knowing : the sciences, society, and reconstructive knowledge / by Marcus G. Raskin &amp; Herbert J. Bernstein with Susan Buck-Morss ... [et al.].</t>
  </si>
  <si>
    <t xml:space="preserve">Raskin, Marcus G.</t>
  </si>
  <si>
    <t xml:space="preserve">Totowa, N.J. : Rowman &amp; Littlefield, 1987.</t>
  </si>
  <si>
    <t xml:space="preserve">1999-03-29</t>
  </si>
  <si>
    <t xml:space="preserve">294233282:eng</t>
  </si>
  <si>
    <t xml:space="preserve">15224349</t>
  </si>
  <si>
    <t xml:space="preserve">991001004869702656</t>
  </si>
  <si>
    <t xml:space="preserve">2268035660002656</t>
  </si>
  <si>
    <t xml:space="preserve">9780847674633</t>
  </si>
  <si>
    <t xml:space="preserve">32285000251719</t>
  </si>
  <si>
    <t xml:space="preserve">893243782</t>
  </si>
  <si>
    <t xml:space="preserve">BD161 .R9</t>
  </si>
  <si>
    <t xml:space="preserve">0                      BD 0161000R  9</t>
  </si>
  <si>
    <t xml:space="preserve">Human knowledge : its scope and limits.</t>
  </si>
  <si>
    <t xml:space="preserve">Russell, Bertrand, 1872-1970.</t>
  </si>
  <si>
    <t xml:space="preserve">London : G. Allen and Unwin, [1948]</t>
  </si>
  <si>
    <t xml:space="preserve">2001-11-29</t>
  </si>
  <si>
    <t xml:space="preserve">1990-07-31</t>
  </si>
  <si>
    <t xml:space="preserve">517761:eng</t>
  </si>
  <si>
    <t xml:space="preserve">224769</t>
  </si>
  <si>
    <t xml:space="preserve">991001375109702656</t>
  </si>
  <si>
    <t xml:space="preserve">2263548450002656</t>
  </si>
  <si>
    <t xml:space="preserve">32285000252683</t>
  </si>
  <si>
    <t xml:space="preserve">893408071</t>
  </si>
  <si>
    <t xml:space="preserve">BD161 .S47</t>
  </si>
  <si>
    <t xml:space="preserve">0                      BD 0161000S  47</t>
  </si>
  <si>
    <t xml:space="preserve">Reality, knowledge, and value : a basic introduction to philosophy / [by] Jerome A. Shaffer.</t>
  </si>
  <si>
    <t xml:space="preserve">Shaffer, Jerome A.</t>
  </si>
  <si>
    <t xml:space="preserve">New York : Random House, [1971]</t>
  </si>
  <si>
    <t xml:space="preserve">1999-04-28</t>
  </si>
  <si>
    <t xml:space="preserve">375401774:eng</t>
  </si>
  <si>
    <t xml:space="preserve">164026</t>
  </si>
  <si>
    <t xml:space="preserve">991000934629702656</t>
  </si>
  <si>
    <t xml:space="preserve">2271987560002656</t>
  </si>
  <si>
    <t xml:space="preserve">9780394312675</t>
  </si>
  <si>
    <t xml:space="preserve">32285000252725</t>
  </si>
  <si>
    <t xml:space="preserve">893413813</t>
  </si>
  <si>
    <t xml:space="preserve">BD161 .S52</t>
  </si>
  <si>
    <t xml:space="preserve">0                      BD 0161000S  52</t>
  </si>
  <si>
    <t xml:space="preserve">The Christian intellect and the mystery of being : reflections of a Maritain Thomist / [by] Joseph J. Sikora.</t>
  </si>
  <si>
    <t xml:space="preserve">Sikora, Joseph J. (Joseph John)</t>
  </si>
  <si>
    <t xml:space="preserve">The Hague : Martinus Nijhoff, 1966.</t>
  </si>
  <si>
    <t xml:space="preserve">1997-10-29</t>
  </si>
  <si>
    <t xml:space="preserve">376946253:eng</t>
  </si>
  <si>
    <t xml:space="preserve">884893</t>
  </si>
  <si>
    <t xml:space="preserve">991003351289702656</t>
  </si>
  <si>
    <t xml:space="preserve">2259465780002656</t>
  </si>
  <si>
    <t xml:space="preserve">32285000252733</t>
  </si>
  <si>
    <t xml:space="preserve">893793556</t>
  </si>
  <si>
    <t xml:space="preserve">BD161 .W47 1977b</t>
  </si>
  <si>
    <t xml:space="preserve">0                      BD 0161000W  47          1977b</t>
  </si>
  <si>
    <t xml:space="preserve">Groundless belief : an essay on the possibility of epistemology / Michael Williams.</t>
  </si>
  <si>
    <t xml:space="preserve">Williams, Michael, 1947 January 3-</t>
  </si>
  <si>
    <t xml:space="preserve">New Haven : Yale University Press, 1977.</t>
  </si>
  <si>
    <t xml:space="preserve">Library of philosophy and logic</t>
  </si>
  <si>
    <t xml:space="preserve">1991-07-15</t>
  </si>
  <si>
    <t xml:space="preserve">181262707:eng</t>
  </si>
  <si>
    <t xml:space="preserve">3353844</t>
  </si>
  <si>
    <t xml:space="preserve">991004413709702656</t>
  </si>
  <si>
    <t xml:space="preserve">2260791700002656</t>
  </si>
  <si>
    <t xml:space="preserve">9780300021288</t>
  </si>
  <si>
    <t xml:space="preserve">32285000639343</t>
  </si>
  <si>
    <t xml:space="preserve">893513208</t>
  </si>
  <si>
    <t xml:space="preserve">BD161.L613 B73 1988</t>
  </si>
  <si>
    <t xml:space="preserve">0                      BD 0161000L  613                B  73          1988</t>
  </si>
  <si>
    <t xml:space="preserve">Lonergan's retrieval of the notion of human being : clarifications of and reflections on the argument of Insight, chapters I-XVIII / Frank Paul Braio.</t>
  </si>
  <si>
    <t xml:space="preserve">Braio, Frank Paul, 1948-</t>
  </si>
  <si>
    <t xml:space="preserve">Lanham, MD : University Press of America, c1988.</t>
  </si>
  <si>
    <t xml:space="preserve">1999-05-03</t>
  </si>
  <si>
    <t xml:space="preserve">1991-07-16</t>
  </si>
  <si>
    <t xml:space="preserve">496454697:eng</t>
  </si>
  <si>
    <t xml:space="preserve">17259713</t>
  </si>
  <si>
    <t xml:space="preserve">991001191519702656</t>
  </si>
  <si>
    <t xml:space="preserve">2256649750002656</t>
  </si>
  <si>
    <t xml:space="preserve">9780819168511</t>
  </si>
  <si>
    <t xml:space="preserve">32285000675461</t>
  </si>
  <si>
    <t xml:space="preserve">893709070</t>
  </si>
  <si>
    <t xml:space="preserve">BD162 .S5</t>
  </si>
  <si>
    <t xml:space="preserve">0                      BD 0162000S  5</t>
  </si>
  <si>
    <t xml:space="preserve">Introduction à l'ontologie du connaître.</t>
  </si>
  <si>
    <t xml:space="preserve">Simon, Yves.</t>
  </si>
  <si>
    <t xml:space="preserve">Paris : Desclée, de Brouwer et cie, [1934]</t>
  </si>
  <si>
    <t xml:space="preserve">1934</t>
  </si>
  <si>
    <t xml:space="preserve">fre</t>
  </si>
  <si>
    <t xml:space="preserve">Bibliothèque française de philosophie. 3. sér.</t>
  </si>
  <si>
    <t xml:space="preserve">2005-09-22</t>
  </si>
  <si>
    <t xml:space="preserve">10792985155:fre</t>
  </si>
  <si>
    <t xml:space="preserve">9308612</t>
  </si>
  <si>
    <t xml:space="preserve">991000168529702656</t>
  </si>
  <si>
    <t xml:space="preserve">2258385480002656</t>
  </si>
  <si>
    <t xml:space="preserve">32285000252915</t>
  </si>
  <si>
    <t xml:space="preserve">893620265</t>
  </si>
  <si>
    <t xml:space="preserve">BD166 .F713</t>
  </si>
  <si>
    <t xml:space="preserve">0                      BD 0166000F  713</t>
  </si>
  <si>
    <t xml:space="preserve">Reality and man : an essay in the metaphysics of human nature / translated from the Russian by Natalie Duddington. With a foreword by Georges Florovsky.</t>
  </si>
  <si>
    <t xml:space="preserve">Frank, S. L. (Semen Li︠u︡dvigovich), 1877-1950.</t>
  </si>
  <si>
    <t xml:space="preserve">New York : Taplinger, [1967, c1965]</t>
  </si>
  <si>
    <t xml:space="preserve">2002-05-07</t>
  </si>
  <si>
    <t xml:space="preserve">4917887126:eng</t>
  </si>
  <si>
    <t xml:space="preserve">169808</t>
  </si>
  <si>
    <t xml:space="preserve">991000963129702656</t>
  </si>
  <si>
    <t xml:space="preserve">2263916570002656</t>
  </si>
  <si>
    <t xml:space="preserve">32285000253061</t>
  </si>
  <si>
    <t xml:space="preserve">893432482</t>
  </si>
  <si>
    <t xml:space="preserve">BD171 .A3855 1993</t>
  </si>
  <si>
    <t xml:space="preserve">0                      BD 0171000A  3855        1993</t>
  </si>
  <si>
    <t xml:space="preserve">Truth in philosophy / Barry Allen.</t>
  </si>
  <si>
    <t xml:space="preserve">Allen, Barry, 1957-</t>
  </si>
  <si>
    <t xml:space="preserve">Cambridge, Mass. : Harvard University Press, 1993.</t>
  </si>
  <si>
    <t xml:space="preserve">1995-04-24</t>
  </si>
  <si>
    <t xml:space="preserve">1994-05-06</t>
  </si>
  <si>
    <t xml:space="preserve">138733795:eng</t>
  </si>
  <si>
    <t xml:space="preserve">26853827</t>
  </si>
  <si>
    <t xml:space="preserve">991002093549702656</t>
  </si>
  <si>
    <t xml:space="preserve">2264483790002656</t>
  </si>
  <si>
    <t xml:space="preserve">9780674910904</t>
  </si>
  <si>
    <t xml:space="preserve">32285001878478</t>
  </si>
  <si>
    <t xml:space="preserve">893892140</t>
  </si>
  <si>
    <t xml:space="preserve">BD171 .G6</t>
  </si>
  <si>
    <t xml:space="preserve">0                      BD 0171000G  6</t>
  </si>
  <si>
    <t xml:space="preserve">The structure of awareness : introduction to a situational theory of truth and knowledge / [by] D. W. Gotshalk.</t>
  </si>
  <si>
    <t xml:space="preserve">Gotshalk, D. W. (Dilman Walter), 1901-1973.</t>
  </si>
  <si>
    <t xml:space="preserve">Urbana : University of Illinois Press, [1969]</t>
  </si>
  <si>
    <t xml:space="preserve">1993-03-30</t>
  </si>
  <si>
    <t xml:space="preserve">796603397:eng</t>
  </si>
  <si>
    <t xml:space="preserve">52921</t>
  </si>
  <si>
    <t xml:space="preserve">991000128429702656</t>
  </si>
  <si>
    <t xml:space="preserve">2259231370002656</t>
  </si>
  <si>
    <t xml:space="preserve">9780252000256</t>
  </si>
  <si>
    <t xml:space="preserve">32285000253095</t>
  </si>
  <si>
    <t xml:space="preserve">893714334</t>
  </si>
  <si>
    <t xml:space="preserve">BD171 .P87</t>
  </si>
  <si>
    <t xml:space="preserve">0                      BD 0171000P  87</t>
  </si>
  <si>
    <t xml:space="preserve">Meaning and the moral sciences / Hilary Putnam.</t>
  </si>
  <si>
    <t xml:space="preserve">Putnam, Hilary.</t>
  </si>
  <si>
    <t xml:space="preserve">London ; Boston : Routledge &amp; K. Paul, 1978.</t>
  </si>
  <si>
    <t xml:space="preserve">2002-11-26</t>
  </si>
  <si>
    <t xml:space="preserve">445237:eng</t>
  </si>
  <si>
    <t xml:space="preserve">3757028</t>
  </si>
  <si>
    <t xml:space="preserve">991004509869702656</t>
  </si>
  <si>
    <t xml:space="preserve">2267563570002656</t>
  </si>
  <si>
    <t xml:space="preserve">9780710087546</t>
  </si>
  <si>
    <t xml:space="preserve">32285000253160</t>
  </si>
  <si>
    <t xml:space="preserve">893694019</t>
  </si>
  <si>
    <t xml:space="preserve">BD171 .R47</t>
  </si>
  <si>
    <t xml:space="preserve">0                      BD 0171000R  47</t>
  </si>
  <si>
    <t xml:space="preserve">The coherence theory of truth.</t>
  </si>
  <si>
    <t xml:space="preserve">Rescher, Nicholas.</t>
  </si>
  <si>
    <t xml:space="preserve">Oxford : Clarendon Press, 1973.</t>
  </si>
  <si>
    <t xml:space="preserve">Clarendon library of logic and philosophy</t>
  </si>
  <si>
    <t xml:space="preserve">1997-10-01</t>
  </si>
  <si>
    <t xml:space="preserve">483489:eng</t>
  </si>
  <si>
    <t xml:space="preserve">745629</t>
  </si>
  <si>
    <t xml:space="preserve">991003219499702656</t>
  </si>
  <si>
    <t xml:space="preserve">2268883020002656</t>
  </si>
  <si>
    <t xml:space="preserve">9780198244011</t>
  </si>
  <si>
    <t xml:space="preserve">32285000253186</t>
  </si>
  <si>
    <t xml:space="preserve">893793420</t>
  </si>
  <si>
    <t xml:space="preserve">BD175 .D68</t>
  </si>
  <si>
    <t xml:space="preserve">0                      BD 0175000D  68</t>
  </si>
  <si>
    <t xml:space="preserve">Understanding everyday life : toward the reconstruction of sociological knowledge / edited by Jack D. Douglas.</t>
  </si>
  <si>
    <t xml:space="preserve">Douglas, Jack D.</t>
  </si>
  <si>
    <t xml:space="preserve">Chicago : Aldine Pub. Co., [1970]</t>
  </si>
  <si>
    <t xml:space="preserve">2001-01-04</t>
  </si>
  <si>
    <t xml:space="preserve">118180235:eng</t>
  </si>
  <si>
    <t xml:space="preserve">109506</t>
  </si>
  <si>
    <t xml:space="preserve">991000640629702656</t>
  </si>
  <si>
    <t xml:space="preserve">2254992940002656</t>
  </si>
  <si>
    <t xml:space="preserve">9780202301204</t>
  </si>
  <si>
    <t xml:space="preserve">32285000253301</t>
  </si>
  <si>
    <t xml:space="preserve">893528239</t>
  </si>
  <si>
    <t xml:space="preserve">BD175 .F75 1992</t>
  </si>
  <si>
    <t xml:space="preserve">0                      BD 0175000F  75          1992</t>
  </si>
  <si>
    <t xml:space="preserve">The alienated mind : the sociology of knowledge in Germany, 1918-1933 / David Frisby.</t>
  </si>
  <si>
    <t xml:space="preserve">Frisby, David.</t>
  </si>
  <si>
    <t xml:space="preserve">New York, NY : Routledge, 1992.</t>
  </si>
  <si>
    <t xml:space="preserve">2nd ed.</t>
  </si>
  <si>
    <t xml:space="preserve">International library of sociology</t>
  </si>
  <si>
    <t xml:space="preserve">1994-01-24</t>
  </si>
  <si>
    <t xml:space="preserve">20962123:eng</t>
  </si>
  <si>
    <t xml:space="preserve">25245763</t>
  </si>
  <si>
    <t xml:space="preserve">991001986859702656</t>
  </si>
  <si>
    <t xml:space="preserve">2259155240002656</t>
  </si>
  <si>
    <t xml:space="preserve">9780415057967</t>
  </si>
  <si>
    <t xml:space="preserve">32285001833242</t>
  </si>
  <si>
    <t xml:space="preserve">893879383</t>
  </si>
  <si>
    <t xml:space="preserve">BD175 .W37 1996</t>
  </si>
  <si>
    <t xml:space="preserve">0                      BD 0175000W  37          1996</t>
  </si>
  <si>
    <t xml:space="preserve">Reconfiguring truth : postmodernism, science studies, and the search for a new model of knowledge / Steven C. Ward.</t>
  </si>
  <si>
    <t xml:space="preserve">Ward, Steven C.</t>
  </si>
  <si>
    <t xml:space="preserve">Lanham : Rowman &amp; Littlefield Publishers, c1996.</t>
  </si>
  <si>
    <t xml:space="preserve">2001-10-25</t>
  </si>
  <si>
    <t xml:space="preserve">1997-04-10</t>
  </si>
  <si>
    <t xml:space="preserve">836952003:eng</t>
  </si>
  <si>
    <t xml:space="preserve">34618270</t>
  </si>
  <si>
    <t xml:space="preserve">991002646069702656</t>
  </si>
  <si>
    <t xml:space="preserve">2271960260002656</t>
  </si>
  <si>
    <t xml:space="preserve">9780847682591</t>
  </si>
  <si>
    <t xml:space="preserve">32285002496163</t>
  </si>
  <si>
    <t xml:space="preserve">893873782</t>
  </si>
  <si>
    <t xml:space="preserve">BD190 .A57 1988</t>
  </si>
  <si>
    <t xml:space="preserve">0                      BD 0190000A  57          1988</t>
  </si>
  <si>
    <t xml:space="preserve">Analogical reasoning : perspectives of artificial intelligence, cognitive science, and philosophy / edited by David H. Helman.</t>
  </si>
  <si>
    <t xml:space="preserve">Dordrecht ; Boston : Kluwer Academic Publishers, c1988.</t>
  </si>
  <si>
    <t xml:space="preserve">Studies in epistemology, logic, methodology, and philosophy of science</t>
  </si>
  <si>
    <t xml:space="preserve">2009-04-08</t>
  </si>
  <si>
    <t xml:space="preserve">1990-04-02</t>
  </si>
  <si>
    <t xml:space="preserve">808231795:eng</t>
  </si>
  <si>
    <t xml:space="preserve">17550163</t>
  </si>
  <si>
    <t xml:space="preserve">991001235439702656</t>
  </si>
  <si>
    <t xml:space="preserve">2261980260002656</t>
  </si>
  <si>
    <t xml:space="preserve">9789027727114</t>
  </si>
  <si>
    <t xml:space="preserve">32285000092451</t>
  </si>
  <si>
    <t xml:space="preserve">893420192</t>
  </si>
  <si>
    <t xml:space="preserve">BD190 .V513 1959</t>
  </si>
  <si>
    <t xml:space="preserve">0                      BD 0190000V  513         1959</t>
  </si>
  <si>
    <t xml:space="preserve">The analogy of names : and The concept of being / literally translated and annotated by Edward A. Bushinski, in collaboration with Henry J. Koren.</t>
  </si>
  <si>
    <t xml:space="preserve">Cajetan, Tommaso de Vio, 1469-1534.</t>
  </si>
  <si>
    <t xml:space="preserve">Pittsburgh : Duquesne University, 1959.</t>
  </si>
  <si>
    <t xml:space="preserve">Duquesne studies. Philosophical series ; 4</t>
  </si>
  <si>
    <t xml:space="preserve">2009-02-25</t>
  </si>
  <si>
    <t xml:space="preserve">1990-08-07</t>
  </si>
  <si>
    <t xml:space="preserve">10792169905:eng</t>
  </si>
  <si>
    <t xml:space="preserve">1079079</t>
  </si>
  <si>
    <t xml:space="preserve">991003519489702656</t>
  </si>
  <si>
    <t xml:space="preserve">2255754850002656</t>
  </si>
  <si>
    <t xml:space="preserve">32285000254234</t>
  </si>
  <si>
    <t xml:space="preserve">893611132</t>
  </si>
  <si>
    <t xml:space="preserve">BD21 .C59</t>
  </si>
  <si>
    <t xml:space="preserve">0                      BD 0021000C  59</t>
  </si>
  <si>
    <t xml:space="preserve">The need to question : an introduction to philosophy.</t>
  </si>
  <si>
    <t xml:space="preserve">Clark, Malcolm, 1926-</t>
  </si>
  <si>
    <t xml:space="preserve">Englewood Cliffs, N.J. : Prentice-Hall, [1973]</t>
  </si>
  <si>
    <t xml:space="preserve">2004-11-21</t>
  </si>
  <si>
    <t xml:space="preserve">1991-03-11</t>
  </si>
  <si>
    <t xml:space="preserve">1402248:eng</t>
  </si>
  <si>
    <t xml:space="preserve">357067</t>
  </si>
  <si>
    <t xml:space="preserve">991002464529702656</t>
  </si>
  <si>
    <t xml:space="preserve">2263054130002656</t>
  </si>
  <si>
    <t xml:space="preserve">9780136108573</t>
  </si>
  <si>
    <t xml:space="preserve">32285000546977</t>
  </si>
  <si>
    <t xml:space="preserve">893226869</t>
  </si>
  <si>
    <t xml:space="preserve">BD21 .E4 1973</t>
  </si>
  <si>
    <t xml:space="preserve">0                      BD 0021000E  4           1973</t>
  </si>
  <si>
    <t xml:space="preserve">A modern introduction to philosophy : readings from classical and contemporary sources / edited by Paul Edwards and Arthur Pap.</t>
  </si>
  <si>
    <t xml:space="preserve">Edwards, Paul, 1923-2004, editor.</t>
  </si>
  <si>
    <t xml:space="preserve">New York : Free Press, [1972, c1973]</t>
  </si>
  <si>
    <t xml:space="preserve">3d ed.</t>
  </si>
  <si>
    <t xml:space="preserve">The Free Press textbooks in philosophy</t>
  </si>
  <si>
    <t xml:space="preserve">2008-04-11</t>
  </si>
  <si>
    <t xml:space="preserve">796691045:eng</t>
  </si>
  <si>
    <t xml:space="preserve">533845</t>
  </si>
  <si>
    <t xml:space="preserve">991002937499702656</t>
  </si>
  <si>
    <t xml:space="preserve">2264339840002656</t>
  </si>
  <si>
    <t xml:space="preserve">32285000547066</t>
  </si>
  <si>
    <t xml:space="preserve">893786772</t>
  </si>
  <si>
    <t xml:space="preserve">BD21 .M85 1979</t>
  </si>
  <si>
    <t xml:space="preserve">0                      BD 0021000M  85          1979</t>
  </si>
  <si>
    <t xml:space="preserve">The ways of philosophy / Milton K. Munitz.</t>
  </si>
  <si>
    <t xml:space="preserve">Munitz, Milton K. (Milton Karl), 1913-1995.</t>
  </si>
  <si>
    <t xml:space="preserve">New York : Macmillan, c1979.</t>
  </si>
  <si>
    <t xml:space="preserve">2002-12-04</t>
  </si>
  <si>
    <t xml:space="preserve">1991-07-10</t>
  </si>
  <si>
    <t xml:space="preserve">398688:eng</t>
  </si>
  <si>
    <t xml:space="preserve">3516588</t>
  </si>
  <si>
    <t xml:space="preserve">991004453029702656</t>
  </si>
  <si>
    <t xml:space="preserve">2272478070002656</t>
  </si>
  <si>
    <t xml:space="preserve">9780023848506</t>
  </si>
  <si>
    <t xml:space="preserve">32285000648369</t>
  </si>
  <si>
    <t xml:space="preserve">893718922</t>
  </si>
  <si>
    <t xml:space="preserve">BD21 .R3 1971</t>
  </si>
  <si>
    <t xml:space="preserve">0                      BD 0021000R  3           1971</t>
  </si>
  <si>
    <t xml:space="preserve">Philosophy : an introduction / [by] John Herman Randall, Jr. [and] Justus Buchler.</t>
  </si>
  <si>
    <t xml:space="preserve">Randall, John Herman, Jr., 1899-1980.</t>
  </si>
  <si>
    <t xml:space="preserve">New York : Barnes &amp; Noble, [1971]</t>
  </si>
  <si>
    <t xml:space="preserve">College outline series ; no. 41</t>
  </si>
  <si>
    <t xml:space="preserve">2005-04-30</t>
  </si>
  <si>
    <t xml:space="preserve">117452028:eng</t>
  </si>
  <si>
    <t xml:space="preserve">199517</t>
  </si>
  <si>
    <t xml:space="preserve">991001225039702656</t>
  </si>
  <si>
    <t xml:space="preserve">2269741580002656</t>
  </si>
  <si>
    <t xml:space="preserve">9780389000891</t>
  </si>
  <si>
    <t xml:space="preserve">32285000547298</t>
  </si>
  <si>
    <t xml:space="preserve">893432702</t>
  </si>
  <si>
    <t xml:space="preserve">BD21 .S85 1964</t>
  </si>
  <si>
    <t xml:space="preserve">0                      BD 0021000S  85          1964</t>
  </si>
  <si>
    <t xml:space="preserve">An introduction to philosophy.</t>
  </si>
  <si>
    <t xml:space="preserve">Sullivan, Daniel J. (Daniel James), 1909-</t>
  </si>
  <si>
    <t xml:space="preserve">Milwaukee : Bruce Pub. Co., [1964]</t>
  </si>
  <si>
    <t xml:space="preserve">wiu</t>
  </si>
  <si>
    <t xml:space="preserve">1783349:eng</t>
  </si>
  <si>
    <t xml:space="preserve">1702340</t>
  </si>
  <si>
    <t xml:space="preserve">991003874339702656</t>
  </si>
  <si>
    <t xml:space="preserve">2264551080002656</t>
  </si>
  <si>
    <t xml:space="preserve">32285000547348</t>
  </si>
  <si>
    <t xml:space="preserve">893599088</t>
  </si>
  <si>
    <t xml:space="preserve">BD214.5 .S66 1990</t>
  </si>
  <si>
    <t xml:space="preserve">0                      BD 0214500S  66          1990</t>
  </si>
  <si>
    <t xml:space="preserve">A post-modern epistemology : language, truth, and body / Mari Sorri &amp; Jerry H. Gill.</t>
  </si>
  <si>
    <t xml:space="preserve">Sorri, Mari.</t>
  </si>
  <si>
    <t xml:space="preserve">Lewiston, N.Y., USA : E. Mellen Press, c1990.</t>
  </si>
  <si>
    <t xml:space="preserve">Problems in contemporary philosophy ; v. 19</t>
  </si>
  <si>
    <t xml:space="preserve">2005-11-21</t>
  </si>
  <si>
    <t xml:space="preserve">1991-11-04</t>
  </si>
  <si>
    <t xml:space="preserve">836711422:eng</t>
  </si>
  <si>
    <t xml:space="preserve">19981266</t>
  </si>
  <si>
    <t xml:space="preserve">991001521799702656</t>
  </si>
  <si>
    <t xml:space="preserve">2259822140002656</t>
  </si>
  <si>
    <t xml:space="preserve">9780889463240</t>
  </si>
  <si>
    <t xml:space="preserve">32285000729458</t>
  </si>
  <si>
    <t xml:space="preserve">893684379</t>
  </si>
  <si>
    <t xml:space="preserve">BD215 .B2 1955</t>
  </si>
  <si>
    <t xml:space="preserve">0                      BD 0215000B  2           1955</t>
  </si>
  <si>
    <t xml:space="preserve">The will to believe / by Marcus Bach.</t>
  </si>
  <si>
    <t xml:space="preserve">Bach, Marcus, 1901-1995.</t>
  </si>
  <si>
    <t xml:space="preserve">Englewood Cliffs, N.J. : Prentice-Hall, [1955]</t>
  </si>
  <si>
    <t xml:space="preserve">1893773:eng</t>
  </si>
  <si>
    <t xml:space="preserve">1683388</t>
  </si>
  <si>
    <t xml:space="preserve">991000016939702656</t>
  </si>
  <si>
    <t xml:space="preserve">2272151010002656</t>
  </si>
  <si>
    <t xml:space="preserve">32285005589352</t>
  </si>
  <si>
    <t xml:space="preserve">893884027</t>
  </si>
  <si>
    <t xml:space="preserve">BD215 .H65 1986</t>
  </si>
  <si>
    <t xml:space="preserve">0                      BD 0215000H  65          1986</t>
  </si>
  <si>
    <t xml:space="preserve">Doubt, time, violence / Piotr Hoffman.</t>
  </si>
  <si>
    <t xml:space="preserve">Hoffman, Piotr.</t>
  </si>
  <si>
    <t xml:space="preserve">Chicago : University of Chicago Press, c1986.</t>
  </si>
  <si>
    <t xml:space="preserve">2004-06-02</t>
  </si>
  <si>
    <t xml:space="preserve">1992-05-15</t>
  </si>
  <si>
    <t xml:space="preserve">7031520:eng</t>
  </si>
  <si>
    <t xml:space="preserve">13860922</t>
  </si>
  <si>
    <t xml:space="preserve">991000885659702656</t>
  </si>
  <si>
    <t xml:space="preserve">2262354320002656</t>
  </si>
  <si>
    <t xml:space="preserve">9780226347912</t>
  </si>
  <si>
    <t xml:space="preserve">32285001116291</t>
  </si>
  <si>
    <t xml:space="preserve">893502904</t>
  </si>
  <si>
    <t xml:space="preserve">BD215 .M33 1984</t>
  </si>
  <si>
    <t xml:space="preserve">0                      BD 0215000M  33          1984</t>
  </si>
  <si>
    <t xml:space="preserve">The life of religion : a Marquette University Symposium on the Nature of Religious Belief / edited by Stanley M. Harrison, Richard C. Taylor.</t>
  </si>
  <si>
    <t xml:space="preserve">Marquette University Symposium on the Nature of Religious Belief (1984)</t>
  </si>
  <si>
    <t xml:space="preserve">1996-09-28</t>
  </si>
  <si>
    <t xml:space="preserve">817728987:eng</t>
  </si>
  <si>
    <t xml:space="preserve">13822539</t>
  </si>
  <si>
    <t xml:space="preserve">991000879139702656</t>
  </si>
  <si>
    <t xml:space="preserve">2265450440002656</t>
  </si>
  <si>
    <t xml:space="preserve">9780819155597</t>
  </si>
  <si>
    <t xml:space="preserve">32285000675529</t>
  </si>
  <si>
    <t xml:space="preserve">893608356</t>
  </si>
  <si>
    <t xml:space="preserve">BD222 .M4 1983</t>
  </si>
  <si>
    <t xml:space="preserve">0                      BD 0222000M  4           1983</t>
  </si>
  <si>
    <t xml:space="preserve">The subjective view : secondary qualities and indexical thoughts / Colin McGinn.</t>
  </si>
  <si>
    <t xml:space="preserve">McGinn, Colin, 1950-</t>
  </si>
  <si>
    <t xml:space="preserve">Oxford : Clarendon Press ; New York : Oxford University Press, 1983.</t>
  </si>
  <si>
    <t xml:space="preserve">2009-09-24</t>
  </si>
  <si>
    <t xml:space="preserve">793893476:eng</t>
  </si>
  <si>
    <t xml:space="preserve">9325088</t>
  </si>
  <si>
    <t xml:space="preserve">991005297309702656</t>
  </si>
  <si>
    <t xml:space="preserve">2269975980002656</t>
  </si>
  <si>
    <t xml:space="preserve">9780198246954</t>
  </si>
  <si>
    <t xml:space="preserve">32285005545214</t>
  </si>
  <si>
    <t xml:space="preserve">893431201</t>
  </si>
  <si>
    <t xml:space="preserve">BD23 .H412</t>
  </si>
  <si>
    <t xml:space="preserve">0                      BD 0023000H  412</t>
  </si>
  <si>
    <t xml:space="preserve">What is philosophy? / translated with an introd. by William Kluback and Jean T. Wilde.</t>
  </si>
  <si>
    <t xml:space="preserve">Heidegger, Martin, 1889-1976.</t>
  </si>
  <si>
    <t xml:space="preserve">[New York] : Twayne Publishers, [1958]</t>
  </si>
  <si>
    <t xml:space="preserve">465568:eng</t>
  </si>
  <si>
    <t xml:space="preserve">325504</t>
  </si>
  <si>
    <t xml:space="preserve">991002354579702656</t>
  </si>
  <si>
    <t xml:space="preserve">2269831700002656</t>
  </si>
  <si>
    <t xml:space="preserve">32285000547470</t>
  </si>
  <si>
    <t xml:space="preserve">893498019</t>
  </si>
  <si>
    <t xml:space="preserve">BD232 .F535</t>
  </si>
  <si>
    <t xml:space="preserve">0                      BD 0232000F  535</t>
  </si>
  <si>
    <t xml:space="preserve">Axiological ethics / [by] J. N. Findlay.</t>
  </si>
  <si>
    <t xml:space="preserve">Findlay, J. N. (John Niemeyer), 1903-1987.</t>
  </si>
  <si>
    <t xml:space="preserve">London : Macmillan ; New York : St. Martin's Press, 1970.</t>
  </si>
  <si>
    <t xml:space="preserve">2007-05-04</t>
  </si>
  <si>
    <t xml:space="preserve">190170027:eng</t>
  </si>
  <si>
    <t xml:space="preserve">105218</t>
  </si>
  <si>
    <t xml:space="preserve">991000628649702656</t>
  </si>
  <si>
    <t xml:space="preserve">2263326320002656</t>
  </si>
  <si>
    <t xml:space="preserve">9780333002698</t>
  </si>
  <si>
    <t xml:space="preserve">32285000254515</t>
  </si>
  <si>
    <t xml:space="preserve">893345825</t>
  </si>
  <si>
    <t xml:space="preserve">BD232 .F713</t>
  </si>
  <si>
    <t xml:space="preserve">0                      BD 0232000F  713</t>
  </si>
  <si>
    <t xml:space="preserve">What is value? : Que son los valores? : an introduction to axiology / translated by Solomon Lipp.</t>
  </si>
  <si>
    <t xml:space="preserve">Frondizi, Risieri.</t>
  </si>
  <si>
    <t xml:space="preserve">La Salle, Ill. : Open Court, 1963.</t>
  </si>
  <si>
    <t xml:space="preserve">2000-04-19</t>
  </si>
  <si>
    <t xml:space="preserve">4417373818:eng</t>
  </si>
  <si>
    <t xml:space="preserve">373640</t>
  </si>
  <si>
    <t xml:space="preserve">991002570919702656</t>
  </si>
  <si>
    <t xml:space="preserve">2261139120002656</t>
  </si>
  <si>
    <t xml:space="preserve">32285000254523</t>
  </si>
  <si>
    <t xml:space="preserve">893603749</t>
  </si>
  <si>
    <t xml:space="preserve">BD232 .H33</t>
  </si>
  <si>
    <t xml:space="preserve">0                      BD 0232000H  33</t>
  </si>
  <si>
    <t xml:space="preserve">The structure of value : foundations of scientific axiology / [by] Robert S. Hartman. Foreword by George Kimball Plochmann. Pref. by Paul Weiss.</t>
  </si>
  <si>
    <t xml:space="preserve">Hartman, Robert S., 1910-1973.</t>
  </si>
  <si>
    <t xml:space="preserve">Carbondale : Southern Illinois University Press, [1967]</t>
  </si>
  <si>
    <t xml:space="preserve">Philosophical explorations</t>
  </si>
  <si>
    <t xml:space="preserve">1990-08-08</t>
  </si>
  <si>
    <t xml:space="preserve">1312262:eng</t>
  </si>
  <si>
    <t xml:space="preserve">217841</t>
  </si>
  <si>
    <t xml:space="preserve">991001290179702656</t>
  </si>
  <si>
    <t xml:space="preserve">2258774740002656</t>
  </si>
  <si>
    <t xml:space="preserve">32285000280106</t>
  </si>
  <si>
    <t xml:space="preserve">893346399</t>
  </si>
  <si>
    <t xml:space="preserve">BD232 .L4 1957</t>
  </si>
  <si>
    <t xml:space="preserve">0                      BD 0232000L  4           1957</t>
  </si>
  <si>
    <t xml:space="preserve">The language of value.</t>
  </si>
  <si>
    <t xml:space="preserve">Lepley, Ray, 1903-, editor.</t>
  </si>
  <si>
    <t xml:space="preserve">New York : Columbia University Press, 1957.</t>
  </si>
  <si>
    <t xml:space="preserve">1957</t>
  </si>
  <si>
    <t xml:space="preserve">2003-02-17</t>
  </si>
  <si>
    <t xml:space="preserve">181318655:eng</t>
  </si>
  <si>
    <t xml:space="preserve">375045</t>
  </si>
  <si>
    <t xml:space="preserve">991002580949702656</t>
  </si>
  <si>
    <t xml:space="preserve">2264076940002656</t>
  </si>
  <si>
    <t xml:space="preserve">32285000280148</t>
  </si>
  <si>
    <t xml:space="preserve">893773774</t>
  </si>
  <si>
    <t xml:space="preserve">BD232 .P27 1968</t>
  </si>
  <si>
    <t xml:space="preserve">0                      BD 0232000P  27          1968</t>
  </si>
  <si>
    <t xml:space="preserve">The philosophy of value / with a pref. by William K. Frankena.</t>
  </si>
  <si>
    <t xml:space="preserve">Parker, De Witt H. (De Witt Henry), 1885-1949.</t>
  </si>
  <si>
    <t xml:space="preserve">New York : Greenwood Press, 1968 [c1957]</t>
  </si>
  <si>
    <t xml:space="preserve">1435647:eng</t>
  </si>
  <si>
    <t xml:space="preserve">451430</t>
  </si>
  <si>
    <t xml:space="preserve">991002808369702656</t>
  </si>
  <si>
    <t xml:space="preserve">2261167880002656</t>
  </si>
  <si>
    <t xml:space="preserve">32285000280213</t>
  </si>
  <si>
    <t xml:space="preserve">893880450</t>
  </si>
  <si>
    <t xml:space="preserve">BD232 .P43</t>
  </si>
  <si>
    <t xml:space="preserve">0                      BD 0232000P  43</t>
  </si>
  <si>
    <t xml:space="preserve">The sources of value.</t>
  </si>
  <si>
    <t xml:space="preserve">Pepper, Stephen C. (Stephen Coburn), 1891-1972.</t>
  </si>
  <si>
    <t xml:space="preserve">Berkeley : University of California Press, 1958.</t>
  </si>
  <si>
    <t xml:space="preserve">1992-07-13</t>
  </si>
  <si>
    <t xml:space="preserve">111439300:eng</t>
  </si>
  <si>
    <t xml:space="preserve">256114</t>
  </si>
  <si>
    <t xml:space="preserve">991002000389702656</t>
  </si>
  <si>
    <t xml:space="preserve">2272075330002656</t>
  </si>
  <si>
    <t xml:space="preserve">32285000280221</t>
  </si>
  <si>
    <t xml:space="preserve">893346990</t>
  </si>
  <si>
    <t xml:space="preserve">BD232 .P45 1950</t>
  </si>
  <si>
    <t xml:space="preserve">0                      BD 0232000P  45          1950</t>
  </si>
  <si>
    <t xml:space="preserve">General theory of value : its meaning and basic principles construed in terms of interest.</t>
  </si>
  <si>
    <t xml:space="preserve">Perry, Ralph Barton, 1876-1957.</t>
  </si>
  <si>
    <t xml:space="preserve">Cambridge : Harvard University Press, 1950 [c1926]</t>
  </si>
  <si>
    <t xml:space="preserve">1950</t>
  </si>
  <si>
    <t xml:space="preserve">1993-08-28</t>
  </si>
  <si>
    <t xml:space="preserve">1462382:eng</t>
  </si>
  <si>
    <t xml:space="preserve">375043</t>
  </si>
  <si>
    <t xml:space="preserve">991002580919702656</t>
  </si>
  <si>
    <t xml:space="preserve">2264076880002656</t>
  </si>
  <si>
    <t xml:space="preserve">32285000280239</t>
  </si>
  <si>
    <t xml:space="preserve">893227023</t>
  </si>
  <si>
    <t xml:space="preserve">BD236 .H413</t>
  </si>
  <si>
    <t xml:space="preserve">0                      BD 0236000H  413</t>
  </si>
  <si>
    <t xml:space="preserve">Essays in metaphysics : identity and difference.</t>
  </si>
  <si>
    <t xml:space="preserve">New York : Philosophical Library, [c1960]</t>
  </si>
  <si>
    <t xml:space="preserve">2005-04-01</t>
  </si>
  <si>
    <t xml:space="preserve">4928562699:eng</t>
  </si>
  <si>
    <t xml:space="preserve">7663212</t>
  </si>
  <si>
    <t xml:space="preserve">991003227659702656</t>
  </si>
  <si>
    <t xml:space="preserve">2268997000002656</t>
  </si>
  <si>
    <t xml:space="preserve">32285000280353</t>
  </si>
  <si>
    <t xml:space="preserve">893445576</t>
  </si>
  <si>
    <t xml:space="preserve">BD236 .I4</t>
  </si>
  <si>
    <t xml:space="preserve">0                      BD 0236000I  4</t>
  </si>
  <si>
    <t xml:space="preserve">Identity and individuation / edited by Milton K. Munitz.</t>
  </si>
  <si>
    <t xml:space="preserve">New York : New York University Press, 1971.</t>
  </si>
  <si>
    <t xml:space="preserve">2000-10-12</t>
  </si>
  <si>
    <t xml:space="preserve">53951207:eng</t>
  </si>
  <si>
    <t xml:space="preserve">215460</t>
  </si>
  <si>
    <t xml:space="preserve">991001284749702656</t>
  </si>
  <si>
    <t xml:space="preserve">2255867560002656</t>
  </si>
  <si>
    <t xml:space="preserve">9780814753521</t>
  </si>
  <si>
    <t xml:space="preserve">32285000675586</t>
  </si>
  <si>
    <t xml:space="preserve">893534505</t>
  </si>
  <si>
    <t xml:space="preserve">BD241 .G36</t>
  </si>
  <si>
    <t xml:space="preserve">0                      BD 0241000G  36</t>
  </si>
  <si>
    <t xml:space="preserve">Forms of explanation : rethinking the questions in social theory / Alan Garfinkel.</t>
  </si>
  <si>
    <t xml:space="preserve">Garfinkel, Alan, 1945-</t>
  </si>
  <si>
    <t xml:space="preserve">New Haven, Conn. : Yale University Press, c1981.</t>
  </si>
  <si>
    <t xml:space="preserve">1990-08-03</t>
  </si>
  <si>
    <t xml:space="preserve">347683112:eng</t>
  </si>
  <si>
    <t xml:space="preserve">6708856</t>
  </si>
  <si>
    <t xml:space="preserve">991005029449702656</t>
  </si>
  <si>
    <t xml:space="preserve">2254752790002656</t>
  </si>
  <si>
    <t xml:space="preserve">9780300021363</t>
  </si>
  <si>
    <t xml:space="preserve">32285000266642</t>
  </si>
  <si>
    <t xml:space="preserve">893319914</t>
  </si>
  <si>
    <t xml:space="preserve">BD241 .L85 1986</t>
  </si>
  <si>
    <t xml:space="preserve">0                      BD 0241000L  85          1986</t>
  </si>
  <si>
    <t xml:space="preserve">Primal scenes : literature, philosophy, psychoanalysis / by Ned Lukacher.</t>
  </si>
  <si>
    <t xml:space="preserve">Lukacher, Ned, 1950-</t>
  </si>
  <si>
    <t xml:space="preserve">Ithaca : Cornell University Press, 1986.</t>
  </si>
  <si>
    <t xml:space="preserve">2006-10-29</t>
  </si>
  <si>
    <t xml:space="preserve">5546944:eng</t>
  </si>
  <si>
    <t xml:space="preserve">12724274</t>
  </si>
  <si>
    <t xml:space="preserve">991000730969702656</t>
  </si>
  <si>
    <t xml:space="preserve">2266798690002656</t>
  </si>
  <si>
    <t xml:space="preserve">9780801418860</t>
  </si>
  <si>
    <t xml:space="preserve">32285000266683</t>
  </si>
  <si>
    <t xml:space="preserve">893321293</t>
  </si>
  <si>
    <t xml:space="preserve">BD241 .W345 1987</t>
  </si>
  <si>
    <t xml:space="preserve">0                      BD 0241000W  345         1987</t>
  </si>
  <si>
    <t xml:space="preserve">Interpretation and social criticism / Michael Walzer.</t>
  </si>
  <si>
    <t xml:space="preserve">Walzer, Michael.</t>
  </si>
  <si>
    <t xml:space="preserve">The Tanner lectures on human values</t>
  </si>
  <si>
    <t xml:space="preserve">1998-11-03</t>
  </si>
  <si>
    <t xml:space="preserve">2681022:eng</t>
  </si>
  <si>
    <t xml:space="preserve">13860755</t>
  </si>
  <si>
    <t xml:space="preserve">991000885279702656</t>
  </si>
  <si>
    <t xml:space="preserve">2262235370002656</t>
  </si>
  <si>
    <t xml:space="preserve">9780674459700</t>
  </si>
  <si>
    <t xml:space="preserve">32285000266782</t>
  </si>
  <si>
    <t xml:space="preserve">893608359</t>
  </si>
  <si>
    <t xml:space="preserve">BD30 .G7 1946</t>
  </si>
  <si>
    <t xml:space="preserve">0                      BD 0030000G  7           1946</t>
  </si>
  <si>
    <t xml:space="preserve">Elementa philosophiae Aristotelico-Thomisticae / auctore Iosepho Gredt.</t>
  </si>
  <si>
    <t xml:space="preserve">Gredt, Joseph, 1863-1940.</t>
  </si>
  <si>
    <t xml:space="preserve">Barcelona : Herder, 1946.</t>
  </si>
  <si>
    <t xml:space="preserve">Editio octava recognita.</t>
  </si>
  <si>
    <t xml:space="preserve">lat</t>
  </si>
  <si>
    <t xml:space="preserve">sp </t>
  </si>
  <si>
    <t xml:space="preserve">2010-01-21</t>
  </si>
  <si>
    <t xml:space="preserve">1991-03-14</t>
  </si>
  <si>
    <t xml:space="preserve">2863740710:lat</t>
  </si>
  <si>
    <t xml:space="preserve">8869571</t>
  </si>
  <si>
    <t xml:space="preserve">991000088079702656</t>
  </si>
  <si>
    <t xml:space="preserve">2255083670002656</t>
  </si>
  <si>
    <t xml:space="preserve">32285000547694</t>
  </si>
  <si>
    <t xml:space="preserve">893890395</t>
  </si>
  <si>
    <t xml:space="preserve">32285000547702</t>
  </si>
  <si>
    <t xml:space="preserve">893890394</t>
  </si>
  <si>
    <t xml:space="preserve">BD30 .M3</t>
  </si>
  <si>
    <t xml:space="preserve">0                      BD 0030000M  3</t>
  </si>
  <si>
    <t xml:space="preserve">Elementa philosophiae : seu, Brevis philosophiae speculativae synthesis ad studium theologiae manuducens ...</t>
  </si>
  <si>
    <t xml:space="preserve">Maquart, François Xavier.</t>
  </si>
  <si>
    <t xml:space="preserve">Parisiis : A. Blot, 1937-38.</t>
  </si>
  <si>
    <t xml:space="preserve">2001-10-03</t>
  </si>
  <si>
    <t xml:space="preserve">1807625329:lat</t>
  </si>
  <si>
    <t xml:space="preserve">13988934</t>
  </si>
  <si>
    <t xml:space="preserve">991000896409702656</t>
  </si>
  <si>
    <t xml:space="preserve">2257921670002656</t>
  </si>
  <si>
    <t xml:space="preserve">32285000547710</t>
  </si>
  <si>
    <t xml:space="preserve">893515713</t>
  </si>
  <si>
    <t xml:space="preserve">BD30 .M3 T.2</t>
  </si>
  <si>
    <t xml:space="preserve">0                      BD 0030000M  3                                                       T.2</t>
  </si>
  <si>
    <t xml:space="preserve">T.2*</t>
  </si>
  <si>
    <t xml:space="preserve">32285000547728</t>
  </si>
  <si>
    <t xml:space="preserve">893515716</t>
  </si>
  <si>
    <t xml:space="preserve">BD30 .M3 T.3 PT.1</t>
  </si>
  <si>
    <t xml:space="preserve">0                      BD 0030000M  3                                                       T.3 PT.1</t>
  </si>
  <si>
    <t xml:space="preserve">T.3 PT.1*</t>
  </si>
  <si>
    <t xml:space="preserve">32285000547736</t>
  </si>
  <si>
    <t xml:space="preserve">893515715</t>
  </si>
  <si>
    <t xml:space="preserve">BD30 .M3 T.3 PT.2</t>
  </si>
  <si>
    <t xml:space="preserve">0                      BD 0030000M  3                                                       T.3 PT.2</t>
  </si>
  <si>
    <t xml:space="preserve">T.3 PT.2*</t>
  </si>
  <si>
    <t xml:space="preserve">32285000547744</t>
  </si>
  <si>
    <t xml:space="preserve">893515714</t>
  </si>
  <si>
    <t xml:space="preserve">BD311 .W44</t>
  </si>
  <si>
    <t xml:space="preserve">0                      BD 0311000W  44</t>
  </si>
  <si>
    <t xml:space="preserve">Structure of human life : a vitalist ontology / Michael A. Weinstein.</t>
  </si>
  <si>
    <t xml:space="preserve">Weinstein, Michael A.</t>
  </si>
  <si>
    <t xml:space="preserve">New York : New York University Press, c1979.</t>
  </si>
  <si>
    <t xml:space="preserve">1996-02-05</t>
  </si>
  <si>
    <t xml:space="preserve">17296665:eng</t>
  </si>
  <si>
    <t xml:space="preserve">5311028</t>
  </si>
  <si>
    <t xml:space="preserve">991004817699702656</t>
  </si>
  <si>
    <t xml:space="preserve">2266402350002656</t>
  </si>
  <si>
    <t xml:space="preserve">9780814791899</t>
  </si>
  <si>
    <t xml:space="preserve">32285000266949</t>
  </si>
  <si>
    <t xml:space="preserve">893882985</t>
  </si>
  <si>
    <t xml:space="preserve">BD331 .G495</t>
  </si>
  <si>
    <t xml:space="preserve">0                      BD 0331000G  495</t>
  </si>
  <si>
    <t xml:space="preserve">Being and some philosophers.</t>
  </si>
  <si>
    <t xml:space="preserve">Gilson, Étienne, 1884-1978.</t>
  </si>
  <si>
    <t xml:space="preserve">Toronto, Pontifical Institute of Mediaeval Studies. 1949.</t>
  </si>
  <si>
    <t xml:space="preserve">2009-06-15</t>
  </si>
  <si>
    <t xml:space="preserve">2010-06-30</t>
  </si>
  <si>
    <t xml:space="preserve">1939008:eng</t>
  </si>
  <si>
    <t xml:space="preserve">1349583</t>
  </si>
  <si>
    <t xml:space="preserve">991003710689702656</t>
  </si>
  <si>
    <t xml:space="preserve">2257838260002656</t>
  </si>
  <si>
    <t xml:space="preserve">32285000270081</t>
  </si>
  <si>
    <t xml:space="preserve">893246656</t>
  </si>
  <si>
    <t xml:space="preserve">1990-07-13</t>
  </si>
  <si>
    <t xml:space="preserve">32285000224781</t>
  </si>
  <si>
    <t xml:space="preserve">893228362</t>
  </si>
  <si>
    <t xml:space="preserve">BD331 .G495 1952</t>
  </si>
  <si>
    <t xml:space="preserve">0                      BD 0331000G  495         1952</t>
  </si>
  <si>
    <t xml:space="preserve">Toronto, Pontifical Institute of Mediaeval Studies, 1952, c1949.</t>
  </si>
  <si>
    <t xml:space="preserve">2d ed., corr. and enl.</t>
  </si>
  <si>
    <t xml:space="preserve">onc</t>
  </si>
  <si>
    <t xml:space="preserve">977373</t>
  </si>
  <si>
    <t xml:space="preserve">991003440849702656</t>
  </si>
  <si>
    <t xml:space="preserve">2258433680002656</t>
  </si>
  <si>
    <t xml:space="preserve">32285000224799</t>
  </si>
  <si>
    <t xml:space="preserve">893518478</t>
  </si>
  <si>
    <t xml:space="preserve">BD331 .P5</t>
  </si>
  <si>
    <t xml:space="preserve">0                      BD 0331000P  5</t>
  </si>
  <si>
    <t xml:space="preserve">Philosophies of existence ancient and medieval / Edited by Parviz Morewedge.</t>
  </si>
  <si>
    <t xml:space="preserve">New York : Fordham University Press, 1982.</t>
  </si>
  <si>
    <t xml:space="preserve">31708814:eng</t>
  </si>
  <si>
    <t xml:space="preserve">8373158</t>
  </si>
  <si>
    <t xml:space="preserve">991005235389702656</t>
  </si>
  <si>
    <t xml:space="preserve">2268053810002656</t>
  </si>
  <si>
    <t xml:space="preserve">9780823210596</t>
  </si>
  <si>
    <t xml:space="preserve">32285000270305</t>
  </si>
  <si>
    <t xml:space="preserve">893795833</t>
  </si>
  <si>
    <t xml:space="preserve">BD372 .L83 1983</t>
  </si>
  <si>
    <t xml:space="preserve">0                      BD 0372000L  83          1983</t>
  </si>
  <si>
    <t xml:space="preserve">The genesis of modern process thought : a historical outline with bibliography / by George R. Lucas, Jr.</t>
  </si>
  <si>
    <t xml:space="preserve">Lucas, George R.</t>
  </si>
  <si>
    <t xml:space="preserve">Metuchen, N.J. : Scarecrow Press and the American Theological Library Association, 1983.</t>
  </si>
  <si>
    <t xml:space="preserve">ATLA bibliography series ; no. 7</t>
  </si>
  <si>
    <t xml:space="preserve">2004-11-20</t>
  </si>
  <si>
    <t xml:space="preserve">1998-04-27</t>
  </si>
  <si>
    <t xml:space="preserve">19922500:eng</t>
  </si>
  <si>
    <t xml:space="preserve">8762465</t>
  </si>
  <si>
    <t xml:space="preserve">991001913849702656</t>
  </si>
  <si>
    <t xml:space="preserve">2266786060002656</t>
  </si>
  <si>
    <t xml:space="preserve">9780810815896</t>
  </si>
  <si>
    <t xml:space="preserve">32285003392445</t>
  </si>
  <si>
    <t xml:space="preserve">893444856</t>
  </si>
  <si>
    <t xml:space="preserve">BD411 .F3 1959</t>
  </si>
  <si>
    <t xml:space="preserve">0                      BD 0411000F  3           1959</t>
  </si>
  <si>
    <t xml:space="preserve">Finite and infinite : a philosophical essay</t>
  </si>
  <si>
    <t xml:space="preserve">Farrer, Austin, 1904-1968.</t>
  </si>
  <si>
    <t xml:space="preserve">Westminster, [Eng.] : Dacre Press, [1959]</t>
  </si>
  <si>
    <t xml:space="preserve">[2d ed.]</t>
  </si>
  <si>
    <t xml:space="preserve">1999-08-18</t>
  </si>
  <si>
    <t xml:space="preserve">343734109:eng</t>
  </si>
  <si>
    <t xml:space="preserve">14020649</t>
  </si>
  <si>
    <t xml:space="preserve">991005407019702656</t>
  </si>
  <si>
    <t xml:space="preserve">2255166400002656</t>
  </si>
  <si>
    <t xml:space="preserve">32285000270636</t>
  </si>
  <si>
    <t xml:space="preserve">893527570</t>
  </si>
  <si>
    <t xml:space="preserve">BD418.3 .C63 1993</t>
  </si>
  <si>
    <t xml:space="preserve">0                      BD 0418300C  63          1993</t>
  </si>
  <si>
    <t xml:space="preserve">Conceptions of the human mind : essays in honor of George A. Miller / edited by Gilbert Harman.</t>
  </si>
  <si>
    <t xml:space="preserve">Hillsdale, N.J. : L. Erlbaum Associates, 1993.</t>
  </si>
  <si>
    <t xml:space="preserve">2001-04-09</t>
  </si>
  <si>
    <t xml:space="preserve">1996-06-05</t>
  </si>
  <si>
    <t xml:space="preserve">836812242:eng</t>
  </si>
  <si>
    <t xml:space="preserve">28256508</t>
  </si>
  <si>
    <t xml:space="preserve">991002197529702656</t>
  </si>
  <si>
    <t xml:space="preserve">2261637600002656</t>
  </si>
  <si>
    <t xml:space="preserve">9780805812343</t>
  </si>
  <si>
    <t xml:space="preserve">32285002188422</t>
  </si>
  <si>
    <t xml:space="preserve">893792140</t>
  </si>
  <si>
    <t xml:space="preserve">BD431 .B77</t>
  </si>
  <si>
    <t xml:space="preserve">0                      BD 0431000B  77</t>
  </si>
  <si>
    <t xml:space="preserve">The fate of man / edited with introductions and postscript.</t>
  </si>
  <si>
    <t xml:space="preserve">Brinton, Crane, 1898-1968, editor.</t>
  </si>
  <si>
    <t xml:space="preserve">New York : G. Braziller, 1961.</t>
  </si>
  <si>
    <t xml:space="preserve">1999-10-21</t>
  </si>
  <si>
    <t xml:space="preserve">1990-08-14</t>
  </si>
  <si>
    <t xml:space="preserve">5619219889:eng</t>
  </si>
  <si>
    <t xml:space="preserve">817671</t>
  </si>
  <si>
    <t xml:space="preserve">991003295379702656</t>
  </si>
  <si>
    <t xml:space="preserve">2269884760002656</t>
  </si>
  <si>
    <t xml:space="preserve">32285000271113</t>
  </si>
  <si>
    <t xml:space="preserve">893787174</t>
  </si>
  <si>
    <t xml:space="preserve">BD431 .C87 1955</t>
  </si>
  <si>
    <t xml:space="preserve">0                      BD 0431000C  87          1955</t>
  </si>
  <si>
    <t xml:space="preserve">The dignity of the human person / with a foreword by Francis Cardinal Spellman.</t>
  </si>
  <si>
    <t xml:space="preserve">Cronan, Edward Paul, 1913-</t>
  </si>
  <si>
    <t xml:space="preserve">New York : Philosophical Library, [1955]</t>
  </si>
  <si>
    <t xml:space="preserve">2006-10-20</t>
  </si>
  <si>
    <t xml:space="preserve">2248385:eng</t>
  </si>
  <si>
    <t xml:space="preserve">1349665</t>
  </si>
  <si>
    <t xml:space="preserve">991003710819702656</t>
  </si>
  <si>
    <t xml:space="preserve">2258002230002656</t>
  </si>
  <si>
    <t xml:space="preserve">32285000271154</t>
  </si>
  <si>
    <t xml:space="preserve">893422858</t>
  </si>
  <si>
    <t xml:space="preserve">BD431 .D846</t>
  </si>
  <si>
    <t xml:space="preserve">0                      BD 0431000D  846</t>
  </si>
  <si>
    <t xml:space="preserve">Time and myth / [by] John S. Dunne.</t>
  </si>
  <si>
    <t xml:space="preserve">Garden City, N.Y. : Doubleday, 1973.</t>
  </si>
  <si>
    <t xml:space="preserve">1992-04-18</t>
  </si>
  <si>
    <t xml:space="preserve">430744:eng</t>
  </si>
  <si>
    <t xml:space="preserve">708502</t>
  </si>
  <si>
    <t xml:space="preserve">991003172909702656</t>
  </si>
  <si>
    <t xml:space="preserve">2269499390002656</t>
  </si>
  <si>
    <t xml:space="preserve">9780385034241</t>
  </si>
  <si>
    <t xml:space="preserve">32285000271170</t>
  </si>
  <si>
    <t xml:space="preserve">893686254</t>
  </si>
  <si>
    <t xml:space="preserve">BD443.5 .J65 1990</t>
  </si>
  <si>
    <t xml:space="preserve">0                      BD 0443500J  65          1990</t>
  </si>
  <si>
    <t xml:space="preserve">Poverty and the human condition : a philosophical inquiry / John D. Jones.</t>
  </si>
  <si>
    <t xml:space="preserve">Jones, John D., 1947-</t>
  </si>
  <si>
    <t xml:space="preserve">Problems in contemporary philosophy ; v. 26</t>
  </si>
  <si>
    <t xml:space="preserve">2009-09-09</t>
  </si>
  <si>
    <t xml:space="preserve">1994-11-22</t>
  </si>
  <si>
    <t xml:space="preserve">199076975:eng</t>
  </si>
  <si>
    <t xml:space="preserve">22182954</t>
  </si>
  <si>
    <t xml:space="preserve">991001751539702656</t>
  </si>
  <si>
    <t xml:space="preserve">2257383690002656</t>
  </si>
  <si>
    <t xml:space="preserve">9780889462731</t>
  </si>
  <si>
    <t xml:space="preserve">32285001959468</t>
  </si>
  <si>
    <t xml:space="preserve">893791673</t>
  </si>
  <si>
    <t xml:space="preserve">BD444 .C37</t>
  </si>
  <si>
    <t xml:space="preserve">0                      BD 0444000C  37</t>
  </si>
  <si>
    <t xml:space="preserve">Death and society : a book of readings and sources / [edited by] James P. Carse, Arlene B. Dallery.</t>
  </si>
  <si>
    <t xml:space="preserve">New York : Harcourt Brace Jovanovich, c1977.</t>
  </si>
  <si>
    <t xml:space="preserve">1999-04-03</t>
  </si>
  <si>
    <t xml:space="preserve">497670831:eng</t>
  </si>
  <si>
    <t xml:space="preserve">3266633</t>
  </si>
  <si>
    <t xml:space="preserve">991004391469702656</t>
  </si>
  <si>
    <t xml:space="preserve">2256304730002656</t>
  </si>
  <si>
    <t xml:space="preserve">9780155172111</t>
  </si>
  <si>
    <t xml:space="preserve">32285000272392</t>
  </si>
  <si>
    <t xml:space="preserve">893430010</t>
  </si>
  <si>
    <t xml:space="preserve">BD444 .F483</t>
  </si>
  <si>
    <t xml:space="preserve">0                      BD 0444000F  483</t>
  </si>
  <si>
    <t xml:space="preserve">Being and death : an outline of integrationist philosophy / translated from the Spanish with extensive revisions by the author.</t>
  </si>
  <si>
    <t xml:space="preserve">Ferrater Mora, José, 1912-1991.</t>
  </si>
  <si>
    <t xml:space="preserve">Berkeley : University of California Press, 1965.</t>
  </si>
  <si>
    <t xml:space="preserve">2007-05-03</t>
  </si>
  <si>
    <t xml:space="preserve">1990-08-15</t>
  </si>
  <si>
    <t xml:space="preserve">366906418:eng</t>
  </si>
  <si>
    <t xml:space="preserve">762002</t>
  </si>
  <si>
    <t xml:space="preserve">991003237839702656</t>
  </si>
  <si>
    <t xml:space="preserve">2265423740002656</t>
  </si>
  <si>
    <t xml:space="preserve">32285000272434</t>
  </si>
  <si>
    <t xml:space="preserve">893711174</t>
  </si>
  <si>
    <t xml:space="preserve">BD444 .G66 1981</t>
  </si>
  <si>
    <t xml:space="preserve">0                      BD 0444000G  66          1981</t>
  </si>
  <si>
    <t xml:space="preserve">Death and the creative life : conversations with prominent artists and scientists / Lisl Marburg Goodman.</t>
  </si>
  <si>
    <t xml:space="preserve">Goodman, Lisl Marburg.</t>
  </si>
  <si>
    <t xml:space="preserve">New York : Springer Pub. Co., c1981.</t>
  </si>
  <si>
    <t xml:space="preserve">The Springer series on death and suicide ; 4</t>
  </si>
  <si>
    <t xml:space="preserve">2002-03-25</t>
  </si>
  <si>
    <t xml:space="preserve">905395391:eng</t>
  </si>
  <si>
    <t xml:space="preserve">7282815</t>
  </si>
  <si>
    <t xml:space="preserve">991005100499702656</t>
  </si>
  <si>
    <t xml:space="preserve">2257781900002656</t>
  </si>
  <si>
    <t xml:space="preserve">9780826135001</t>
  </si>
  <si>
    <t xml:space="preserve">32285000272459</t>
  </si>
  <si>
    <t xml:space="preserve">893236274</t>
  </si>
  <si>
    <t xml:space="preserve">BD444 .L377</t>
  </si>
  <si>
    <t xml:space="preserve">0                      BD 0444000L  377</t>
  </si>
  <si>
    <t xml:space="preserve">Language, metaphysics, and death / edited by John Donnelly.</t>
  </si>
  <si>
    <t xml:space="preserve">New York : Fordham University Press, 1978.</t>
  </si>
  <si>
    <t xml:space="preserve">1020479:eng</t>
  </si>
  <si>
    <t xml:space="preserve">4565500</t>
  </si>
  <si>
    <t xml:space="preserve">991004680669702656</t>
  </si>
  <si>
    <t xml:space="preserve">2264205400002656</t>
  </si>
  <si>
    <t xml:space="preserve">9780823210169</t>
  </si>
  <si>
    <t xml:space="preserve">32285000272491</t>
  </si>
  <si>
    <t xml:space="preserve">893901609</t>
  </si>
  <si>
    <t xml:space="preserve">BD450 .B394</t>
  </si>
  <si>
    <t xml:space="preserve">0                      BD 0450000B  394</t>
  </si>
  <si>
    <t xml:space="preserve">Escape from evil / Ernest Becker.</t>
  </si>
  <si>
    <t xml:space="preserve">Becker, Ernest.</t>
  </si>
  <si>
    <t xml:space="preserve">New York : Free Press, [1975]</t>
  </si>
  <si>
    <t xml:space="preserve">2002-04-27</t>
  </si>
  <si>
    <t xml:space="preserve">1996-07-19</t>
  </si>
  <si>
    <t xml:space="preserve">400365:eng</t>
  </si>
  <si>
    <t xml:space="preserve">1531747</t>
  </si>
  <si>
    <t xml:space="preserve">991003807689702656</t>
  </si>
  <si>
    <t xml:space="preserve">2271929960002656</t>
  </si>
  <si>
    <t xml:space="preserve">9780029023006</t>
  </si>
  <si>
    <t xml:space="preserve">32285002231438</t>
  </si>
  <si>
    <t xml:space="preserve">893781437</t>
  </si>
  <si>
    <t xml:space="preserve">BD450 .B59 1987</t>
  </si>
  <si>
    <t xml:space="preserve">0                      BD 0450000B  59          1987</t>
  </si>
  <si>
    <t xml:space="preserve">The Book of the self : person, pretext, and process / Polly Young-Eisendrath and James A. Hall, editors.</t>
  </si>
  <si>
    <t xml:space="preserve">New York : New York University Press, c1987.</t>
  </si>
  <si>
    <t xml:space="preserve">2002-05-30</t>
  </si>
  <si>
    <t xml:space="preserve">836717842:eng</t>
  </si>
  <si>
    <t xml:space="preserve">15548874</t>
  </si>
  <si>
    <t xml:space="preserve">991001035619702656</t>
  </si>
  <si>
    <t xml:space="preserve">2261249690002656</t>
  </si>
  <si>
    <t xml:space="preserve">9780814796641</t>
  </si>
  <si>
    <t xml:space="preserve">32285000273614</t>
  </si>
  <si>
    <t xml:space="preserve">893608492</t>
  </si>
  <si>
    <t xml:space="preserve">BD450 .D43 1981</t>
  </si>
  <si>
    <t xml:space="preserve">0                      BD 0450000D  43          1981</t>
  </si>
  <si>
    <t xml:space="preserve">Reason and dignity / Raymond Dennehy.</t>
  </si>
  <si>
    <t xml:space="preserve">Dennehy, Raymond.</t>
  </si>
  <si>
    <t xml:space="preserve">Washington, D.C. : University Press of America, c1981.</t>
  </si>
  <si>
    <t xml:space="preserve">1999-05-17</t>
  </si>
  <si>
    <t xml:space="preserve">29740073:eng</t>
  </si>
  <si>
    <t xml:space="preserve">7737251</t>
  </si>
  <si>
    <t xml:space="preserve">991005153799702656</t>
  </si>
  <si>
    <t xml:space="preserve">2259579780002656</t>
  </si>
  <si>
    <t xml:space="preserve">9780819118981</t>
  </si>
  <si>
    <t xml:space="preserve">32285000273630</t>
  </si>
  <si>
    <t xml:space="preserve">893801826</t>
  </si>
  <si>
    <t xml:space="preserve">BD450 .J585</t>
  </si>
  <si>
    <t xml:space="preserve">0                      BD 0450000J  585</t>
  </si>
  <si>
    <t xml:space="preserve">The problem of the self [by] Henry W. Johnstone, Jr.</t>
  </si>
  <si>
    <t xml:space="preserve">Johnstone, Henry W.</t>
  </si>
  <si>
    <t xml:space="preserve">University Park, Pennsylvania State University Press [1970]</t>
  </si>
  <si>
    <t xml:space="preserve">2001-04-16</t>
  </si>
  <si>
    <t xml:space="preserve">1321087:eng</t>
  </si>
  <si>
    <t xml:space="preserve">96307</t>
  </si>
  <si>
    <t xml:space="preserve">991000586979702656</t>
  </si>
  <si>
    <t xml:space="preserve">2271310440002656</t>
  </si>
  <si>
    <t xml:space="preserve">9780271001029</t>
  </si>
  <si>
    <t xml:space="preserve">32285002231677</t>
  </si>
  <si>
    <t xml:space="preserve">893345794</t>
  </si>
  <si>
    <t xml:space="preserve">BD450 .K4 1972</t>
  </si>
  <si>
    <t xml:space="preserve">0                      BD 0450000K  4           1972</t>
  </si>
  <si>
    <t xml:space="preserve">Readings in the philosophy of man / edited by William L. Kelly and Andrew Tallon.</t>
  </si>
  <si>
    <t xml:space="preserve">Kelly, William L., compiler.</t>
  </si>
  <si>
    <t xml:space="preserve">New York : McGraw-Hill, c1972.</t>
  </si>
  <si>
    <t xml:space="preserve">2007-09-11</t>
  </si>
  <si>
    <t xml:space="preserve">1347076:eng</t>
  </si>
  <si>
    <t xml:space="preserve">356018</t>
  </si>
  <si>
    <t xml:space="preserve">991002461489702656</t>
  </si>
  <si>
    <t xml:space="preserve">2265139760002656</t>
  </si>
  <si>
    <t xml:space="preserve">32285000273697</t>
  </si>
  <si>
    <t xml:space="preserve">893329110</t>
  </si>
  <si>
    <t xml:space="preserve">BD450 .K46 1988</t>
  </si>
  <si>
    <t xml:space="preserve">0                      BD 0450000K  46          1988</t>
  </si>
  <si>
    <t xml:space="preserve">The self / by Anthony Kenny.</t>
  </si>
  <si>
    <t xml:space="preserve">Kenny, Anthony, 1931-</t>
  </si>
  <si>
    <t xml:space="preserve">Milwaukee, Wis. : Marquette University Press, 1988.</t>
  </si>
  <si>
    <t xml:space="preserve">The Aquinas lecture ; 1988</t>
  </si>
  <si>
    <t xml:space="preserve">2004-03-11</t>
  </si>
  <si>
    <t xml:space="preserve">137859105:eng</t>
  </si>
  <si>
    <t xml:space="preserve">17843286</t>
  </si>
  <si>
    <t xml:space="preserve">991001273339702656</t>
  </si>
  <si>
    <t xml:space="preserve">2259902610002656</t>
  </si>
  <si>
    <t xml:space="preserve">9780874621556</t>
  </si>
  <si>
    <t xml:space="preserve">32285000273705</t>
  </si>
  <si>
    <t xml:space="preserve">893684211</t>
  </si>
  <si>
    <t xml:space="preserve">BD450 .L24813</t>
  </si>
  <si>
    <t xml:space="preserve">0                      BD 0450000L  24813</t>
  </si>
  <si>
    <t xml:space="preserve">Philosophical anthropology. Translated by David J. Parent.</t>
  </si>
  <si>
    <t xml:space="preserve">Landmann, Michael, 1913-</t>
  </si>
  <si>
    <t xml:space="preserve">Philadelphia, Westminster Press [1974]</t>
  </si>
  <si>
    <t xml:space="preserve">2009-06-22</t>
  </si>
  <si>
    <t xml:space="preserve">4820495894:eng</t>
  </si>
  <si>
    <t xml:space="preserve">763607</t>
  </si>
  <si>
    <t xml:space="preserve">991003240759702656</t>
  </si>
  <si>
    <t xml:space="preserve">2266600890002656</t>
  </si>
  <si>
    <t xml:space="preserve">9780664209957</t>
  </si>
  <si>
    <t xml:space="preserve">32285002231719</t>
  </si>
  <si>
    <t xml:space="preserve">893239996</t>
  </si>
  <si>
    <t xml:space="preserve">BD450 .L36</t>
  </si>
  <si>
    <t xml:space="preserve">0                      BD 0450000L  36</t>
  </si>
  <si>
    <t xml:space="preserve">Motive and intention; an essay in the appreciation of action.</t>
  </si>
  <si>
    <t xml:space="preserve">Lawrence, Roy.</t>
  </si>
  <si>
    <t xml:space="preserve">Evanston [Ill.] Northwestern University Press, 1972.</t>
  </si>
  <si>
    <t xml:space="preserve">197321751:eng</t>
  </si>
  <si>
    <t xml:space="preserve">402696</t>
  </si>
  <si>
    <t xml:space="preserve">991002694099702656</t>
  </si>
  <si>
    <t xml:space="preserve">2265526270002656</t>
  </si>
  <si>
    <t xml:space="preserve">9780810103764</t>
  </si>
  <si>
    <t xml:space="preserve">32285002231727</t>
  </si>
  <si>
    <t xml:space="preserve">893245515</t>
  </si>
  <si>
    <t xml:space="preserve">BD450 .P29 1971</t>
  </si>
  <si>
    <t xml:space="preserve">0                      BD 0450000P  29          1971</t>
  </si>
  <si>
    <t xml:space="preserve">The perfectibility of man [by] John Passmore.</t>
  </si>
  <si>
    <t xml:space="preserve">Passmore, John Arthur.</t>
  </si>
  <si>
    <t xml:space="preserve">New York, Scribner Sons [1971, c1970]</t>
  </si>
  <si>
    <t xml:space="preserve">2008-03-18</t>
  </si>
  <si>
    <t xml:space="preserve">1996-07-22</t>
  </si>
  <si>
    <t xml:space="preserve">1235045:eng</t>
  </si>
  <si>
    <t xml:space="preserve">121410</t>
  </si>
  <si>
    <t xml:space="preserve">991000679909702656</t>
  </si>
  <si>
    <t xml:space="preserve">2262447160002656</t>
  </si>
  <si>
    <t xml:space="preserve">32285002231842</t>
  </si>
  <si>
    <t xml:space="preserve">893315143</t>
  </si>
  <si>
    <t xml:space="preserve">BD450 .R473 1986, v.2, pt. 1</t>
  </si>
  <si>
    <t xml:space="preserve">0                      BD 0450000R  473         1986                                        v.2, pt. 1</t>
  </si>
  <si>
    <t xml:space="preserve">Fallible man / Paul Ricoeur ; revised translation by Charles A. Kelbley ; introduction by Walter J. Lowe.</t>
  </si>
  <si>
    <t xml:space="preserve">V.2  PT. 1</t>
  </si>
  <si>
    <t xml:space="preserve">New York : Fordham University Press, 1986.</t>
  </si>
  <si>
    <t xml:space="preserve">The philosophy of the will ; [2, pt. 1]</t>
  </si>
  <si>
    <t xml:space="preserve">1992-07-14</t>
  </si>
  <si>
    <t xml:space="preserve">1020334:eng</t>
  </si>
  <si>
    <t xml:space="preserve">15092393</t>
  </si>
  <si>
    <t xml:space="preserve">991000989499702656</t>
  </si>
  <si>
    <t xml:space="preserve">2261162230002656</t>
  </si>
  <si>
    <t xml:space="preserve">9780823211517</t>
  </si>
  <si>
    <t xml:space="preserve">32285000273804</t>
  </si>
  <si>
    <t xml:space="preserve">893803254</t>
  </si>
  <si>
    <t xml:space="preserve">BD450 .R619 1986</t>
  </si>
  <si>
    <t xml:space="preserve">0                      BD 0450000R  619         1986</t>
  </si>
  <si>
    <t xml:space="preserve">The thinking self / Jay F. Rosenberg.</t>
  </si>
  <si>
    <t xml:space="preserve">Rosenberg, Jay F.</t>
  </si>
  <si>
    <t xml:space="preserve">Philadelphia : Temple University Press, 1986.</t>
  </si>
  <si>
    <t xml:space="preserve">1999-02-13</t>
  </si>
  <si>
    <t xml:space="preserve">6903087:eng</t>
  </si>
  <si>
    <t xml:space="preserve">13359623</t>
  </si>
  <si>
    <t xml:space="preserve">991000817259702656</t>
  </si>
  <si>
    <t xml:space="preserve">2261607660002656</t>
  </si>
  <si>
    <t xml:space="preserve">9780877224341</t>
  </si>
  <si>
    <t xml:space="preserve">32285000273812</t>
  </si>
  <si>
    <t xml:space="preserve">893333806</t>
  </si>
  <si>
    <t xml:space="preserve">BD450 .S46</t>
  </si>
  <si>
    <t xml:space="preserve">0                      BD 0450000S  46</t>
  </si>
  <si>
    <t xml:space="preserve">Self-knowledge and self-identity.</t>
  </si>
  <si>
    <t xml:space="preserve">Shoemaker, Sydney.</t>
  </si>
  <si>
    <t xml:space="preserve">Ithaca, N.Y. : Cornell University Press, [1963]</t>
  </si>
  <si>
    <t xml:space="preserve">Contemporary philosophy</t>
  </si>
  <si>
    <t xml:space="preserve">2002-04-20</t>
  </si>
  <si>
    <t xml:space="preserve">1992-08-13</t>
  </si>
  <si>
    <t xml:space="preserve">1611515:eng</t>
  </si>
  <si>
    <t xml:space="preserve">653676</t>
  </si>
  <si>
    <t xml:space="preserve">991003105439702656</t>
  </si>
  <si>
    <t xml:space="preserve">2264099920002656</t>
  </si>
  <si>
    <t xml:space="preserve">32285001244127</t>
  </si>
  <si>
    <t xml:space="preserve">893498950</t>
  </si>
  <si>
    <t xml:space="preserve">BD450 .S818</t>
  </si>
  <si>
    <t xml:space="preserve">0                      BD 0450000S  818</t>
  </si>
  <si>
    <t xml:space="preserve">The Study of human nature : readings / selected, edited, and introduced by Leslie Stevenson.</t>
  </si>
  <si>
    <t xml:space="preserve">2007-04-17</t>
  </si>
  <si>
    <t xml:space="preserve">793045700:eng</t>
  </si>
  <si>
    <t xml:space="preserve">6446716</t>
  </si>
  <si>
    <t xml:space="preserve">991004984449702656</t>
  </si>
  <si>
    <t xml:space="preserve">2255923320002656</t>
  </si>
  <si>
    <t xml:space="preserve">9780195028270</t>
  </si>
  <si>
    <t xml:space="preserve">32285000273838</t>
  </si>
  <si>
    <t xml:space="preserve">893326011</t>
  </si>
  <si>
    <t xml:space="preserve">BD450.T28 A2 1973</t>
  </si>
  <si>
    <t xml:space="preserve">0                      BD 0450000T  28                 A  2           1973</t>
  </si>
  <si>
    <t xml:space="preserve">Action and purpose.</t>
  </si>
  <si>
    <t xml:space="preserve">Taylor, Richard, 1919-2003.</t>
  </si>
  <si>
    <t xml:space="preserve">New York, Humanities Press, 1973 [c1966]</t>
  </si>
  <si>
    <t xml:space="preserve">1997-06-23</t>
  </si>
  <si>
    <t xml:space="preserve">118071614:eng</t>
  </si>
  <si>
    <t xml:space="preserve">662211</t>
  </si>
  <si>
    <t xml:space="preserve">991003116859702656</t>
  </si>
  <si>
    <t xml:space="preserve">2269553410002656</t>
  </si>
  <si>
    <t xml:space="preserve">9780391003187</t>
  </si>
  <si>
    <t xml:space="preserve">32285002828779</t>
  </si>
  <si>
    <t xml:space="preserve">893498960</t>
  </si>
  <si>
    <t xml:space="preserve">BD495 .F87 1987</t>
  </si>
  <si>
    <t xml:space="preserve">0                      BD 0495000F  87          1987</t>
  </si>
  <si>
    <t xml:space="preserve">The Greek cosmologists / David Furley.</t>
  </si>
  <si>
    <t xml:space="preserve">Furley, David J.</t>
  </si>
  <si>
    <t xml:space="preserve">Cambridge ; New York : Cambridge University Press, 1987-</t>
  </si>
  <si>
    <t xml:space="preserve">1998-02-01</t>
  </si>
  <si>
    <t xml:space="preserve">1990-10-09</t>
  </si>
  <si>
    <t xml:space="preserve">8729733:eng</t>
  </si>
  <si>
    <t xml:space="preserve">14376739</t>
  </si>
  <si>
    <t xml:space="preserve">991000937549702656</t>
  </si>
  <si>
    <t xml:space="preserve">2264015340002656</t>
  </si>
  <si>
    <t xml:space="preserve">9780521333283</t>
  </si>
  <si>
    <t xml:space="preserve">32285000279645</t>
  </si>
  <si>
    <t xml:space="preserve">893340021</t>
  </si>
  <si>
    <t xml:space="preserve">BD495.5 .D832513 1985</t>
  </si>
  <si>
    <t xml:space="preserve">0                      BD 0495500D  832513      1985</t>
  </si>
  <si>
    <t xml:space="preserve">Medieval cosmology : theories of infinity, place, time, void, and the plurality of worlds / Pierre Duhem ; edited and translated by Roger Ariew.</t>
  </si>
  <si>
    <t xml:space="preserve">Duhem, Pierre Maurice Marie, 1861-1916.</t>
  </si>
  <si>
    <t xml:space="preserve">Chicago : University of Chicago Press, 1985.</t>
  </si>
  <si>
    <t xml:space="preserve">2007-11-11</t>
  </si>
  <si>
    <t xml:space="preserve">1990-07-12</t>
  </si>
  <si>
    <t xml:space="preserve">1153275601:eng</t>
  </si>
  <si>
    <t xml:space="preserve">12080192</t>
  </si>
  <si>
    <t xml:space="preserve">991000635039702656</t>
  </si>
  <si>
    <t xml:space="preserve">2268012160002656</t>
  </si>
  <si>
    <t xml:space="preserve">9780226169224</t>
  </si>
  <si>
    <t xml:space="preserve">32285000235167</t>
  </si>
  <si>
    <t xml:space="preserve">893601928</t>
  </si>
  <si>
    <t xml:space="preserve">BD511 .D67 1956</t>
  </si>
  <si>
    <t xml:space="preserve">0                      BD 0511000D  67          1956</t>
  </si>
  <si>
    <t xml:space="preserve">Cosmology, an introduction to the Thomistic philosophy of nature.</t>
  </si>
  <si>
    <t xml:space="preserve">Dougherty, Kenneth F. (Kenneth Francis), 1917-</t>
  </si>
  <si>
    <t xml:space="preserve">Peekskill, N.Y., Graymoor Press, 1956.</t>
  </si>
  <si>
    <t xml:space="preserve">[3d ed.]</t>
  </si>
  <si>
    <t xml:space="preserve">1854001:eng</t>
  </si>
  <si>
    <t xml:space="preserve">878194</t>
  </si>
  <si>
    <t xml:space="preserve">991003346329702656</t>
  </si>
  <si>
    <t xml:space="preserve">2272041840002656</t>
  </si>
  <si>
    <t xml:space="preserve">32285002232089</t>
  </si>
  <si>
    <t xml:space="preserve">893352798</t>
  </si>
  <si>
    <t xml:space="preserve">BD541 .S34</t>
  </si>
  <si>
    <t xml:space="preserve">0                      BD 0541000S  34</t>
  </si>
  <si>
    <t xml:space="preserve">The gift : creation / by Kenneth L. Schmitz.</t>
  </si>
  <si>
    <t xml:space="preserve">Schmitz, Kenneth L.</t>
  </si>
  <si>
    <t xml:space="preserve">Milwaukee : Marquette University Press, 1982.</t>
  </si>
  <si>
    <t xml:space="preserve">The Aquinas lecture ; 1982</t>
  </si>
  <si>
    <t xml:space="preserve">1996-10-11</t>
  </si>
  <si>
    <t xml:space="preserve">1033376:eng</t>
  </si>
  <si>
    <t xml:space="preserve">8475764</t>
  </si>
  <si>
    <t xml:space="preserve">991005222439702656</t>
  </si>
  <si>
    <t xml:space="preserve">2265642790002656</t>
  </si>
  <si>
    <t xml:space="preserve">9780874621495</t>
  </si>
  <si>
    <t xml:space="preserve">32285000274190</t>
  </si>
  <si>
    <t xml:space="preserve">893896085</t>
  </si>
  <si>
    <t xml:space="preserve">BD573 .C6</t>
  </si>
  <si>
    <t xml:space="preserve">0                      BD 0573000C  6</t>
  </si>
  <si>
    <t xml:space="preserve">God in modern philosophy.</t>
  </si>
  <si>
    <t xml:space="preserve">Collins, James, 1917-1985.</t>
  </si>
  <si>
    <t xml:space="preserve">Chicago, H. Regnery Co., 1959.</t>
  </si>
  <si>
    <t xml:space="preserve">1463606:eng</t>
  </si>
  <si>
    <t xml:space="preserve">375363</t>
  </si>
  <si>
    <t xml:space="preserve">991002588799702656</t>
  </si>
  <si>
    <t xml:space="preserve">2264023880002656</t>
  </si>
  <si>
    <t xml:space="preserve">32285002232410</t>
  </si>
  <si>
    <t xml:space="preserve">893792642</t>
  </si>
  <si>
    <t xml:space="preserve">BD573 .H29</t>
  </si>
  <si>
    <t xml:space="preserve">0                      BD 0573000H  29</t>
  </si>
  <si>
    <t xml:space="preserve">The logic of perfection, and other essays in neoclassical metaphysics.</t>
  </si>
  <si>
    <t xml:space="preserve">Hartshorne, Charles, 1897-2000.</t>
  </si>
  <si>
    <t xml:space="preserve">LaSalle, Ill., Open Court Pub. Co. [1962]</t>
  </si>
  <si>
    <t xml:space="preserve">1999-10-15</t>
  </si>
  <si>
    <t xml:space="preserve">47437374:eng</t>
  </si>
  <si>
    <t xml:space="preserve">710740</t>
  </si>
  <si>
    <t xml:space="preserve">991003175829702656</t>
  </si>
  <si>
    <t xml:space="preserve">2262464750002656</t>
  </si>
  <si>
    <t xml:space="preserve">32285002232428</t>
  </si>
  <si>
    <t xml:space="preserve">893774475</t>
  </si>
  <si>
    <t xml:space="preserve">BD573 .H3</t>
  </si>
  <si>
    <t xml:space="preserve">0                      BD 0573000H  3</t>
  </si>
  <si>
    <t xml:space="preserve">Philosophers speak of God, by Charles Hartshorne and William L. Reese.</t>
  </si>
  <si>
    <t xml:space="preserve">Hartshorne, Charles, 1897-2000 editor.</t>
  </si>
  <si>
    <t xml:space="preserve">[Chicago] University of Chicago Press [1953]</t>
  </si>
  <si>
    <t xml:space="preserve">418527:eng</t>
  </si>
  <si>
    <t xml:space="preserve">375220</t>
  </si>
  <si>
    <t xml:space="preserve">991002581509702656</t>
  </si>
  <si>
    <t xml:space="preserve">2264080240002656</t>
  </si>
  <si>
    <t xml:space="preserve">32285002232436</t>
  </si>
  <si>
    <t xml:space="preserve">893409266</t>
  </si>
  <si>
    <t xml:space="preserve">BD573 .H4 1968</t>
  </si>
  <si>
    <t xml:space="preserve">0                      BD 0573000H  4           1968</t>
  </si>
  <si>
    <t xml:space="preserve">Christianity and paradox; critical studies in twentieth-century theology [by] Ronald W. Hepburn.</t>
  </si>
  <si>
    <t xml:space="preserve">Hepburn, Ronald W.</t>
  </si>
  <si>
    <t xml:space="preserve">New York, Pegasus [1968, c1958]</t>
  </si>
  <si>
    <t xml:space="preserve">2006-12-10</t>
  </si>
  <si>
    <t xml:space="preserve">1386542:eng</t>
  </si>
  <si>
    <t xml:space="preserve">316101</t>
  </si>
  <si>
    <t xml:space="preserve">991002296849702656</t>
  </si>
  <si>
    <t xml:space="preserve">2269489690002656</t>
  </si>
  <si>
    <t xml:space="preserve">32285002232444</t>
  </si>
  <si>
    <t xml:space="preserve">893892395</t>
  </si>
  <si>
    <t xml:space="preserve">BD591 .M32</t>
  </si>
  <si>
    <t xml:space="preserve">0                      BD 0591000M  32</t>
  </si>
  <si>
    <t xml:space="preserve">The cement of the universe; a study of causation [by] J. L. Mackie.</t>
  </si>
  <si>
    <t xml:space="preserve">Mackie, J. L. (John Leslie)</t>
  </si>
  <si>
    <t xml:space="preserve">Oxford, Clarendon Press, 1974.</t>
  </si>
  <si>
    <t xml:space="preserve">The Clarendon library of logic and philosophy</t>
  </si>
  <si>
    <t xml:space="preserve">2008-04-22</t>
  </si>
  <si>
    <t xml:space="preserve">1936837:eng</t>
  </si>
  <si>
    <t xml:space="preserve">976028</t>
  </si>
  <si>
    <t xml:space="preserve">991003439879702656</t>
  </si>
  <si>
    <t xml:space="preserve">2261429520002656</t>
  </si>
  <si>
    <t xml:space="preserve">9780198244059</t>
  </si>
  <si>
    <t xml:space="preserve">32285002232493</t>
  </si>
  <si>
    <t xml:space="preserve">893352824</t>
  </si>
  <si>
    <t xml:space="preserve">BD632 .A4 1966</t>
  </si>
  <si>
    <t xml:space="preserve">0                      BD 0632000A  4           1966</t>
  </si>
  <si>
    <t xml:space="preserve">Space, time, and Deity / with a new foreword by Dorothy Emmet.</t>
  </si>
  <si>
    <t xml:space="preserve">Alexander, Samuel, 1859-1938.</t>
  </si>
  <si>
    <t xml:space="preserve">New York : Dover Publications, [1966]</t>
  </si>
  <si>
    <t xml:space="preserve">Gifford lectures ; 1916-1918</t>
  </si>
  <si>
    <t xml:space="preserve">2002-12-01</t>
  </si>
  <si>
    <t xml:space="preserve">1458032:eng</t>
  </si>
  <si>
    <t xml:space="preserve">373899</t>
  </si>
  <si>
    <t xml:space="preserve">991002571889702656</t>
  </si>
  <si>
    <t xml:space="preserve">2261029930002656</t>
  </si>
  <si>
    <t xml:space="preserve">32285000281369</t>
  </si>
  <si>
    <t xml:space="preserve">893440282</t>
  </si>
  <si>
    <t xml:space="preserve">1995-03-15</t>
  </si>
  <si>
    <t xml:space="preserve">32285000281377</t>
  </si>
  <si>
    <t xml:space="preserve">893434035</t>
  </si>
  <si>
    <t xml:space="preserve">BD638 .G35 1978</t>
  </si>
  <si>
    <t xml:space="preserve">0                      BD 0638000G  35          1978</t>
  </si>
  <si>
    <t xml:space="preserve">The philosophy of time: a collection of essays; edited by Richard M. Gale.</t>
  </si>
  <si>
    <t xml:space="preserve">Gale, Richard M., 1932-, compiler.</t>
  </si>
  <si>
    <t xml:space="preserve">New Jersey, Humanities Press, 1978 [c1968]</t>
  </si>
  <si>
    <t xml:space="preserve">nj </t>
  </si>
  <si>
    <t xml:space="preserve">2004-09-07</t>
  </si>
  <si>
    <t xml:space="preserve">366599021:eng</t>
  </si>
  <si>
    <t xml:space="preserve">4609217</t>
  </si>
  <si>
    <t xml:space="preserve">991004690629702656</t>
  </si>
  <si>
    <t xml:space="preserve">2265576260002656</t>
  </si>
  <si>
    <t xml:space="preserve">9780391008953</t>
  </si>
  <si>
    <t xml:space="preserve">32285000235282</t>
  </si>
  <si>
    <t xml:space="preserve">893532696</t>
  </si>
  <si>
    <t xml:space="preserve">BD648 .M2</t>
  </si>
  <si>
    <t xml:space="preserve">0                      BD 0648000M  2</t>
  </si>
  <si>
    <t xml:space="preserve">The concept of matter. Contributors: Joseph Bobik [and others.</t>
  </si>
  <si>
    <t xml:space="preserve">McMullin, Ernan, 1924-2011, editor.</t>
  </si>
  <si>
    <t xml:space="preserve">Notre Dame, Ind.] University of Notre Dame Press [1963]</t>
  </si>
  <si>
    <t xml:space="preserve">2000-08-23</t>
  </si>
  <si>
    <t xml:space="preserve">9657364843:eng</t>
  </si>
  <si>
    <t xml:space="preserve">375284</t>
  </si>
  <si>
    <t xml:space="preserve">991005354959702656</t>
  </si>
  <si>
    <t xml:space="preserve">2264123940002656</t>
  </si>
  <si>
    <t xml:space="preserve">32285002232675</t>
  </si>
  <si>
    <t xml:space="preserve">893870937</t>
  </si>
  <si>
    <t xml:space="preserve">BD701 .E38 1954</t>
  </si>
  <si>
    <t xml:space="preserve">0                      BD 0701000E  38          1954</t>
  </si>
  <si>
    <t xml:space="preserve">The myth of the eternal return / translated from the French by Willard R. Trask.</t>
  </si>
  <si>
    <t xml:space="preserve">Eliade, Mircea, 1907-1986.</t>
  </si>
  <si>
    <t xml:space="preserve">[New York] : Pantheon Books, [c1954]</t>
  </si>
  <si>
    <t xml:space="preserve">Bollingen series ; 46</t>
  </si>
  <si>
    <t xml:space="preserve">2000-09-29</t>
  </si>
  <si>
    <t xml:space="preserve">4917751495:eng</t>
  </si>
  <si>
    <t xml:space="preserve">848294</t>
  </si>
  <si>
    <t xml:space="preserve">991003320619702656</t>
  </si>
  <si>
    <t xml:space="preserve">2268861820002656</t>
  </si>
  <si>
    <t xml:space="preserve">32285000281385</t>
  </si>
  <si>
    <t xml:space="preserve">893246243</t>
  </si>
  <si>
    <t xml:space="preserve">BC101 .B84</t>
  </si>
  <si>
    <t xml:space="preserve">0                      BC 0101000B  84</t>
  </si>
  <si>
    <t xml:space="preserve">Elementary modern logic / [by] Paul L. Brown and Walter E. Stuermann.</t>
  </si>
  <si>
    <t xml:space="preserve">Brown, Paul Llewellyn, 1920-</t>
  </si>
  <si>
    <t xml:space="preserve">New York : Ronald Press Co., [1965]</t>
  </si>
  <si>
    <t xml:space="preserve">BC </t>
  </si>
  <si>
    <t xml:space="preserve">1993-09-27</t>
  </si>
  <si>
    <t xml:space="preserve">1990-07-16</t>
  </si>
  <si>
    <t xml:space="preserve">2348744:eng</t>
  </si>
  <si>
    <t xml:space="preserve">1516395</t>
  </si>
  <si>
    <t xml:space="preserve">991003795349702656</t>
  </si>
  <si>
    <t xml:space="preserve">2262061010002656</t>
  </si>
  <si>
    <t xml:space="preserve">32285000189141</t>
  </si>
  <si>
    <t xml:space="preserve">893258876</t>
  </si>
  <si>
    <t xml:space="preserve">BC108 .B17 1957</t>
  </si>
  <si>
    <t xml:space="preserve">0                      BC 0108000B  17          1957</t>
  </si>
  <si>
    <t xml:space="preserve">Introduction to logic.</t>
  </si>
  <si>
    <t xml:space="preserve">Bachhuber, Andrew H.</t>
  </si>
  <si>
    <t xml:space="preserve">New York : Appleton-Century-Crofts, [1957]</t>
  </si>
  <si>
    <t xml:space="preserve">2006-12-15</t>
  </si>
  <si>
    <t xml:space="preserve">1990-08-16</t>
  </si>
  <si>
    <t xml:space="preserve">2493591:eng</t>
  </si>
  <si>
    <t xml:space="preserve">1636545</t>
  </si>
  <si>
    <t xml:space="preserve">991003848939702656</t>
  </si>
  <si>
    <t xml:space="preserve">2255996230002656</t>
  </si>
  <si>
    <t xml:space="preserve">32285000255850</t>
  </si>
  <si>
    <t xml:space="preserve">893722120</t>
  </si>
  <si>
    <t xml:space="preserve">BC108 .C67</t>
  </si>
  <si>
    <t xml:space="preserve">0                      BC 0108000C  67</t>
  </si>
  <si>
    <t xml:space="preserve">An introduction to logic and scientific method / by Morris R. Cohen and Ernest Nagel.</t>
  </si>
  <si>
    <t xml:space="preserve">Cohen, Morris R. (Morris Raphael), 1880-1947.</t>
  </si>
  <si>
    <t xml:space="preserve">New York : Harcourt, Brace and company, [c1934]</t>
  </si>
  <si>
    <t xml:space="preserve">2004-06-10</t>
  </si>
  <si>
    <t xml:space="preserve">828471:eng</t>
  </si>
  <si>
    <t xml:space="preserve">166297</t>
  </si>
  <si>
    <t xml:space="preserve">991000941619702656</t>
  </si>
  <si>
    <t xml:space="preserve">2271308720002656</t>
  </si>
  <si>
    <t xml:space="preserve">32285000255942</t>
  </si>
  <si>
    <t xml:space="preserve">893534366</t>
  </si>
  <si>
    <t xml:space="preserve">BC108 .C7</t>
  </si>
  <si>
    <t xml:space="preserve">0                      BC 0108000C  7</t>
  </si>
  <si>
    <t xml:space="preserve">A brief text-book of logic and mental philosophy.</t>
  </si>
  <si>
    <t xml:space="preserve">Coppens, Charles, 1835-1920.</t>
  </si>
  <si>
    <t xml:space="preserve">New York : Schwartz, Kirwin &amp; Fauss, [1891]</t>
  </si>
  <si>
    <t xml:space="preserve">1891</t>
  </si>
  <si>
    <t xml:space="preserve">1994-11-07</t>
  </si>
  <si>
    <t xml:space="preserve">14972729:eng</t>
  </si>
  <si>
    <t xml:space="preserve">33204800</t>
  </si>
  <si>
    <t xml:space="preserve">991004226199702656</t>
  </si>
  <si>
    <t xml:space="preserve">2256857910002656</t>
  </si>
  <si>
    <t xml:space="preserve">32285000255983</t>
  </si>
  <si>
    <t xml:space="preserve">893318954</t>
  </si>
  <si>
    <t xml:space="preserve">BC108 .O35</t>
  </si>
  <si>
    <t xml:space="preserve">0                      BC 0108000O  35</t>
  </si>
  <si>
    <t xml:space="preserve">Logic, the art of defining and reasoning.</t>
  </si>
  <si>
    <t xml:space="preserve">Oesterle, John A.</t>
  </si>
  <si>
    <t xml:space="preserve">New York : Prentice-Hall, 1952.</t>
  </si>
  <si>
    <t xml:space="preserve">2009-05-26</t>
  </si>
  <si>
    <t xml:space="preserve">2242804:eng</t>
  </si>
  <si>
    <t xml:space="preserve">1346778</t>
  </si>
  <si>
    <t xml:space="preserve">991003708479702656</t>
  </si>
  <si>
    <t xml:space="preserve">2258275660002656</t>
  </si>
  <si>
    <t xml:space="preserve">32285000256676</t>
  </si>
  <si>
    <t xml:space="preserve">893806115</t>
  </si>
  <si>
    <t xml:space="preserve">BC128 .H85 1971</t>
  </si>
  <si>
    <t xml:space="preserve">0                      BC 0128000H  85          1971</t>
  </si>
  <si>
    <t xml:space="preserve">Metalogic : an introduction to the metatheory of standard first order logic.</t>
  </si>
  <si>
    <t xml:space="preserve">Hunter, Geoffrey.</t>
  </si>
  <si>
    <t xml:space="preserve">Berkeley : University of California Press, 1971.</t>
  </si>
  <si>
    <t xml:space="preserve">2001-04-11</t>
  </si>
  <si>
    <t xml:space="preserve">1990-11-28</t>
  </si>
  <si>
    <t xml:space="preserve">885157:eng</t>
  </si>
  <si>
    <t xml:space="preserve">139234</t>
  </si>
  <si>
    <t xml:space="preserve">991000801809702656</t>
  </si>
  <si>
    <t xml:space="preserve">2260951890002656</t>
  </si>
  <si>
    <t xml:space="preserve">9780520018228</t>
  </si>
  <si>
    <t xml:space="preserve">32285000435080</t>
  </si>
  <si>
    <t xml:space="preserve">893327599</t>
  </si>
  <si>
    <t xml:space="preserve">BC135 .A5 1971</t>
  </si>
  <si>
    <t xml:space="preserve">0                      BC 0135000A  5           1971</t>
  </si>
  <si>
    <t xml:space="preserve">An introduction to Wittgenstein's Tractatus / [by] G.E.M. Anscombe.</t>
  </si>
  <si>
    <t xml:space="preserve">Anscombe, G. E. M. (Gertrude Elizabeth Margaret)</t>
  </si>
  <si>
    <t xml:space="preserve">Philadelphia : University of Pennsylvania Press, [1971]</t>
  </si>
  <si>
    <t xml:space="preserve">Pennsylvania paperback 1019.</t>
  </si>
  <si>
    <t xml:space="preserve">2007-11-14</t>
  </si>
  <si>
    <t xml:space="preserve">1990-03-01</t>
  </si>
  <si>
    <t xml:space="preserve">1916383:eng</t>
  </si>
  <si>
    <t xml:space="preserve">32769974</t>
  </si>
  <si>
    <t xml:space="preserve">991003438599702656</t>
  </si>
  <si>
    <t xml:space="preserve">2257864000002656</t>
  </si>
  <si>
    <t xml:space="preserve">32285000042761</t>
  </si>
  <si>
    <t xml:space="preserve">893611040</t>
  </si>
  <si>
    <t xml:space="preserve">BC135 .B7 1958</t>
  </si>
  <si>
    <t xml:space="preserve">0                      BC 0135000B  7           1958</t>
  </si>
  <si>
    <t xml:space="preserve">An investigation of the laws of thought : on which are founded the mathematical theories of logic and probabilities / by George Boole.</t>
  </si>
  <si>
    <t xml:space="preserve">Boole, George, 1815-1864.</t>
  </si>
  <si>
    <t xml:space="preserve">New York : Dover Publications, inc., [1958]</t>
  </si>
  <si>
    <t xml:space="preserve">2010-06-21</t>
  </si>
  <si>
    <t xml:space="preserve">495143:eng</t>
  </si>
  <si>
    <t xml:space="preserve">2757758</t>
  </si>
  <si>
    <t xml:space="preserve">991004233799702656</t>
  </si>
  <si>
    <t xml:space="preserve">2261215990002656</t>
  </si>
  <si>
    <t xml:space="preserve">32285000435155</t>
  </si>
  <si>
    <t xml:space="preserve">893349769</t>
  </si>
  <si>
    <t xml:space="preserve">BC135 .Q46 1965</t>
  </si>
  <si>
    <t xml:space="preserve">0                      BC 0135000Q  46          1965</t>
  </si>
  <si>
    <t xml:space="preserve">Elementary logic.</t>
  </si>
  <si>
    <t xml:space="preserve">Quine, W. V. (Willard Van Orman)</t>
  </si>
  <si>
    <t xml:space="preserve">New York : Harper &amp; Row, [1965]</t>
  </si>
  <si>
    <t xml:space="preserve">Harper torchbooks. The science library, TB577J</t>
  </si>
  <si>
    <t xml:space="preserve">2003-06-16</t>
  </si>
  <si>
    <t xml:space="preserve">1991-02-21</t>
  </si>
  <si>
    <t xml:space="preserve">259116:eng</t>
  </si>
  <si>
    <t xml:space="preserve">1017699</t>
  </si>
  <si>
    <t xml:space="preserve">991003474199702656</t>
  </si>
  <si>
    <t xml:space="preserve">2259042930002656</t>
  </si>
  <si>
    <t xml:space="preserve">32285000435353</t>
  </si>
  <si>
    <t xml:space="preserve">893868445</t>
  </si>
  <si>
    <t xml:space="preserve">BC135 A5</t>
  </si>
  <si>
    <t xml:space="preserve">0                      BC 0135000A  5</t>
  </si>
  <si>
    <t xml:space="preserve">An introduction to Wittgenstein's Tractatus.</t>
  </si>
  <si>
    <t xml:space="preserve">London : Hutchinson University Library, [1959]</t>
  </si>
  <si>
    <t xml:space="preserve">Hutchinson University Library. Philosophy</t>
  </si>
  <si>
    <t xml:space="preserve">3056095</t>
  </si>
  <si>
    <t xml:space="preserve">991004329769702656</t>
  </si>
  <si>
    <t xml:space="preserve">2265365320002656</t>
  </si>
  <si>
    <t xml:space="preserve">32285000435098</t>
  </si>
  <si>
    <t xml:space="preserve">893806937</t>
  </si>
  <si>
    <t xml:space="preserve">BC135.W52 S8</t>
  </si>
  <si>
    <t xml:space="preserve">0                      BC 0135000W  52                 S  8</t>
  </si>
  <si>
    <t xml:space="preserve">Wittgenstein's Tractatus : a critical exposition of its main lines of thought.</t>
  </si>
  <si>
    <t xml:space="preserve">Stenius, Erik.</t>
  </si>
  <si>
    <t xml:space="preserve">Ithaca, N.Y. : Cornell University Press, 1964, c1960.</t>
  </si>
  <si>
    <t xml:space="preserve">1995-01-31</t>
  </si>
  <si>
    <t xml:space="preserve">2550133:eng</t>
  </si>
  <si>
    <t xml:space="preserve">372945</t>
  </si>
  <si>
    <t xml:space="preserve">991002567759702656</t>
  </si>
  <si>
    <t xml:space="preserve">2261608660002656</t>
  </si>
  <si>
    <t xml:space="preserve">32285000435650</t>
  </si>
  <si>
    <t xml:space="preserve">893316989</t>
  </si>
  <si>
    <t xml:space="preserve">BC141 .K55</t>
  </si>
  <si>
    <t xml:space="preserve">0                      BC 0141000K  55</t>
  </si>
  <si>
    <t xml:space="preserve">Probability and induction.</t>
  </si>
  <si>
    <t xml:space="preserve">Kneale, W. C. (William Calvert)</t>
  </si>
  <si>
    <t xml:space="preserve">Oxford : Clarendon Press, 1949.</t>
  </si>
  <si>
    <t xml:space="preserve">1998-08-28</t>
  </si>
  <si>
    <t xml:space="preserve">48545417:eng</t>
  </si>
  <si>
    <t xml:space="preserve">907671</t>
  </si>
  <si>
    <t xml:space="preserve">991003371469702656</t>
  </si>
  <si>
    <t xml:space="preserve">2258445750002656</t>
  </si>
  <si>
    <t xml:space="preserve">32285000435775</t>
  </si>
  <si>
    <t xml:space="preserve">893422517</t>
  </si>
  <si>
    <t xml:space="preserve">BC141 .K9</t>
  </si>
  <si>
    <t xml:space="preserve">0                      BC 0141000K  9</t>
  </si>
  <si>
    <t xml:space="preserve">Probability and the logic of rational belief.</t>
  </si>
  <si>
    <t xml:space="preserve">Kyburg, Henry Ely, 1928-</t>
  </si>
  <si>
    <t xml:space="preserve">Middletown, Conn. : Wesleyan University Press, [1961]</t>
  </si>
  <si>
    <t xml:space="preserve">[1st ed.].</t>
  </si>
  <si>
    <t xml:space="preserve">1455588:eng</t>
  </si>
  <si>
    <t xml:space="preserve">373252</t>
  </si>
  <si>
    <t xml:space="preserve">991002569149702656</t>
  </si>
  <si>
    <t xml:space="preserve">2260999710002656</t>
  </si>
  <si>
    <t xml:space="preserve">32285000435783</t>
  </si>
  <si>
    <t xml:space="preserve">893798733</t>
  </si>
  <si>
    <t xml:space="preserve">BC15 .K55</t>
  </si>
  <si>
    <t xml:space="preserve">0                      BC 0015000K  55</t>
  </si>
  <si>
    <t xml:space="preserve">The development of logic / by William Kneale and Martha Kneale.</t>
  </si>
  <si>
    <t xml:space="preserve">Oxford, [Eng.] : Clarendon Press, 1962.</t>
  </si>
  <si>
    <t xml:space="preserve">2005-04-29</t>
  </si>
  <si>
    <t xml:space="preserve">1991-03-06</t>
  </si>
  <si>
    <t xml:space="preserve">180667:eng</t>
  </si>
  <si>
    <t xml:space="preserve">373178</t>
  </si>
  <si>
    <t xml:space="preserve">991002568699702656</t>
  </si>
  <si>
    <t xml:space="preserve">2261153040002656</t>
  </si>
  <si>
    <t xml:space="preserve">32285000526649</t>
  </si>
  <si>
    <t xml:space="preserve">893898932</t>
  </si>
  <si>
    <t xml:space="preserve">BC161.T4 N48 1992</t>
  </si>
  <si>
    <t xml:space="preserve">0                      BC 0161000T  4                  N  48          1992</t>
  </si>
  <si>
    <t xml:space="preserve">Inductive reasoning in the secondary classroom / by Gloria A. Neubert and James B. Binko.</t>
  </si>
  <si>
    <t xml:space="preserve">Neubert, Gloria A.</t>
  </si>
  <si>
    <t xml:space="preserve">Washington, D.C. : NEA Professional Library, National Education Association, c1992.</t>
  </si>
  <si>
    <t xml:space="preserve">NEA aspects of learning</t>
  </si>
  <si>
    <t xml:space="preserve">1994-07-12</t>
  </si>
  <si>
    <t xml:space="preserve">1992-03-17</t>
  </si>
  <si>
    <t xml:space="preserve">1075999:eng</t>
  </si>
  <si>
    <t xml:space="preserve">22887924</t>
  </si>
  <si>
    <t xml:space="preserve">991001820049702656</t>
  </si>
  <si>
    <t xml:space="preserve">2268700480002656</t>
  </si>
  <si>
    <t xml:space="preserve">9780810630109</t>
  </si>
  <si>
    <t xml:space="preserve">32285001000479</t>
  </si>
  <si>
    <t xml:space="preserve">893346813</t>
  </si>
  <si>
    <t xml:space="preserve">BC171 .M24</t>
  </si>
  <si>
    <t xml:space="preserve">0                      BC 0171000M  24</t>
  </si>
  <si>
    <t xml:space="preserve">Truth, probability and paradox : studies in philosophical logic / [by] J. L. Mackie.</t>
  </si>
  <si>
    <t xml:space="preserve">198957841:eng</t>
  </si>
  <si>
    <t xml:space="preserve">606019</t>
  </si>
  <si>
    <t xml:space="preserve">991003045329702656</t>
  </si>
  <si>
    <t xml:space="preserve">2263928140002656</t>
  </si>
  <si>
    <t xml:space="preserve">9780198244028</t>
  </si>
  <si>
    <t xml:space="preserve">32285000435890</t>
  </si>
  <si>
    <t xml:space="preserve">893598214</t>
  </si>
  <si>
    <t xml:space="preserve">BC175 .B813 1966</t>
  </si>
  <si>
    <t xml:space="preserve">0                      BC 0175000B  813         1966</t>
  </si>
  <si>
    <t xml:space="preserve">Sophisms on meaning and truth / [by] John Buridan. Translated and with an introd. by Theodore Kermit Scott.</t>
  </si>
  <si>
    <t xml:space="preserve">Buridan, Jean, 1300-1358.</t>
  </si>
  <si>
    <t xml:space="preserve">New York : Appleton-Century-Crofts, [1966]</t>
  </si>
  <si>
    <t xml:space="preserve">Century philosophy sourcebooks</t>
  </si>
  <si>
    <t xml:space="preserve">1999-02-14</t>
  </si>
  <si>
    <t xml:space="preserve">320385216:eng</t>
  </si>
  <si>
    <t xml:space="preserve">902125</t>
  </si>
  <si>
    <t xml:space="preserve">991003366269702656</t>
  </si>
  <si>
    <t xml:space="preserve">2262484900002656</t>
  </si>
  <si>
    <t xml:space="preserve">32285000435940</t>
  </si>
  <si>
    <t xml:space="preserve">893610975</t>
  </si>
  <si>
    <t xml:space="preserve">BC175 .H3 1970</t>
  </si>
  <si>
    <t xml:space="preserve">0                      BC 0175000H  3           1970</t>
  </si>
  <si>
    <t xml:space="preserve">Fallacies / by C. L. Hamblin.</t>
  </si>
  <si>
    <t xml:space="preserve">Hamblin, C. L. (Charles Leonard), 1922-1985.</t>
  </si>
  <si>
    <t xml:space="preserve">[London] : Methuen, [1970]</t>
  </si>
  <si>
    <t xml:space="preserve">2001-12-11</t>
  </si>
  <si>
    <t xml:space="preserve">5090549587:eng</t>
  </si>
  <si>
    <t xml:space="preserve">77094</t>
  </si>
  <si>
    <t xml:space="preserve">991000452749702656</t>
  </si>
  <si>
    <t xml:space="preserve">2256738200002656</t>
  </si>
  <si>
    <t xml:space="preserve">9780416145700</t>
  </si>
  <si>
    <t xml:space="preserve">32285000435965</t>
  </si>
  <si>
    <t xml:space="preserve">893327298</t>
  </si>
  <si>
    <t xml:space="preserve">BC177 .C66 1981</t>
  </si>
  <si>
    <t xml:space="preserve">0                      BC 0177000C  66          1981</t>
  </si>
  <si>
    <t xml:space="preserve">Reason and decision / Edited by the faculty of the Dept. of Philosophy, Bowling Green State University, John Ahrens ... [et al.] ; principal editors, Michael Bradie and Kenneth Sayre.</t>
  </si>
  <si>
    <t xml:space="preserve">Conference on Reason and Decision (1981 : Bowling Green State University)</t>
  </si>
  <si>
    <t xml:space="preserve">Bowling Green, Ohio : Applied Philosophy Program, Bowling Green State University, c1982.</t>
  </si>
  <si>
    <t xml:space="preserve">Bowling Green studies in applied philosophy ; v. 3</t>
  </si>
  <si>
    <t xml:space="preserve">427489574:eng</t>
  </si>
  <si>
    <t xml:space="preserve">8650525</t>
  </si>
  <si>
    <t xml:space="preserve">991000040679702656</t>
  </si>
  <si>
    <t xml:space="preserve">2272419700002656</t>
  </si>
  <si>
    <t xml:space="preserve">9780935756043</t>
  </si>
  <si>
    <t xml:space="preserve">32285000435999</t>
  </si>
  <si>
    <t xml:space="preserve">893339206</t>
  </si>
  <si>
    <t xml:space="preserve">BC177 .G6</t>
  </si>
  <si>
    <t xml:space="preserve">0                      BC 0177000G  6</t>
  </si>
  <si>
    <t xml:space="preserve">The logic of choice; an investigation of the concepts of rule and rationality.</t>
  </si>
  <si>
    <t xml:space="preserve">Gottlieb, Gidon.</t>
  </si>
  <si>
    <t xml:space="preserve">New York, Macmillan [1968]</t>
  </si>
  <si>
    <t xml:space="preserve">1991-11-23</t>
  </si>
  <si>
    <t xml:space="preserve">1480410:eng</t>
  </si>
  <si>
    <t xml:space="preserve">435984</t>
  </si>
  <si>
    <t xml:space="preserve">991001638429702656</t>
  </si>
  <si>
    <t xml:space="preserve">2269316100002656</t>
  </si>
  <si>
    <t xml:space="preserve">32285000436021</t>
  </si>
  <si>
    <t xml:space="preserve">893872651</t>
  </si>
  <si>
    <t xml:space="preserve">BC177 .P38413</t>
  </si>
  <si>
    <t xml:space="preserve">0                      BC 0177000P  38413</t>
  </si>
  <si>
    <t xml:space="preserve">The realm of rhetoric / Ch. Perelman ; translated by William Kluback ; introduction by Carroll C. Arnold.</t>
  </si>
  <si>
    <t xml:space="preserve">Notre Dame, Ind. : University of Notre Dame Press, c1982.</t>
  </si>
  <si>
    <t xml:space="preserve">2004-01-20</t>
  </si>
  <si>
    <t xml:space="preserve">1991-03-07</t>
  </si>
  <si>
    <t xml:space="preserve">5090393790:eng</t>
  </si>
  <si>
    <t xml:space="preserve">8249544</t>
  </si>
  <si>
    <t xml:space="preserve">991005223199702656</t>
  </si>
  <si>
    <t xml:space="preserve">2261554070002656</t>
  </si>
  <si>
    <t xml:space="preserve">9780268016043</t>
  </si>
  <si>
    <t xml:space="preserve">32285000546423</t>
  </si>
  <si>
    <t xml:space="preserve">893536482</t>
  </si>
  <si>
    <t xml:space="preserve">BC177 .P4</t>
  </si>
  <si>
    <t xml:space="preserve">0                      BC 0177000P  4</t>
  </si>
  <si>
    <t xml:space="preserve">The new rhetoric : a treatise on argumentation / [by] Ch. Perelman and L. Olbrechts-Tyteca. Translated by John Wilkinson and Purcell Weaver.</t>
  </si>
  <si>
    <t xml:space="preserve">Notre Dame, [Ind.] : University of Notre Dame Press, [1969]</t>
  </si>
  <si>
    <t xml:space="preserve">2009-04-05</t>
  </si>
  <si>
    <t xml:space="preserve">4494889307:eng</t>
  </si>
  <si>
    <t xml:space="preserve">21425</t>
  </si>
  <si>
    <t xml:space="preserve">991001812779702656</t>
  </si>
  <si>
    <t xml:space="preserve">2261501170002656</t>
  </si>
  <si>
    <t xml:space="preserve">32285000546431</t>
  </si>
  <si>
    <t xml:space="preserve">893803930</t>
  </si>
  <si>
    <t xml:space="preserve">BC177 .W347 1989</t>
  </si>
  <si>
    <t xml:space="preserve">0                      BC 0177000W  347         1989</t>
  </si>
  <si>
    <t xml:space="preserve">Philosophical finesse : studies in the art of rational persuasion / Martin Warner.</t>
  </si>
  <si>
    <t xml:space="preserve">Warner, Martin.</t>
  </si>
  <si>
    <t xml:space="preserve">Oxford [England] : Clarendon Press ; New York : Oxford University Press, 1989.</t>
  </si>
  <si>
    <t xml:space="preserve">1999-11-08</t>
  </si>
  <si>
    <t xml:space="preserve">1990-02-16</t>
  </si>
  <si>
    <t xml:space="preserve">836752462:eng</t>
  </si>
  <si>
    <t xml:space="preserve">18833514</t>
  </si>
  <si>
    <t xml:space="preserve">991001402869702656</t>
  </si>
  <si>
    <t xml:space="preserve">2256410400002656</t>
  </si>
  <si>
    <t xml:space="preserve">9780198244554</t>
  </si>
  <si>
    <t xml:space="preserve">32285000039106</t>
  </si>
  <si>
    <t xml:space="preserve">893885283</t>
  </si>
  <si>
    <t xml:space="preserve">BC181 .P75 1988</t>
  </si>
  <si>
    <t xml:space="preserve">0                      BC 0181000P  75          1988</t>
  </si>
  <si>
    <t xml:space="preserve">Propositions and attitudes / edited by Nathan Salmon and Scott Soames.</t>
  </si>
  <si>
    <t xml:space="preserve">Oxford ; New York : Oxford University Press, 1988.</t>
  </si>
  <si>
    <t xml:space="preserve">Oxford readings in philosophy</t>
  </si>
  <si>
    <t xml:space="preserve">2007-12-07</t>
  </si>
  <si>
    <t xml:space="preserve">350177540:eng</t>
  </si>
  <si>
    <t xml:space="preserve">17765049</t>
  </si>
  <si>
    <t xml:space="preserve">991001259459702656</t>
  </si>
  <si>
    <t xml:space="preserve">2255046250002656</t>
  </si>
  <si>
    <t xml:space="preserve">9780198750925</t>
  </si>
  <si>
    <t xml:space="preserve">32285001878635</t>
  </si>
  <si>
    <t xml:space="preserve">893250098</t>
  </si>
  <si>
    <t xml:space="preserve">BC199.M6 C47</t>
  </si>
  <si>
    <t xml:space="preserve">0                      BC 0199000M  6                  C  47</t>
  </si>
  <si>
    <t xml:space="preserve">Modal logic : an introduction / Brian F. Chellas.</t>
  </si>
  <si>
    <t xml:space="preserve">Chellas, Brian F.</t>
  </si>
  <si>
    <t xml:space="preserve">Cambridge [Eng.] ; New York : Cambridge University Press, [1980]</t>
  </si>
  <si>
    <t xml:space="preserve">2010-03-19</t>
  </si>
  <si>
    <t xml:space="preserve">506028:eng</t>
  </si>
  <si>
    <t xml:space="preserve">4137417</t>
  </si>
  <si>
    <t xml:space="preserve">991004596149702656</t>
  </si>
  <si>
    <t xml:space="preserve">2257540050002656</t>
  </si>
  <si>
    <t xml:space="preserve">9780521224765</t>
  </si>
  <si>
    <t xml:space="preserve">32285000546779</t>
  </si>
  <si>
    <t xml:space="preserve">893526272</t>
  </si>
  <si>
    <t xml:space="preserve">BC199.M6 S59</t>
  </si>
  <si>
    <t xml:space="preserve">0                      BC 0199000M  6                  S  59</t>
  </si>
  <si>
    <t xml:space="preserve">Modal logic and its applications / [by] D. Paul Snyder.</t>
  </si>
  <si>
    <t xml:space="preserve">Snyder, D. Paul, 1933-</t>
  </si>
  <si>
    <t xml:space="preserve">New York : Van Nostrand Reinhold, [1971]</t>
  </si>
  <si>
    <t xml:space="preserve">2005-05-18</t>
  </si>
  <si>
    <t xml:space="preserve">1241637:eng</t>
  </si>
  <si>
    <t xml:space="preserve">120593</t>
  </si>
  <si>
    <t xml:space="preserve">991000678119702656</t>
  </si>
  <si>
    <t xml:space="preserve">2264117980002656</t>
  </si>
  <si>
    <t xml:space="preserve">32285000546811</t>
  </si>
  <si>
    <t xml:space="preserve">893327489</t>
  </si>
  <si>
    <t xml:space="preserve">BC199.N3 M33 1989</t>
  </si>
  <si>
    <t xml:space="preserve">0                      BC 0199000N  3                  M  33          1989</t>
  </si>
  <si>
    <t xml:space="preserve">The game of the name : introducing logic, language, and mind / Gregory McCulloch.</t>
  </si>
  <si>
    <t xml:space="preserve">McCulloch, Gregory.</t>
  </si>
  <si>
    <t xml:space="preserve">Oxford : Clarendon Press ; New York : Oxford University Press, 1989.</t>
  </si>
  <si>
    <t xml:space="preserve">2009-03-05</t>
  </si>
  <si>
    <t xml:space="preserve">836763758:eng</t>
  </si>
  <si>
    <t xml:space="preserve">18948579</t>
  </si>
  <si>
    <t xml:space="preserve">991005298809702656</t>
  </si>
  <si>
    <t xml:space="preserve">2271966540002656</t>
  </si>
  <si>
    <t xml:space="preserve">9780198750864</t>
  </si>
  <si>
    <t xml:space="preserve">32285005507867</t>
  </si>
  <si>
    <t xml:space="preserve">893701344</t>
  </si>
  <si>
    <t xml:space="preserve">BC199.P7 R39 1975b</t>
  </si>
  <si>
    <t xml:space="preserve">0                      BC 0199000P  7                  R  39          1975b</t>
  </si>
  <si>
    <t xml:space="preserve">A theory of possibility : a constructivistic and conceptualistic account of possible individuals and possible worlds / Nicholas Rescher.</t>
  </si>
  <si>
    <t xml:space="preserve">[Pittsburgh] : University of Pittsburgh Press, 1975.</t>
  </si>
  <si>
    <t xml:space="preserve">2007-11-26</t>
  </si>
  <si>
    <t xml:space="preserve">4046109:eng</t>
  </si>
  <si>
    <t xml:space="preserve">2214803</t>
  </si>
  <si>
    <t xml:space="preserve">991004052479702656</t>
  </si>
  <si>
    <t xml:space="preserve">2255293550002656</t>
  </si>
  <si>
    <t xml:space="preserve">9780822911227</t>
  </si>
  <si>
    <t xml:space="preserve">32285000546837</t>
  </si>
  <si>
    <t xml:space="preserve">893259276</t>
  </si>
  <si>
    <t xml:space="preserve">BC34 .B6 1952b</t>
  </si>
  <si>
    <t xml:space="preserve">0                      BC 0034000B  6           1952b</t>
  </si>
  <si>
    <t xml:space="preserve">Medieval logic : an outline of its development from 1250 to c. 1400.</t>
  </si>
  <si>
    <t xml:space="preserve">Boehner, Philotheus.</t>
  </si>
  <si>
    <t xml:space="preserve">Chicago : University of Chicago Press, [1952]</t>
  </si>
  <si>
    <t xml:space="preserve">2007-04-30</t>
  </si>
  <si>
    <t xml:space="preserve">1455303:eng</t>
  </si>
  <si>
    <t xml:space="preserve">6170365</t>
  </si>
  <si>
    <t xml:space="preserve">991003673579702656</t>
  </si>
  <si>
    <t xml:space="preserve">2254790710002656</t>
  </si>
  <si>
    <t xml:space="preserve">32285000526706</t>
  </si>
  <si>
    <t xml:space="preserve">893531469</t>
  </si>
  <si>
    <t xml:space="preserve">BC34 .H45</t>
  </si>
  <si>
    <t xml:space="preserve">0                      BC 0034000H  45</t>
  </si>
  <si>
    <t xml:space="preserve">Medieval logic and metaphysics: a modern introduction [by] D. P. Henry.</t>
  </si>
  <si>
    <t xml:space="preserve">Henry, Desmond Paul.</t>
  </si>
  <si>
    <t xml:space="preserve">London, Hutchinson, 1972.</t>
  </si>
  <si>
    <t xml:space="preserve">Philosophy</t>
  </si>
  <si>
    <t xml:space="preserve">1994-04-09</t>
  </si>
  <si>
    <t xml:space="preserve">308953994:eng</t>
  </si>
  <si>
    <t xml:space="preserve">548975</t>
  </si>
  <si>
    <t xml:space="preserve">991002971019702656</t>
  </si>
  <si>
    <t xml:space="preserve">2265947550002656</t>
  </si>
  <si>
    <t xml:space="preserve">32285000526722</t>
  </si>
  <si>
    <t xml:space="preserve">893227514</t>
  </si>
  <si>
    <t xml:space="preserve">BC34 .R46</t>
  </si>
  <si>
    <t xml:space="preserve">0                      BC 0034000R  46</t>
  </si>
  <si>
    <t xml:space="preserve">Studies in the history of Arabic logic.</t>
  </si>
  <si>
    <t xml:space="preserve">[Pittsburgh] : University of Pittsburgh Press, 1963 [i.e. 1964]</t>
  </si>
  <si>
    <t xml:space="preserve">2009-02-20</t>
  </si>
  <si>
    <t xml:space="preserve">1929487:eng</t>
  </si>
  <si>
    <t xml:space="preserve">971570</t>
  </si>
  <si>
    <t xml:space="preserve">991003436139702656</t>
  </si>
  <si>
    <t xml:space="preserve">2259237950002656</t>
  </si>
  <si>
    <t xml:space="preserve">32285000526730</t>
  </si>
  <si>
    <t xml:space="preserve">893330297</t>
  </si>
  <si>
    <t xml:space="preserve">BC34 .S88 1989</t>
  </si>
  <si>
    <t xml:space="preserve">0                      BC 0034000S  88          1989</t>
  </si>
  <si>
    <t xml:space="preserve">Dialectic and its place in the development of medieval logic / Eleonore Stump.</t>
  </si>
  <si>
    <t xml:space="preserve">Stump, Eleonore, 1947-</t>
  </si>
  <si>
    <t xml:space="preserve">Ithaca, N.Y. : Cornell University Press, 1989.</t>
  </si>
  <si>
    <t xml:space="preserve">2004-10-24</t>
  </si>
  <si>
    <t xml:space="preserve">18336351:eng</t>
  </si>
  <si>
    <t xml:space="preserve">18715066</t>
  </si>
  <si>
    <t xml:space="preserve">991001384329702656</t>
  </si>
  <si>
    <t xml:space="preserve">2262940560002656</t>
  </si>
  <si>
    <t xml:space="preserve">9780801420368</t>
  </si>
  <si>
    <t xml:space="preserve">32285000511211</t>
  </si>
  <si>
    <t xml:space="preserve">893328098</t>
  </si>
  <si>
    <t xml:space="preserve">BC34 .V5813 1979</t>
  </si>
  <si>
    <t xml:space="preserve">0                      BC 0034000V  5813        1979</t>
  </si>
  <si>
    <t xml:space="preserve">In pseudodialecticos : a critical edition / Juan Luis Vives ; introduction, translation, and commentary by Charles Fantazzi.</t>
  </si>
  <si>
    <t xml:space="preserve">Vives, Juan Luis, 1492-1540.</t>
  </si>
  <si>
    <t xml:space="preserve">Leiden : Brill, c1979.</t>
  </si>
  <si>
    <t xml:space="preserve">Studies in medieval and Reformation thought ; v. 27</t>
  </si>
  <si>
    <t xml:space="preserve">1993-11-26</t>
  </si>
  <si>
    <t xml:space="preserve">4539446:eng</t>
  </si>
  <si>
    <t xml:space="preserve">12023858</t>
  </si>
  <si>
    <t xml:space="preserve">991004868129702656</t>
  </si>
  <si>
    <t xml:space="preserve">2264398430002656</t>
  </si>
  <si>
    <t xml:space="preserve">9789004059771</t>
  </si>
  <si>
    <t xml:space="preserve">32285000526763</t>
  </si>
  <si>
    <t xml:space="preserve">893606543</t>
  </si>
  <si>
    <t xml:space="preserve">BC38 .H6</t>
  </si>
  <si>
    <t xml:space="preserve">0                      BC 0038000H  6</t>
  </si>
  <si>
    <t xml:space="preserve">Logic and rhetoric in England, 1500-1700.</t>
  </si>
  <si>
    <t xml:space="preserve">Howell, Wilbur Samuel, 1904-</t>
  </si>
  <si>
    <t xml:space="preserve">Princeton, Princeton University Press, l956.</t>
  </si>
  <si>
    <t xml:space="preserve">2001-11-08</t>
  </si>
  <si>
    <t xml:space="preserve">1800537:eng</t>
  </si>
  <si>
    <t xml:space="preserve">1463236</t>
  </si>
  <si>
    <t xml:space="preserve">991003768219702656</t>
  </si>
  <si>
    <t xml:space="preserve">2258995290002656</t>
  </si>
  <si>
    <t xml:space="preserve">32285000526805</t>
  </si>
  <si>
    <t xml:space="preserve">893240579</t>
  </si>
  <si>
    <t xml:space="preserve">BC50 .G38</t>
  </si>
  <si>
    <t xml:space="preserve">0                      BC 0050000G  38</t>
  </si>
  <si>
    <t xml:space="preserve">Logic matters / [by] P. T. Geach.</t>
  </si>
  <si>
    <t xml:space="preserve">Geach, P. T. (Peter Thomas), 1916-2013.</t>
  </si>
  <si>
    <t xml:space="preserve">Oxford : Blackwell, 1972.</t>
  </si>
  <si>
    <t xml:space="preserve">2006-09-24</t>
  </si>
  <si>
    <t xml:space="preserve">501940:eng</t>
  </si>
  <si>
    <t xml:space="preserve">2722362</t>
  </si>
  <si>
    <t xml:space="preserve">991004224009702656</t>
  </si>
  <si>
    <t xml:space="preserve">2259206980002656</t>
  </si>
  <si>
    <t xml:space="preserve">9780631130109</t>
  </si>
  <si>
    <t xml:space="preserve">32285000526862</t>
  </si>
  <si>
    <t xml:space="preserve">893788438</t>
  </si>
  <si>
    <t xml:space="preserve">BC50 .H55</t>
  </si>
  <si>
    <t xml:space="preserve">0                      BC 0050000H  55</t>
  </si>
  <si>
    <t xml:space="preserve">The intentions of intentionality and other new models for modalities / Jaakko Hintikka.</t>
  </si>
  <si>
    <t xml:space="preserve">Hintikka, Jaakko, 1929-2015.</t>
  </si>
  <si>
    <t xml:space="preserve">Dordrecht ; Boston : D. Reidel Pub. Co., c1975.</t>
  </si>
  <si>
    <t xml:space="preserve">Synthese library ; v. 90</t>
  </si>
  <si>
    <t xml:space="preserve">2004-02-13</t>
  </si>
  <si>
    <t xml:space="preserve">1991-03-13</t>
  </si>
  <si>
    <t xml:space="preserve">2707071:eng</t>
  </si>
  <si>
    <t xml:space="preserve">1733545</t>
  </si>
  <si>
    <t xml:space="preserve">991003884159702656</t>
  </si>
  <si>
    <t xml:space="preserve">2256830570002656</t>
  </si>
  <si>
    <t xml:space="preserve">9789027705839</t>
  </si>
  <si>
    <t xml:space="preserve">32285000526870</t>
  </si>
  <si>
    <t xml:space="preserve">893441880</t>
  </si>
  <si>
    <t xml:space="preserve">BC50 .S82</t>
  </si>
  <si>
    <t xml:space="preserve">0                      BC 0050000S  82</t>
  </si>
  <si>
    <t xml:space="preserve">Studies in logical theory : essays / by James W. Cornman [and others].</t>
  </si>
  <si>
    <t xml:space="preserve">Oxford : Blackwell, 1968.</t>
  </si>
  <si>
    <t xml:space="preserve">American philosophical quarterly monograph series ; 2</t>
  </si>
  <si>
    <t xml:space="preserve">2003-09-30</t>
  </si>
  <si>
    <t xml:space="preserve">503013564:eng</t>
  </si>
  <si>
    <t xml:space="preserve">50082</t>
  </si>
  <si>
    <t xml:space="preserve">991000120799702656</t>
  </si>
  <si>
    <t xml:space="preserve">2256053990002656</t>
  </si>
  <si>
    <t xml:space="preserve">9780631114604</t>
  </si>
  <si>
    <t xml:space="preserve">32285000526904</t>
  </si>
  <si>
    <t xml:space="preserve">893620198</t>
  </si>
  <si>
    <t xml:space="preserve">BC51 .M37 1971</t>
  </si>
  <si>
    <t xml:space="preserve">0                      BC 0051000M  37          1971</t>
  </si>
  <si>
    <t xml:space="preserve">Logic, language, and metaphysics / [by] R. M. Martin.</t>
  </si>
  <si>
    <t xml:space="preserve">Martin, R. M. (Richard Milton), 1916-1985.</t>
  </si>
  <si>
    <t xml:space="preserve">2008-04-30</t>
  </si>
  <si>
    <t xml:space="preserve">1270569:eng</t>
  </si>
  <si>
    <t xml:space="preserve">131957</t>
  </si>
  <si>
    <t xml:space="preserve">991000774429702656</t>
  </si>
  <si>
    <t xml:space="preserve">2256434990002656</t>
  </si>
  <si>
    <t xml:space="preserve">9780814753507</t>
  </si>
  <si>
    <t xml:space="preserve">32285000526961</t>
  </si>
  <si>
    <t xml:space="preserve">893351655</t>
  </si>
  <si>
    <t xml:space="preserve">BC51 .P88 1971</t>
  </si>
  <si>
    <t xml:space="preserve">0                      BC 0051000P  88          1971</t>
  </si>
  <si>
    <t xml:space="preserve">Philosophy of logic.</t>
  </si>
  <si>
    <t xml:space="preserve">2008-03-31</t>
  </si>
  <si>
    <t xml:space="preserve">1333163:eng</t>
  </si>
  <si>
    <t xml:space="preserve">148212</t>
  </si>
  <si>
    <t xml:space="preserve">991000832289702656</t>
  </si>
  <si>
    <t xml:space="preserve">2260020470002656</t>
  </si>
  <si>
    <t xml:space="preserve">9780061360428</t>
  </si>
  <si>
    <t xml:space="preserve">32285000526987</t>
  </si>
  <si>
    <t xml:space="preserve">893333823</t>
  </si>
  <si>
    <t xml:space="preserve">BC57 .A85 1989</t>
  </si>
  <si>
    <t xml:space="preserve">0                      BC 0057000A  85          1989</t>
  </si>
  <si>
    <t xml:space="preserve">Philosophy without ambiguity : a logico-linguistic essay / Jay David Atlas.</t>
  </si>
  <si>
    <t xml:space="preserve">Atlas, Jay David.</t>
  </si>
  <si>
    <t xml:space="preserve">Oxford : Clarendon Press ; Oxford ; New York : Oxford University Press, 1989.</t>
  </si>
  <si>
    <t xml:space="preserve">1999-10-12</t>
  </si>
  <si>
    <t xml:space="preserve">1990-05-08</t>
  </si>
  <si>
    <t xml:space="preserve">836751258:eng</t>
  </si>
  <si>
    <t xml:space="preserve">18817251</t>
  </si>
  <si>
    <t xml:space="preserve">991001400779702656</t>
  </si>
  <si>
    <t xml:space="preserve">2268736590002656</t>
  </si>
  <si>
    <t xml:space="preserve">9780198244547</t>
  </si>
  <si>
    <t xml:space="preserve">32285000135417</t>
  </si>
  <si>
    <t xml:space="preserve">893256222</t>
  </si>
  <si>
    <t xml:space="preserve">BC60 .J5723</t>
  </si>
  <si>
    <t xml:space="preserve">0                      BC 0060000J  5723</t>
  </si>
  <si>
    <t xml:space="preserve">Outlines of formal logic.</t>
  </si>
  <si>
    <t xml:space="preserve">John of St. Thomas, 1589-1644.</t>
  </si>
  <si>
    <t xml:space="preserve">Milwaukee : Marquette University Press, 1955.</t>
  </si>
  <si>
    <t xml:space="preserve">Mediaeval philosophical texts in translation ; no. 8</t>
  </si>
  <si>
    <t xml:space="preserve">2001-04-27</t>
  </si>
  <si>
    <t xml:space="preserve">151425083:eng</t>
  </si>
  <si>
    <t xml:space="preserve">566518</t>
  </si>
  <si>
    <t xml:space="preserve">991002998089702656</t>
  </si>
  <si>
    <t xml:space="preserve">2256310270002656</t>
  </si>
  <si>
    <t xml:space="preserve">9780874622089</t>
  </si>
  <si>
    <t xml:space="preserve">32285000527100</t>
  </si>
  <si>
    <t xml:space="preserve">893434543</t>
  </si>
  <si>
    <t xml:space="preserve">BC60 .L64 1988</t>
  </si>
  <si>
    <t xml:space="preserve">0                      BC 0060000L  64          1988</t>
  </si>
  <si>
    <t xml:space="preserve">Logic and the philosophy of language / editors, Norman Kretzmann, Eleonore Stump.</t>
  </si>
  <si>
    <t xml:space="preserve">Cambridge [Cambridgeshire] ; New York : Cambridge University Press, 1988.</t>
  </si>
  <si>
    <t xml:space="preserve">The Cambridge translations of medieval philosophical texts ; v. 1</t>
  </si>
  <si>
    <t xml:space="preserve">2005-02-19</t>
  </si>
  <si>
    <t xml:space="preserve">475718888:eng</t>
  </si>
  <si>
    <t xml:space="preserve">17105328</t>
  </si>
  <si>
    <t xml:space="preserve">991001178219702656</t>
  </si>
  <si>
    <t xml:space="preserve">2267206890002656</t>
  </si>
  <si>
    <t xml:space="preserve">9780521280631</t>
  </si>
  <si>
    <t xml:space="preserve">32285000092840</t>
  </si>
  <si>
    <t xml:space="preserve">893509448</t>
  </si>
  <si>
    <t xml:space="preserve">BC71 .R47</t>
  </si>
  <si>
    <t xml:space="preserve">0                      BC 0071000R  47</t>
  </si>
  <si>
    <t xml:space="preserve">Elementary logic / [by] Michael D. Resnik.</t>
  </si>
  <si>
    <t xml:space="preserve">Resnik, Michael D.</t>
  </si>
  <si>
    <t xml:space="preserve">New York : McGraw-Hill, [c1970]</t>
  </si>
  <si>
    <t xml:space="preserve">2000-09-07</t>
  </si>
  <si>
    <t xml:space="preserve">1991-03-26</t>
  </si>
  <si>
    <t xml:space="preserve">3901406409:eng</t>
  </si>
  <si>
    <t xml:space="preserve">45523</t>
  </si>
  <si>
    <t xml:space="preserve">991000103549702656</t>
  </si>
  <si>
    <t xml:space="preserve">2261499360002656</t>
  </si>
  <si>
    <t xml:space="preserve">32285000527639</t>
  </si>
  <si>
    <t xml:space="preserve">893224731</t>
  </si>
  <si>
    <t xml:space="preserve">BC71 .S53</t>
  </si>
  <si>
    <t xml:space="preserve">0                      BC 0071000S  53</t>
  </si>
  <si>
    <t xml:space="preserve">The scientific art of logic : an introduction to the principles of formal and material logic.</t>
  </si>
  <si>
    <t xml:space="preserve">Simmons, Edward Dwyer, 1924-</t>
  </si>
  <si>
    <t xml:space="preserve">Milwaukee : Bruce Pub. Co., [1961]</t>
  </si>
  <si>
    <t xml:space="preserve">Christian culture and philosophy series</t>
  </si>
  <si>
    <t xml:space="preserve">2005-09-01</t>
  </si>
  <si>
    <t xml:space="preserve">9002:eng</t>
  </si>
  <si>
    <t xml:space="preserve">1346565</t>
  </si>
  <si>
    <t xml:space="preserve">991003708229702656</t>
  </si>
  <si>
    <t xml:space="preserve">2258259880002656</t>
  </si>
  <si>
    <t xml:space="preserve">32285000527688</t>
  </si>
  <si>
    <t xml:space="preserve">893531507</t>
  </si>
  <si>
    <t xml:space="preserve">BC71 .V38</t>
  </si>
  <si>
    <t xml:space="preserve">0                      BC 0071000V  38</t>
  </si>
  <si>
    <t xml:space="preserve">Two logics : the conflict between classical and neo-analytic philosophy / [by] Henry B. Veatch.</t>
  </si>
  <si>
    <t xml:space="preserve">Evanston : Northwestern University Press, 1969.</t>
  </si>
  <si>
    <t xml:space="preserve">2004-09-27</t>
  </si>
  <si>
    <t xml:space="preserve">294034261:eng</t>
  </si>
  <si>
    <t xml:space="preserve">1006</t>
  </si>
  <si>
    <t xml:space="preserve">991005432239702656</t>
  </si>
  <si>
    <t xml:space="preserve">2271417340002656</t>
  </si>
  <si>
    <t xml:space="preserve">32285000527738</t>
  </si>
  <si>
    <t xml:space="preserve">893412889</t>
  </si>
  <si>
    <t xml:space="preserve">BC71 .W4</t>
  </si>
  <si>
    <t xml:space="preserve">0                      BC 0071000W  4</t>
  </si>
  <si>
    <t xml:space="preserve">An introduction to critical thinking : a beginner's text in logic.</t>
  </si>
  <si>
    <t xml:space="preserve">Werkmeister, W. H. (William Henry), 1901-1993.</t>
  </si>
  <si>
    <t xml:space="preserve">Lincoln, Neb. : Johnsen Pub. Co., [1948]</t>
  </si>
  <si>
    <t xml:space="preserve">1357958:eng</t>
  </si>
  <si>
    <t xml:space="preserve">972105</t>
  </si>
  <si>
    <t xml:space="preserve">991003436579702656</t>
  </si>
  <si>
    <t xml:space="preserve">2258944390002656</t>
  </si>
  <si>
    <t xml:space="preserve">32285000527746</t>
  </si>
  <si>
    <t xml:space="preserve">893598579</t>
  </si>
  <si>
    <t xml:space="preserve">BC72 .I513 1969</t>
  </si>
  <si>
    <t xml:space="preserve">0                      BC 0072000I  513         1969</t>
  </si>
  <si>
    <t xml:space="preserve">The early growth of logic in the child : classification and seriation / by Bärbel Inhelder and Jean Piaget. Translated from the French by E. A. Lunzer and D. Papert.</t>
  </si>
  <si>
    <t xml:space="preserve">Inhelder, Bärbel.</t>
  </si>
  <si>
    <t xml:space="preserve">New York : W. W. Norton, [1969, c1964]</t>
  </si>
  <si>
    <t xml:space="preserve">1995-10-09</t>
  </si>
  <si>
    <t xml:space="preserve">1990-07-11</t>
  </si>
  <si>
    <t xml:space="preserve">8909177350:eng</t>
  </si>
  <si>
    <t xml:space="preserve">1023260</t>
  </si>
  <si>
    <t xml:space="preserve">991003477759702656</t>
  </si>
  <si>
    <t xml:space="preserve">2272007480002656</t>
  </si>
  <si>
    <t xml:space="preserve">32285000188895</t>
  </si>
  <si>
    <t xml:space="preserve">893410314</t>
  </si>
  <si>
    <t xml:space="preserve">BC91 .C6 1989</t>
  </si>
  <si>
    <t xml:space="preserve">0                      BC 0091000C  6           1989</t>
  </si>
  <si>
    <t xml:space="preserve">An introduction to the philosophy of induction and probability / L. Jonathan Cohen.</t>
  </si>
  <si>
    <t xml:space="preserve">Cohen, L. Jonathan (Laurence Jonathan)</t>
  </si>
  <si>
    <t xml:space="preserve">Oxford ; New York : Clarendon Press, 1989.</t>
  </si>
  <si>
    <t xml:space="preserve">1996-03-09</t>
  </si>
  <si>
    <t xml:space="preserve">17116980:eng</t>
  </si>
  <si>
    <t xml:space="preserve">18192464</t>
  </si>
  <si>
    <t xml:space="preserve">991001318569702656</t>
  </si>
  <si>
    <t xml:space="preserve">2269505580002656</t>
  </si>
  <si>
    <t xml:space="preserve">9780198750789</t>
  </si>
  <si>
    <t xml:space="preserve">32285000188986</t>
  </si>
  <si>
    <t xml:space="preserve">893334249</t>
  </si>
  <si>
    <t xml:space="preserve">B104 .B58 1984</t>
  </si>
  <si>
    <t xml:space="preserve">0                      B  0104000B  58          1984</t>
  </si>
  <si>
    <t xml:space="preserve">Four reasonable men : Marcus Aurelius, John Stuart Mill, Ernest Renan, Henry Sidgwick / Brand Blanshard.</t>
  </si>
  <si>
    <t xml:space="preserve">Blanshard, Brand, 1892-1987.</t>
  </si>
  <si>
    <t xml:space="preserve">Middletown, Conn. : Wesleyan University Press ; Scranton, Pa. : Distributed by Harper &amp; Row, c1984.</t>
  </si>
  <si>
    <t xml:space="preserve">B  </t>
  </si>
  <si>
    <t xml:space="preserve">2004-11-16</t>
  </si>
  <si>
    <t xml:space="preserve">1990-04-23</t>
  </si>
  <si>
    <t xml:space="preserve">889677574:eng</t>
  </si>
  <si>
    <t xml:space="preserve">10323831</t>
  </si>
  <si>
    <t xml:space="preserve">991000354499702656</t>
  </si>
  <si>
    <t xml:space="preserve">2268624340002656</t>
  </si>
  <si>
    <t xml:space="preserve">9780819561022</t>
  </si>
  <si>
    <t xml:space="preserve">32285000125202</t>
  </si>
  <si>
    <t xml:space="preserve">893425608</t>
  </si>
  <si>
    <t xml:space="preserve">B105.A35 B73 1984</t>
  </si>
  <si>
    <t xml:space="preserve">0                      B  0105000A  35                 B  73          1984</t>
  </si>
  <si>
    <t xml:space="preserve">Intending and acting : toward a naturalized action theory / Myles Brand.</t>
  </si>
  <si>
    <t xml:space="preserve">Brand, Myles.</t>
  </si>
  <si>
    <t xml:space="preserve">Cambridge, Mass. : MIT Press, c1984.</t>
  </si>
  <si>
    <t xml:space="preserve">2009-05-07</t>
  </si>
  <si>
    <t xml:space="preserve">836642884:eng</t>
  </si>
  <si>
    <t xml:space="preserve">10163315</t>
  </si>
  <si>
    <t xml:space="preserve">991000324859702656</t>
  </si>
  <si>
    <t xml:space="preserve">2268616010002656</t>
  </si>
  <si>
    <t xml:space="preserve">9780262022026</t>
  </si>
  <si>
    <t xml:space="preserve">32285000125210</t>
  </si>
  <si>
    <t xml:space="preserve">893714491</t>
  </si>
  <si>
    <t xml:space="preserve">B105.A35 D3736 1985</t>
  </si>
  <si>
    <t xml:space="preserve">0                      B  0105000A  35                 D  3736        1985</t>
  </si>
  <si>
    <t xml:space="preserve">Actions and events : perspectives on the philosophy of Donald Davidson / edited by Ernest LePore and Brian P. McLaughlin.</t>
  </si>
  <si>
    <t xml:space="preserve">Oxford [Oxfordshire] ; New York, NY, USA : B. Blackwell, 1985.</t>
  </si>
  <si>
    <t xml:space="preserve">1990-03-08</t>
  </si>
  <si>
    <t xml:space="preserve">836703125:eng</t>
  </si>
  <si>
    <t xml:space="preserve">11782895</t>
  </si>
  <si>
    <t xml:space="preserve">991000588159702656</t>
  </si>
  <si>
    <t xml:space="preserve">2255132900002656</t>
  </si>
  <si>
    <t xml:space="preserve">9780631144519</t>
  </si>
  <si>
    <t xml:space="preserve">32285000078385</t>
  </si>
  <si>
    <t xml:space="preserve">893695972</t>
  </si>
  <si>
    <t xml:space="preserve">B105.A35 R37</t>
  </si>
  <si>
    <t xml:space="preserve">0                      B  0105000A  35                 R  37</t>
  </si>
  <si>
    <t xml:space="preserve">Rational action : studies in philosophy and social science / edited by Ross Harrison.</t>
  </si>
  <si>
    <t xml:space="preserve">Cambridge [Eng.] ; New York : Cambridge University Press, 1979.</t>
  </si>
  <si>
    <t xml:space="preserve">2003-04-03</t>
  </si>
  <si>
    <t xml:space="preserve">411998391:eng</t>
  </si>
  <si>
    <t xml:space="preserve">4775275</t>
  </si>
  <si>
    <t xml:space="preserve">991004713719702656</t>
  </si>
  <si>
    <t xml:space="preserve">2256442130002656</t>
  </si>
  <si>
    <t xml:space="preserve">9780521227148</t>
  </si>
  <si>
    <t xml:space="preserve">32285000125244</t>
  </si>
  <si>
    <t xml:space="preserve">893795192</t>
  </si>
  <si>
    <t xml:space="preserve">B105.A35 W34 1990</t>
  </si>
  <si>
    <t xml:space="preserve">0                      B  0105000A  35                 W  34          1990</t>
  </si>
  <si>
    <t xml:space="preserve">Practical reasoning : goal-driven, knowledge-based, action-guiding argumentation / Douglas N. Walton.</t>
  </si>
  <si>
    <t xml:space="preserve">Walton, Douglas N.</t>
  </si>
  <si>
    <t xml:space="preserve">Savage, Md. : Rowman &amp; Littlefield, c1990.</t>
  </si>
  <si>
    <t xml:space="preserve">Studies in epistemology and cognitive theory ; v. 2</t>
  </si>
  <si>
    <t xml:space="preserve">1993-12-08</t>
  </si>
  <si>
    <t xml:space="preserve">1992-03-25</t>
  </si>
  <si>
    <t xml:space="preserve">836722688:eng</t>
  </si>
  <si>
    <t xml:space="preserve">18414653</t>
  </si>
  <si>
    <t xml:space="preserve">991001346279702656</t>
  </si>
  <si>
    <t xml:space="preserve">2256041060002656</t>
  </si>
  <si>
    <t xml:space="preserve">9780847676057</t>
  </si>
  <si>
    <t xml:space="preserve">32285001006310</t>
  </si>
  <si>
    <t xml:space="preserve">893321854</t>
  </si>
  <si>
    <t xml:space="preserve">B105.C45 P44 1998</t>
  </si>
  <si>
    <t xml:space="preserve">0                      B  0105000C  45                 P  44          1998</t>
  </si>
  <si>
    <t xml:space="preserve">The philosopher's child : critical perspectives in the Western tradition / edited by Susan M. Turner and Gareth B. Matthews.</t>
  </si>
  <si>
    <t xml:space="preserve">Rochester, NY : University of Rochester Press, 1998.</t>
  </si>
  <si>
    <t xml:space="preserve">1998</t>
  </si>
  <si>
    <t xml:space="preserve">2003-11-11</t>
  </si>
  <si>
    <t xml:space="preserve">1999-12-09</t>
  </si>
  <si>
    <t xml:space="preserve">799745858:eng</t>
  </si>
  <si>
    <t xml:space="preserve">38566235</t>
  </si>
  <si>
    <t xml:space="preserve">991005427949702656</t>
  </si>
  <si>
    <t xml:space="preserve">2260928210002656</t>
  </si>
  <si>
    <t xml:space="preserve">9781580460217</t>
  </si>
  <si>
    <t xml:space="preserve">32285003631875</t>
  </si>
  <si>
    <t xml:space="preserve">893689185</t>
  </si>
  <si>
    <t xml:space="preserve">B105.C477 J34 1987</t>
  </si>
  <si>
    <t xml:space="preserve">0                      B  0105000C  477                J  34          1987</t>
  </si>
  <si>
    <t xml:space="preserve">Margins of reality : the role of consciousness in the physical world / Robert G. Jahn and Brenda J. Dunne.</t>
  </si>
  <si>
    <t xml:space="preserve">Jahn, Robert G.</t>
  </si>
  <si>
    <t xml:space="preserve">San Diego : Harcourt Brace Jovanovich, c1987.</t>
  </si>
  <si>
    <t xml:space="preserve">lst ed.</t>
  </si>
  <si>
    <t xml:space="preserve">371678679:eng</t>
  </si>
  <si>
    <t xml:space="preserve">15696382</t>
  </si>
  <si>
    <t xml:space="preserve">991001056179702656</t>
  </si>
  <si>
    <t xml:space="preserve">2259809790002656</t>
  </si>
  <si>
    <t xml:space="preserve">9780151571482</t>
  </si>
  <si>
    <t xml:space="preserve">32285000125293</t>
  </si>
  <si>
    <t xml:space="preserve">893340128</t>
  </si>
  <si>
    <t xml:space="preserve">B105.C477 S36 1991</t>
  </si>
  <si>
    <t xml:space="preserve">0                      B  0105000C  477                S  36          1991</t>
  </si>
  <si>
    <t xml:space="preserve">Frontiers of consciousness : interdisciplinary studies in American philosophy and poetry / by Stanley J. Scott.</t>
  </si>
  <si>
    <t xml:space="preserve">Scott, Stanley J.</t>
  </si>
  <si>
    <t xml:space="preserve">New York : Fordham University Press, 1991.</t>
  </si>
  <si>
    <t xml:space="preserve">793353277:eng</t>
  </si>
  <si>
    <t xml:space="preserve">23744479</t>
  </si>
  <si>
    <t xml:space="preserve">991001882859702656</t>
  </si>
  <si>
    <t xml:space="preserve">2265215780002656</t>
  </si>
  <si>
    <t xml:space="preserve">9780823213023</t>
  </si>
  <si>
    <t xml:space="preserve">32285001878734</t>
  </si>
  <si>
    <t xml:space="preserve">893497508</t>
  </si>
  <si>
    <t xml:space="preserve">B105.D5 T39 1987</t>
  </si>
  <si>
    <t xml:space="preserve">0                      B  0105000D  5                  T  39          1987</t>
  </si>
  <si>
    <t xml:space="preserve">Altarity / Mark C. Taylor.</t>
  </si>
  <si>
    <t xml:space="preserve">Taylor, Mark C., 1945-</t>
  </si>
  <si>
    <t xml:space="preserve">Chicago : University of Chicago Press, c1987.</t>
  </si>
  <si>
    <t xml:space="preserve">2002-12-07</t>
  </si>
  <si>
    <t xml:space="preserve">1990-05-24</t>
  </si>
  <si>
    <t xml:space="preserve">991224:eng</t>
  </si>
  <si>
    <t xml:space="preserve">15317516</t>
  </si>
  <si>
    <t xml:space="preserve">991001015749702656</t>
  </si>
  <si>
    <t xml:space="preserve">2258487080002656</t>
  </si>
  <si>
    <t xml:space="preserve">9780226791388</t>
  </si>
  <si>
    <t xml:space="preserve">32285000138387</t>
  </si>
  <si>
    <t xml:space="preserve">893596117</t>
  </si>
  <si>
    <t xml:space="preserve">B105.D56 D56</t>
  </si>
  <si>
    <t xml:space="preserve">0                      B  0105000D  56                 D  56</t>
  </si>
  <si>
    <t xml:space="preserve">Dispositions / edited by Raimo Tuomela.</t>
  </si>
  <si>
    <t xml:space="preserve">Dordrecht, Holland ; Boston : D. Reidel Pub. Co., c1978.</t>
  </si>
  <si>
    <t xml:space="preserve">Synthese library ; v. 113</t>
  </si>
  <si>
    <t xml:space="preserve">1993-11-23</t>
  </si>
  <si>
    <t xml:space="preserve">8172323:eng</t>
  </si>
  <si>
    <t xml:space="preserve">3169141</t>
  </si>
  <si>
    <t xml:space="preserve">991004365009702656</t>
  </si>
  <si>
    <t xml:space="preserve">2263198740002656</t>
  </si>
  <si>
    <t xml:space="preserve">9789027708106</t>
  </si>
  <si>
    <t xml:space="preserve">32285000125368</t>
  </si>
  <si>
    <t xml:space="preserve">893429973</t>
  </si>
  <si>
    <t xml:space="preserve">B105.E46 S76 1996</t>
  </si>
  <si>
    <t xml:space="preserve">0                      B  0105000E  46                 S  76          1996</t>
  </si>
  <si>
    <t xml:space="preserve">Valuing emotions / Michael Stocker with Elizabeth Hegeman.</t>
  </si>
  <si>
    <t xml:space="preserve">Stocker, Michael (Michael Adam Gerber)</t>
  </si>
  <si>
    <t xml:space="preserve">Cambridge studies in philosophy</t>
  </si>
  <si>
    <t xml:space="preserve">1996-10-17</t>
  </si>
  <si>
    <t xml:space="preserve">138799541:eng</t>
  </si>
  <si>
    <t xml:space="preserve">33899872</t>
  </si>
  <si>
    <t xml:space="preserve">991002587559702656</t>
  </si>
  <si>
    <t xml:space="preserve">2271808320002656</t>
  </si>
  <si>
    <t xml:space="preserve">9780521561105</t>
  </si>
  <si>
    <t xml:space="preserve">32285002366747</t>
  </si>
  <si>
    <t xml:space="preserve">893329278</t>
  </si>
  <si>
    <t xml:space="preserve">B105.E65 Z8 1985</t>
  </si>
  <si>
    <t xml:space="preserve">0                      B  0105000E  65                 Z  8           1985</t>
  </si>
  <si>
    <t xml:space="preserve">Sobre la esencia / Xavier Zubiri.</t>
  </si>
  <si>
    <t xml:space="preserve">Zubiri, Xavier.</t>
  </si>
  <si>
    <t xml:space="preserve">Madrid : Alianza Editorial, c1985.</t>
  </si>
  <si>
    <t xml:space="preserve">4. ed.</t>
  </si>
  <si>
    <t xml:space="preserve">spa</t>
  </si>
  <si>
    <t xml:space="preserve">Estudios filosóficos ; 1</t>
  </si>
  <si>
    <t xml:space="preserve">2004-01-30</t>
  </si>
  <si>
    <t xml:space="preserve">4203522:spa</t>
  </si>
  <si>
    <t xml:space="preserve">15128478</t>
  </si>
  <si>
    <t xml:space="preserve">991000994249702656</t>
  </si>
  <si>
    <t xml:space="preserve">2265429560002656</t>
  </si>
  <si>
    <t xml:space="preserve">9788420690285</t>
  </si>
  <si>
    <t xml:space="preserve">32285000125384</t>
  </si>
  <si>
    <t xml:space="preserve">893515814</t>
  </si>
  <si>
    <t xml:space="preserve">B105.E7 L65 1986</t>
  </si>
  <si>
    <t xml:space="preserve">0                      B  0105000E  7                  L  65          1986</t>
  </si>
  <si>
    <t xml:space="preserve">Events : a metaphysical study / Lawrence Brian Lombard.</t>
  </si>
  <si>
    <t xml:space="preserve">Lombard, Lawrence Brian, 1944-</t>
  </si>
  <si>
    <t xml:space="preserve">International library of philosophy</t>
  </si>
  <si>
    <t xml:space="preserve">2003-04-11</t>
  </si>
  <si>
    <t xml:space="preserve">836713855:eng</t>
  </si>
  <si>
    <t xml:space="preserve">12082704</t>
  </si>
  <si>
    <t xml:space="preserve">991000637619702656</t>
  </si>
  <si>
    <t xml:space="preserve">2264550220002656</t>
  </si>
  <si>
    <t xml:space="preserve">9780710203540</t>
  </si>
  <si>
    <t xml:space="preserve">32285000125392</t>
  </si>
  <si>
    <t xml:space="preserve">893595742</t>
  </si>
  <si>
    <t xml:space="preserve">B105.H8 A3</t>
  </si>
  <si>
    <t xml:space="preserve">0                      B  0105000H  8                  A  3</t>
  </si>
  <si>
    <t xml:space="preserve">The better part of valor : More, Erasmus, Colet, and Vives, on humanism, war, and peace, 1496-1535.</t>
  </si>
  <si>
    <t xml:space="preserve">Adams, Robert P. (Robert Pardee), 1910-</t>
  </si>
  <si>
    <t xml:space="preserve">Seattle : University of Washington Press, 1962.</t>
  </si>
  <si>
    <t xml:space="preserve">2008-01-24</t>
  </si>
  <si>
    <t xml:space="preserve">1990-03-05</t>
  </si>
  <si>
    <t xml:space="preserve">428132632:eng</t>
  </si>
  <si>
    <t xml:space="preserve">684454</t>
  </si>
  <si>
    <t xml:space="preserve">991003142999702656</t>
  </si>
  <si>
    <t xml:space="preserve">2266024640002656</t>
  </si>
  <si>
    <t xml:space="preserve">32285000064831</t>
  </si>
  <si>
    <t xml:space="preserve">893498979</t>
  </si>
  <si>
    <t xml:space="preserve">B105.H8 B6</t>
  </si>
  <si>
    <t xml:space="preserve">0                      B  0105000H  8                  B  6</t>
  </si>
  <si>
    <t xml:space="preserve">Humanism / [by] H. J. Blackham.</t>
  </si>
  <si>
    <t xml:space="preserve">Blackham, H. J. (Harold John), 1903-2009.</t>
  </si>
  <si>
    <t xml:space="preserve">Harmondsworth : Penguin, 1968.</t>
  </si>
  <si>
    <t xml:space="preserve">Pelican books ; A930</t>
  </si>
  <si>
    <t xml:space="preserve">1990-02-12</t>
  </si>
  <si>
    <t xml:space="preserve">180740997:eng</t>
  </si>
  <si>
    <t xml:space="preserve">312239</t>
  </si>
  <si>
    <t xml:space="preserve">991002288279702656</t>
  </si>
  <si>
    <t xml:space="preserve">2271089300002656</t>
  </si>
  <si>
    <t xml:space="preserve">32285000009539</t>
  </si>
  <si>
    <t xml:space="preserve">893352237</t>
  </si>
  <si>
    <t xml:space="preserve">B105.H8 Q84 1991</t>
  </si>
  <si>
    <t xml:space="preserve">0                      B  0105000H  8                  Q  84          1991</t>
  </si>
  <si>
    <t xml:space="preserve">The Question of humanism : challenges and possibilities / edited by David Goicoechea, John Luik, and Tim Madigan.</t>
  </si>
  <si>
    <t xml:space="preserve">Buffalo, N.Y. : Prometheus Books, 1991.</t>
  </si>
  <si>
    <t xml:space="preserve">1991-11-18</t>
  </si>
  <si>
    <t xml:space="preserve">366036346:eng</t>
  </si>
  <si>
    <t xml:space="preserve">22858863</t>
  </si>
  <si>
    <t xml:space="preserve">991001817439702656</t>
  </si>
  <si>
    <t xml:space="preserve">2258976930002656</t>
  </si>
  <si>
    <t xml:space="preserve">9780879756147</t>
  </si>
  <si>
    <t xml:space="preserve">32285000817022</t>
  </si>
  <si>
    <t xml:space="preserve">893609172</t>
  </si>
  <si>
    <t xml:space="preserve">B105.I28 K45 2002</t>
  </si>
  <si>
    <t xml:space="preserve">0                      B  0105000I  28                 K  45          2002</t>
  </si>
  <si>
    <t xml:space="preserve">The descent of ideas : the history of intellectual history / Donald R. Kelley.</t>
  </si>
  <si>
    <t xml:space="preserve">Kelley, Donald R., 1931-</t>
  </si>
  <si>
    <t xml:space="preserve">Aldershot, Hants, England ; Burlington, VT : Ashgate, c2002.</t>
  </si>
  <si>
    <t xml:space="preserve">2002</t>
  </si>
  <si>
    <t xml:space="preserve">2007-02-12</t>
  </si>
  <si>
    <t xml:space="preserve">837998403:eng</t>
  </si>
  <si>
    <t xml:space="preserve">50464517</t>
  </si>
  <si>
    <t xml:space="preserve">991005029979702656</t>
  </si>
  <si>
    <t xml:space="preserve">2257526380002656</t>
  </si>
  <si>
    <t xml:space="preserve">9780754607762</t>
  </si>
  <si>
    <t xml:space="preserve">32285005276133</t>
  </si>
  <si>
    <t xml:space="preserve">893418287</t>
  </si>
  <si>
    <t xml:space="preserve">B105.I49 E53</t>
  </si>
  <si>
    <t xml:space="preserve">0                      B  0105000I  49                 E  53</t>
  </si>
  <si>
    <t xml:space="preserve">The creative imagination : Enlightenment to Romanticism / James Engell.</t>
  </si>
  <si>
    <t xml:space="preserve">Engell, James, 1951-</t>
  </si>
  <si>
    <t xml:space="preserve">Cambridge, Mass. : Harvard University Press, 1981.</t>
  </si>
  <si>
    <t xml:space="preserve">890035569:eng</t>
  </si>
  <si>
    <t xml:space="preserve">6626160</t>
  </si>
  <si>
    <t xml:space="preserve">991005384039702656</t>
  </si>
  <si>
    <t xml:space="preserve">2255950900002656</t>
  </si>
  <si>
    <t xml:space="preserve">9780674175723</t>
  </si>
  <si>
    <t xml:space="preserve">32285000125525</t>
  </si>
  <si>
    <t xml:space="preserve">893808377</t>
  </si>
  <si>
    <t xml:space="preserve">B105.I56 B55 1994</t>
  </si>
  <si>
    <t xml:space="preserve">0                      B  0105000I  56                 B  55          1994</t>
  </si>
  <si>
    <t xml:space="preserve">Belief and meaning : the unity and locality of mental content / Akeel Bilgrami.</t>
  </si>
  <si>
    <t xml:space="preserve">Bilgrami, Akeel, 1950-</t>
  </si>
  <si>
    <t xml:space="preserve">Oxford, UK ; Cambridge, USA : Blackwell, 1994, c1992.</t>
  </si>
  <si>
    <t xml:space="preserve">2002-09-08</t>
  </si>
  <si>
    <t xml:space="preserve">1996-11-22</t>
  </si>
  <si>
    <t xml:space="preserve">25003384:eng</t>
  </si>
  <si>
    <t xml:space="preserve">32037037</t>
  </si>
  <si>
    <t xml:space="preserve">991002457919702656</t>
  </si>
  <si>
    <t xml:space="preserve">2260718480002656</t>
  </si>
  <si>
    <t xml:space="preserve">9780631196778</t>
  </si>
  <si>
    <t xml:space="preserve">32285002385523</t>
  </si>
  <si>
    <t xml:space="preserve">893873539</t>
  </si>
  <si>
    <t xml:space="preserve">B105.I56 P48 1996</t>
  </si>
  <si>
    <t xml:space="preserve">0                      B  0105000I  56                 P  48          1996</t>
  </si>
  <si>
    <t xml:space="preserve">The common mind : an essay on psychology, society, and politics / Philip Pettit.</t>
  </si>
  <si>
    <t xml:space="preserve">Pettit, Philip, 1945-</t>
  </si>
  <si>
    <t xml:space="preserve">New York : Oxford University Press, 1996.</t>
  </si>
  <si>
    <t xml:space="preserve">1999-03-25</t>
  </si>
  <si>
    <t xml:space="preserve">1997-01-17</t>
  </si>
  <si>
    <t xml:space="preserve">986510:eng</t>
  </si>
  <si>
    <t xml:space="preserve">35710870</t>
  </si>
  <si>
    <t xml:space="preserve">991002723169702656</t>
  </si>
  <si>
    <t xml:space="preserve">2255197960002656</t>
  </si>
  <si>
    <t xml:space="preserve">9780195106459</t>
  </si>
  <si>
    <t xml:space="preserve">32285002409075</t>
  </si>
  <si>
    <t xml:space="preserve">893347841</t>
  </si>
  <si>
    <t xml:space="preserve">B105.I56 S43 1983</t>
  </si>
  <si>
    <t xml:space="preserve">0                      B  0105000I  56                 S  43          1983</t>
  </si>
  <si>
    <t xml:space="preserve">Intentionality, an essay in the philosophy of mind / John R. Searle.</t>
  </si>
  <si>
    <t xml:space="preserve">Searle, John R.</t>
  </si>
  <si>
    <t xml:space="preserve">Cambridge [Cambridgeshire] ; New York : Cambridge University Press, 1983.</t>
  </si>
  <si>
    <t xml:space="preserve">1990-04-24</t>
  </si>
  <si>
    <t xml:space="preserve">293435626:eng</t>
  </si>
  <si>
    <t xml:space="preserve">9196773</t>
  </si>
  <si>
    <t xml:space="preserve">991000147689702656</t>
  </si>
  <si>
    <t xml:space="preserve">2268420550002656</t>
  </si>
  <si>
    <t xml:space="preserve">9780521273022</t>
  </si>
  <si>
    <t xml:space="preserve">32285000125533</t>
  </si>
  <si>
    <t xml:space="preserve">893230908</t>
  </si>
  <si>
    <t xml:space="preserve">B105.J87 R45 1990</t>
  </si>
  <si>
    <t xml:space="preserve">0                      B  0105000J  87                 R  45          1990</t>
  </si>
  <si>
    <t xml:space="preserve">Justice and modern moral philosophy / Jeffrey Reiman.</t>
  </si>
  <si>
    <t xml:space="preserve">Reiman, Jeffrey H.</t>
  </si>
  <si>
    <t xml:space="preserve">New Haven : Yale University Press, c1990.</t>
  </si>
  <si>
    <t xml:space="preserve">1999-11-24</t>
  </si>
  <si>
    <t xml:space="preserve">21598119:eng</t>
  </si>
  <si>
    <t xml:space="preserve">19629497</t>
  </si>
  <si>
    <t xml:space="preserve">991001641439702656</t>
  </si>
  <si>
    <t xml:space="preserve">2262617690002656</t>
  </si>
  <si>
    <t xml:space="preserve">9780300045185</t>
  </si>
  <si>
    <t xml:space="preserve">32285000139484</t>
  </si>
  <si>
    <t xml:space="preserve">893715572</t>
  </si>
  <si>
    <t xml:space="preserve">B105.J87 V34</t>
  </si>
  <si>
    <t xml:space="preserve">0                      B  0105000J  87                 V  34</t>
  </si>
  <si>
    <t xml:space="preserve">The Value of justice : essays on the theory and practice of social virtue / edited by Charles A. Kelbley.</t>
  </si>
  <si>
    <t xml:space="preserve">New York : Fordham University Press, 1979.</t>
  </si>
  <si>
    <t xml:space="preserve">1997-10-02</t>
  </si>
  <si>
    <t xml:space="preserve">866253443:eng</t>
  </si>
  <si>
    <t xml:space="preserve">5937685</t>
  </si>
  <si>
    <t xml:space="preserve">991004901059702656</t>
  </si>
  <si>
    <t xml:space="preserve">2263862720002656</t>
  </si>
  <si>
    <t xml:space="preserve">9780823210411</t>
  </si>
  <si>
    <t xml:space="preserve">32285000125558</t>
  </si>
  <si>
    <t xml:space="preserve">893700799</t>
  </si>
  <si>
    <t xml:space="preserve">B105.M4 J64 1987</t>
  </si>
  <si>
    <t xml:space="preserve">0                      B  0105000M  4                  J  64          1987</t>
  </si>
  <si>
    <t xml:space="preserve">The body in the mind : the bodily basis of meaning, imagination, and reason / Mark Johnson.</t>
  </si>
  <si>
    <t xml:space="preserve">Johnson, Mark, 1949-</t>
  </si>
  <si>
    <t xml:space="preserve">Chicago : University of Chicago Press, 1987.</t>
  </si>
  <si>
    <t xml:space="preserve">2010-09-07</t>
  </si>
  <si>
    <t xml:space="preserve">1990-05-02</t>
  </si>
  <si>
    <t xml:space="preserve">200041470:eng</t>
  </si>
  <si>
    <t xml:space="preserve">14692604</t>
  </si>
  <si>
    <t xml:space="preserve">991000952699702656</t>
  </si>
  <si>
    <t xml:space="preserve">2257684840002656</t>
  </si>
  <si>
    <t xml:space="preserve">9780226403175</t>
  </si>
  <si>
    <t xml:space="preserve">32285000117498</t>
  </si>
  <si>
    <t xml:space="preserve">893897367</t>
  </si>
  <si>
    <t xml:space="preserve">B105.M4 M39 1993</t>
  </si>
  <si>
    <t xml:space="preserve">0                      B  0105000M  4                  M  39          1993</t>
  </si>
  <si>
    <t xml:space="preserve">Meaning and reference / edited by A.W. Moore.</t>
  </si>
  <si>
    <t xml:space="preserve">Oxford ; New York : Oxford University Press, 1993.</t>
  </si>
  <si>
    <t xml:space="preserve">2000-11-29</t>
  </si>
  <si>
    <t xml:space="preserve">1994-03-23</t>
  </si>
  <si>
    <t xml:space="preserve">55627243:eng</t>
  </si>
  <si>
    <t xml:space="preserve">26588481</t>
  </si>
  <si>
    <t xml:space="preserve">991002074609702656</t>
  </si>
  <si>
    <t xml:space="preserve">2266137950002656</t>
  </si>
  <si>
    <t xml:space="preserve">9780198751243</t>
  </si>
  <si>
    <t xml:space="preserve">32285001857472</t>
  </si>
  <si>
    <t xml:space="preserve">893785677</t>
  </si>
  <si>
    <t xml:space="preserve">B105.M4 M67</t>
  </si>
  <si>
    <t xml:space="preserve">0                      B  0105000M  4                  M  67</t>
  </si>
  <si>
    <t xml:space="preserve">In search of meaning : from Freud to Teilhard de Chardin / John H. Morgan.</t>
  </si>
  <si>
    <t xml:space="preserve">Morgan, John H. (John Henry), 1945-</t>
  </si>
  <si>
    <t xml:space="preserve">Washington : University Press of America, c1978.</t>
  </si>
  <si>
    <t xml:space="preserve">287156606:eng</t>
  </si>
  <si>
    <t xml:space="preserve">3748029</t>
  </si>
  <si>
    <t xml:space="preserve">991004507629702656</t>
  </si>
  <si>
    <t xml:space="preserve">2269147030002656</t>
  </si>
  <si>
    <t xml:space="preserve">9780819102515</t>
  </si>
  <si>
    <t xml:space="preserve">32285000125632</t>
  </si>
  <si>
    <t xml:space="preserve">893718999</t>
  </si>
  <si>
    <t xml:space="preserve">B105.M55 B43 1988</t>
  </si>
  <si>
    <t xml:space="preserve">0                      B  0105000M  55                 B  43          1988</t>
  </si>
  <si>
    <t xml:space="preserve">Philosophy of mind : an overview for cognitive science / William Bechtel.</t>
  </si>
  <si>
    <t xml:space="preserve">Bechtel, William.</t>
  </si>
  <si>
    <t xml:space="preserve">Hillsdale, N.J. : L. Erlbaum Associates, 1988.</t>
  </si>
  <si>
    <t xml:space="preserve">3901089862:eng</t>
  </si>
  <si>
    <t xml:space="preserve">16985905</t>
  </si>
  <si>
    <t xml:space="preserve">991001174819702656</t>
  </si>
  <si>
    <t xml:space="preserve">2272075580002656</t>
  </si>
  <si>
    <t xml:space="preserve">9780805802344</t>
  </si>
  <si>
    <t xml:space="preserve">32285000178813</t>
  </si>
  <si>
    <t xml:space="preserve">893715244</t>
  </si>
  <si>
    <t xml:space="preserve">B105.M55 H63 1993</t>
  </si>
  <si>
    <t xml:space="preserve">0                      B  0105000M  55                 H  63          1993</t>
  </si>
  <si>
    <t xml:space="preserve">The mind matters : consciousness and choice in a quantum world / David Hodgson.</t>
  </si>
  <si>
    <t xml:space="preserve">Hodgson, David (David H.)</t>
  </si>
  <si>
    <t xml:space="preserve">Oxford : Clarendon Press ; New York : Oxford University Press, 1993, c1991.</t>
  </si>
  <si>
    <t xml:space="preserve">2009-07-20</t>
  </si>
  <si>
    <t xml:space="preserve">1994-03-22</t>
  </si>
  <si>
    <t xml:space="preserve">197346223:eng</t>
  </si>
  <si>
    <t xml:space="preserve">60058678</t>
  </si>
  <si>
    <t xml:space="preserve">991002194369702656</t>
  </si>
  <si>
    <t xml:space="preserve">2262733890002656</t>
  </si>
  <si>
    <t xml:space="preserve">9780198240686</t>
  </si>
  <si>
    <t xml:space="preserve">32285001856748</t>
  </si>
  <si>
    <t xml:space="preserve">893779519</t>
  </si>
  <si>
    <t xml:space="preserve">B105.M6 L69 1988</t>
  </si>
  <si>
    <t xml:space="preserve">0                      B  0105000M  6                  L  69          1988</t>
  </si>
  <si>
    <t xml:space="preserve">Nonduality : a study in comparative philosophy / David Loy.</t>
  </si>
  <si>
    <t xml:space="preserve">Loy, David, 1947-</t>
  </si>
  <si>
    <t xml:space="preserve">New Haven : Yale University Press, c1988.</t>
  </si>
  <si>
    <t xml:space="preserve">2007-07-16</t>
  </si>
  <si>
    <t xml:space="preserve">937790:eng</t>
  </si>
  <si>
    <t xml:space="preserve">17300678</t>
  </si>
  <si>
    <t xml:space="preserve">991001200109702656</t>
  </si>
  <si>
    <t xml:space="preserve">2267743220002656</t>
  </si>
  <si>
    <t xml:space="preserve">9780300038989</t>
  </si>
  <si>
    <t xml:space="preserve">32285000117274</t>
  </si>
  <si>
    <t xml:space="preserve">893231787</t>
  </si>
  <si>
    <t xml:space="preserve">B105.P54 H94 1984</t>
  </si>
  <si>
    <t xml:space="preserve">0                      B  0105000P  54                 H  94          1984</t>
  </si>
  <si>
    <t xml:space="preserve">The question of play / Drew A. Hyland.</t>
  </si>
  <si>
    <t xml:space="preserve">Hyland, Drew A.</t>
  </si>
  <si>
    <t xml:space="preserve">Lanham, MD : University Press of America, c1984.</t>
  </si>
  <si>
    <t xml:space="preserve">2009-04-06</t>
  </si>
  <si>
    <t xml:space="preserve">1992-06-09</t>
  </si>
  <si>
    <t xml:space="preserve">2944156:eng</t>
  </si>
  <si>
    <t xml:space="preserve">10753803</t>
  </si>
  <si>
    <t xml:space="preserve">991000426579702656</t>
  </si>
  <si>
    <t xml:space="preserve">2265396760002656</t>
  </si>
  <si>
    <t xml:space="preserve">9780819140067</t>
  </si>
  <si>
    <t xml:space="preserve">32285001074128</t>
  </si>
  <si>
    <t xml:space="preserve">893796633</t>
  </si>
  <si>
    <t xml:space="preserve">B105.P54 S65 1989</t>
  </si>
  <si>
    <t xml:space="preserve">0                      B  0105000P  54                 S  65          1989</t>
  </si>
  <si>
    <t xml:space="preserve">Dionysus reborn : play and the aesthetic dimension in modern philosophical and scientific discourse / Mihai I. Spariosu.</t>
  </si>
  <si>
    <t xml:space="preserve">Spariosu, Mihai.</t>
  </si>
  <si>
    <t xml:space="preserve">2006-04-26</t>
  </si>
  <si>
    <t xml:space="preserve">1991-01-16</t>
  </si>
  <si>
    <t xml:space="preserve">21771667:eng</t>
  </si>
  <si>
    <t xml:space="preserve">19389711</t>
  </si>
  <si>
    <t xml:space="preserve">991001457339702656</t>
  </si>
  <si>
    <t xml:space="preserve">2259227320002656</t>
  </si>
  <si>
    <t xml:space="preserve">9780801423277</t>
  </si>
  <si>
    <t xml:space="preserve">32285000408509</t>
  </si>
  <si>
    <t xml:space="preserve">893340456</t>
  </si>
  <si>
    <t xml:space="preserve">B105.R25 S24 1981</t>
  </si>
  <si>
    <t xml:space="preserve">0                      B  0105000R  25                 S  24          1981</t>
  </si>
  <si>
    <t xml:space="preserve">Reference and essence / Nathan U. Salmon.</t>
  </si>
  <si>
    <t xml:space="preserve">Salmon, Nathan U., 1951-</t>
  </si>
  <si>
    <t xml:space="preserve">Princeton, N.J. : Princeton University Press, c1981.</t>
  </si>
  <si>
    <t xml:space="preserve">1997-03-12</t>
  </si>
  <si>
    <t xml:space="preserve">77933:eng</t>
  </si>
  <si>
    <t xml:space="preserve">7572886</t>
  </si>
  <si>
    <t xml:space="preserve">991005131509702656</t>
  </si>
  <si>
    <t xml:space="preserve">2271709390002656</t>
  </si>
  <si>
    <t xml:space="preserve">9780691072647</t>
  </si>
  <si>
    <t xml:space="preserve">32285000125764</t>
  </si>
  <si>
    <t xml:space="preserve">893870568</t>
  </si>
  <si>
    <t xml:space="preserve">B105.S55 M55 1984</t>
  </si>
  <si>
    <t xml:space="preserve">0                      B  0105000S  55                 M  55          1984</t>
  </si>
  <si>
    <t xml:space="preserve">Contingent immaterialism : meaning, freedom, time, and mind / by Ben Mijuskovic.</t>
  </si>
  <si>
    <t xml:space="preserve">Mijuskovic, Ben Lazare.</t>
  </si>
  <si>
    <t xml:space="preserve">Amsterdam : B.R. Grüner, 1984.</t>
  </si>
  <si>
    <t xml:space="preserve">1996-12-10</t>
  </si>
  <si>
    <t xml:space="preserve">1991-10-16</t>
  </si>
  <si>
    <t xml:space="preserve">4250694:eng</t>
  </si>
  <si>
    <t xml:space="preserve">11497602</t>
  </si>
  <si>
    <t xml:space="preserve">991000542959702656</t>
  </si>
  <si>
    <t xml:space="preserve">2265571540002656</t>
  </si>
  <si>
    <t xml:space="preserve">9789060322543</t>
  </si>
  <si>
    <t xml:space="preserve">32285000726538</t>
  </si>
  <si>
    <t xml:space="preserve">893231195</t>
  </si>
  <si>
    <t xml:space="preserve">B105.S64 S63 1988</t>
  </si>
  <si>
    <t xml:space="preserve">0                      B  0105000S  64                 S  63          1988</t>
  </si>
  <si>
    <t xml:space="preserve">The concept of the spiritual : an essay in first philosophy / Steven G. Smith.</t>
  </si>
  <si>
    <t xml:space="preserve">Smith, Steven G.</t>
  </si>
  <si>
    <t xml:space="preserve">Philadelphia : Temple University Press, c1988.</t>
  </si>
  <si>
    <t xml:space="preserve">2009-01-07</t>
  </si>
  <si>
    <t xml:space="preserve">1990-04-12</t>
  </si>
  <si>
    <t xml:space="preserve">15960010:eng</t>
  </si>
  <si>
    <t xml:space="preserve">17384928</t>
  </si>
  <si>
    <t xml:space="preserve">991001210459702656</t>
  </si>
  <si>
    <t xml:space="preserve">2269586990002656</t>
  </si>
  <si>
    <t xml:space="preserve">9780877225539</t>
  </si>
  <si>
    <t xml:space="preserve">32285000094770</t>
  </si>
  <si>
    <t xml:space="preserve">893414057</t>
  </si>
  <si>
    <t xml:space="preserve">B105.S7 R35 1993</t>
  </si>
  <si>
    <t xml:space="preserve">0                      B  0105000S  7                  R  35          1993</t>
  </si>
  <si>
    <t xml:space="preserve">Raising the tone of philosophy : late essays by Immanuel Kant, transformative critique by Jacques Derrida / edited by Peter Fenves.</t>
  </si>
  <si>
    <t xml:space="preserve">Baltimore : Johns Hopkins University Press, c1993.</t>
  </si>
  <si>
    <t xml:space="preserve">1996-10-08</t>
  </si>
  <si>
    <t xml:space="preserve">1993-05-19</t>
  </si>
  <si>
    <t xml:space="preserve">836903652:eng</t>
  </si>
  <si>
    <t xml:space="preserve">25873537</t>
  </si>
  <si>
    <t xml:space="preserve">991002032129702656</t>
  </si>
  <si>
    <t xml:space="preserve">2269541110002656</t>
  </si>
  <si>
    <t xml:space="preserve">9780801844560</t>
  </si>
  <si>
    <t xml:space="preserve">32285001582054</t>
  </si>
  <si>
    <t xml:space="preserve">893334851</t>
  </si>
  <si>
    <t xml:space="preserve">B105.T54 D56 1988</t>
  </si>
  <si>
    <t xml:space="preserve">0                      B  0105000T  54                 D  56          1988</t>
  </si>
  <si>
    <t xml:space="preserve">Dimensions of thinking : a framework for curriculum and instruction / Robert J. Marzano ... et al.</t>
  </si>
  <si>
    <t xml:space="preserve">Alexandria : Association for Supervision and Curriculum Development, 1988.</t>
  </si>
  <si>
    <t xml:space="preserve">vau</t>
  </si>
  <si>
    <t xml:space="preserve">1999-03-14</t>
  </si>
  <si>
    <t xml:space="preserve">917377996:eng</t>
  </si>
  <si>
    <t xml:space="preserve">17528246</t>
  </si>
  <si>
    <t xml:space="preserve">991001237619702656</t>
  </si>
  <si>
    <t xml:space="preserve">2263011950002656</t>
  </si>
  <si>
    <t xml:space="preserve">32285000125848</t>
  </si>
  <si>
    <t xml:space="preserve">893503230</t>
  </si>
  <si>
    <t xml:space="preserve">B105.T54 T43 1987</t>
  </si>
  <si>
    <t xml:space="preserve">0                      B  0105000T  54                 T  43          1987</t>
  </si>
  <si>
    <t xml:space="preserve">Teaching thinking skills : theory and practice / edited by Joan Boykoff Baron, Robert J. Sternberg.</t>
  </si>
  <si>
    <t xml:space="preserve">New York : Freeman, c1987.</t>
  </si>
  <si>
    <t xml:space="preserve">1999-03-16</t>
  </si>
  <si>
    <t xml:space="preserve">827743076:eng</t>
  </si>
  <si>
    <t xml:space="preserve">13333670</t>
  </si>
  <si>
    <t xml:space="preserve">991000813349702656</t>
  </si>
  <si>
    <t xml:space="preserve">2262004490002656</t>
  </si>
  <si>
    <t xml:space="preserve">9780716717911</t>
  </si>
  <si>
    <t xml:space="preserve">32285000125871</t>
  </si>
  <si>
    <t xml:space="preserve">893426069</t>
  </si>
  <si>
    <t xml:space="preserve">B105.T54 W45 1991</t>
  </si>
  <si>
    <t xml:space="preserve">0                      B  0105000T  54                 W  45          1991</t>
  </si>
  <si>
    <t xml:space="preserve">Belief and make-believe : critical reflections on the sources of credulity / G.A. Wells.</t>
  </si>
  <si>
    <t xml:space="preserve">Wells, George Albert, 1926-</t>
  </si>
  <si>
    <t xml:space="preserve">La Salle, Ill. : Open Court, 1991.</t>
  </si>
  <si>
    <t xml:space="preserve">1992-02-04</t>
  </si>
  <si>
    <t xml:space="preserve">815127629:eng</t>
  </si>
  <si>
    <t xml:space="preserve">24667788</t>
  </si>
  <si>
    <t xml:space="preserve">991001951029702656</t>
  </si>
  <si>
    <t xml:space="preserve">2255845720002656</t>
  </si>
  <si>
    <t xml:space="preserve">9780812691870</t>
  </si>
  <si>
    <t xml:space="preserve">32285000868363</t>
  </si>
  <si>
    <t xml:space="preserve">893779229</t>
  </si>
  <si>
    <t xml:space="preserve">B105.U5 A15 1967</t>
  </si>
  <si>
    <t xml:space="preserve">0                      B  0105000U  5                  A  15          1967</t>
  </si>
  <si>
    <t xml:space="preserve">The theory of universals / by Richard I. Aaron.</t>
  </si>
  <si>
    <t xml:space="preserve">Aaron, Richard I. (Richard Ithamar), 1901-1987.</t>
  </si>
  <si>
    <t xml:space="preserve">London : Clarendon P., 1967.</t>
  </si>
  <si>
    <t xml:space="preserve">2006-10-03</t>
  </si>
  <si>
    <t xml:space="preserve">134586853:eng</t>
  </si>
  <si>
    <t xml:space="preserve">307324</t>
  </si>
  <si>
    <t xml:space="preserve">991002266879702656</t>
  </si>
  <si>
    <t xml:space="preserve">2265632750002656</t>
  </si>
  <si>
    <t xml:space="preserve">32285000125905</t>
  </si>
  <si>
    <t xml:space="preserve">893529760</t>
  </si>
  <si>
    <t xml:space="preserve">B105.U5 W64</t>
  </si>
  <si>
    <t xml:space="preserve">0                      B  0105000U  5                  W  64</t>
  </si>
  <si>
    <t xml:space="preserve">On universals : an essay in ontology.</t>
  </si>
  <si>
    <t xml:space="preserve">Wolterstorff, Nicholas.</t>
  </si>
  <si>
    <t xml:space="preserve">Chicago : University of Chicago Press, [1970]</t>
  </si>
  <si>
    <t xml:space="preserve">2010-04-15</t>
  </si>
  <si>
    <t xml:space="preserve">419560:eng</t>
  </si>
  <si>
    <t xml:space="preserve">142477</t>
  </si>
  <si>
    <t xml:space="preserve">991005353379702656</t>
  </si>
  <si>
    <t xml:space="preserve">2255052700002656</t>
  </si>
  <si>
    <t xml:space="preserve">9780226905655</t>
  </si>
  <si>
    <t xml:space="preserve">32285000125954</t>
  </si>
  <si>
    <t xml:space="preserve">893625863</t>
  </si>
  <si>
    <t xml:space="preserve">B105.W3 P37 1996</t>
  </si>
  <si>
    <t xml:space="preserve">0                      B  0105000W  3                  P  37          1996</t>
  </si>
  <si>
    <t xml:space="preserve">Deterrence and the crisis in moral theory : an analysis of the moral literature on the nuclear arms debate / Gabriel Palmer-Fernandez.</t>
  </si>
  <si>
    <t xml:space="preserve">Palmer-Fernandez, Gabriel, 1953-</t>
  </si>
  <si>
    <t xml:space="preserve">New York : P. Lang, c1996.</t>
  </si>
  <si>
    <t xml:space="preserve">San Francisco State University series in philosophy, 1067-0017 ; v. 8</t>
  </si>
  <si>
    <t xml:space="preserve">2010-02-28</t>
  </si>
  <si>
    <t xml:space="preserve">1997-02-05</t>
  </si>
  <si>
    <t xml:space="preserve">891676621:eng</t>
  </si>
  <si>
    <t xml:space="preserve">31207682</t>
  </si>
  <si>
    <t xml:space="preserve">991002401489702656</t>
  </si>
  <si>
    <t xml:space="preserve">2257507500002656</t>
  </si>
  <si>
    <t xml:space="preserve">9780820426211</t>
  </si>
  <si>
    <t xml:space="preserve">32285002414075</t>
  </si>
  <si>
    <t xml:space="preserve">893433835</t>
  </si>
  <si>
    <t xml:space="preserve">B108 .S6 1956</t>
  </si>
  <si>
    <t xml:space="preserve">0                      B  0108000S  6           1956</t>
  </si>
  <si>
    <t xml:space="preserve">Philosophers speak for themselves.</t>
  </si>
  <si>
    <t xml:space="preserve">Smith, Thomas Vernor, 1890-1964 editor.</t>
  </si>
  <si>
    <t xml:space="preserve">Chicago] : University of Chicago Press, [1956]</t>
  </si>
  <si>
    <t xml:space="preserve">[2d ed.</t>
  </si>
  <si>
    <t xml:space="preserve">Phoenix books ; P8-P9</t>
  </si>
  <si>
    <t xml:space="preserve">2008-12-01</t>
  </si>
  <si>
    <t xml:space="preserve">5090956592:eng</t>
  </si>
  <si>
    <t xml:space="preserve">871167</t>
  </si>
  <si>
    <t xml:space="preserve">991003340359702656</t>
  </si>
  <si>
    <t xml:space="preserve">2261599160002656</t>
  </si>
  <si>
    <t xml:space="preserve">32285000126028</t>
  </si>
  <si>
    <t xml:space="preserve">893692640</t>
  </si>
  <si>
    <t xml:space="preserve">32285000126036</t>
  </si>
  <si>
    <t xml:space="preserve">893711288</t>
  </si>
  <si>
    <t xml:space="preserve">B111 .H3</t>
  </si>
  <si>
    <t xml:space="preserve">0                      B  0111000H  3</t>
  </si>
  <si>
    <t xml:space="preserve">A history of Greek and Roman philosophy.</t>
  </si>
  <si>
    <t xml:space="preserve">Hackney, John.</t>
  </si>
  <si>
    <t xml:space="preserve">New York : Philosophical Library, [1966]</t>
  </si>
  <si>
    <t xml:space="preserve">1996-09-23</t>
  </si>
  <si>
    <t xml:space="preserve">2310491:eng</t>
  </si>
  <si>
    <t xml:space="preserve">1655750</t>
  </si>
  <si>
    <t xml:space="preserve">991003856749702656</t>
  </si>
  <si>
    <t xml:space="preserve">2270549940002656</t>
  </si>
  <si>
    <t xml:space="preserve">32285000126051</t>
  </si>
  <si>
    <t xml:space="preserve">893499792</t>
  </si>
  <si>
    <t xml:space="preserve">B1111 .B8</t>
  </si>
  <si>
    <t xml:space="preserve">0                      B  1111000B  8</t>
  </si>
  <si>
    <t xml:space="preserve">The English philosophers from Bacon to Mill / edited, with an introduction, by Edwin A. Burtt.</t>
  </si>
  <si>
    <t xml:space="preserve">Burtt, Edwin A. (Edwin Arthur), 1892-1989, editor.</t>
  </si>
  <si>
    <t xml:space="preserve">New York : The Modern library, [1939]</t>
  </si>
  <si>
    <t xml:space="preserve">The Modern library of the world's best books</t>
  </si>
  <si>
    <t xml:space="preserve">1996-12-30</t>
  </si>
  <si>
    <t xml:space="preserve">1990-06-14</t>
  </si>
  <si>
    <t xml:space="preserve">133141169:eng</t>
  </si>
  <si>
    <t xml:space="preserve">649526</t>
  </si>
  <si>
    <t xml:space="preserve">991003100589702656</t>
  </si>
  <si>
    <t xml:space="preserve">2259033970002656</t>
  </si>
  <si>
    <t xml:space="preserve">32285000195106</t>
  </si>
  <si>
    <t xml:space="preserve">893899625</t>
  </si>
  <si>
    <t xml:space="preserve">B1131 .B4 1951</t>
  </si>
  <si>
    <t xml:space="preserve">0                      B  1131000B  4           1951</t>
  </si>
  <si>
    <t xml:space="preserve">The cultural revolution of the seventeenth century / S.L. Bethell.</t>
  </si>
  <si>
    <t xml:space="preserve">Bethell, S. L., 1908-</t>
  </si>
  <si>
    <t xml:space="preserve">London : D. Dobson, [1951]</t>
  </si>
  <si>
    <t xml:space="preserve">2002-11-21</t>
  </si>
  <si>
    <t xml:space="preserve">2439304:eng</t>
  </si>
  <si>
    <t xml:space="preserve">2068125</t>
  </si>
  <si>
    <t xml:space="preserve">991003949549702656</t>
  </si>
  <si>
    <t xml:space="preserve">2261905280002656</t>
  </si>
  <si>
    <t xml:space="preserve">32285004665658</t>
  </si>
  <si>
    <t xml:space="preserve">893894398</t>
  </si>
  <si>
    <t xml:space="preserve">B1131 .J3 1949</t>
  </si>
  <si>
    <t xml:space="preserve">0                      B  1131000J  3           1949</t>
  </si>
  <si>
    <t xml:space="preserve">The life of reason : Hobbes, Locke, Bolingbroke / by D.G. James.</t>
  </si>
  <si>
    <t xml:space="preserve">James, D. G. (David Gwilym), 1905-1968.</t>
  </si>
  <si>
    <t xml:space="preserve">London ; New York : Longmans, Green, 1949.</t>
  </si>
  <si>
    <t xml:space="preserve">The English Augustans ; v.1</t>
  </si>
  <si>
    <t xml:space="preserve">23674315:eng</t>
  </si>
  <si>
    <t xml:space="preserve">21936208</t>
  </si>
  <si>
    <t xml:space="preserve">991003949309702656</t>
  </si>
  <si>
    <t xml:space="preserve">2261301140002656</t>
  </si>
  <si>
    <t xml:space="preserve">32285004665567</t>
  </si>
  <si>
    <t xml:space="preserve">893693357</t>
  </si>
  <si>
    <t xml:space="preserve">B1133.C2 C353</t>
  </si>
  <si>
    <t xml:space="preserve">0                      B  1133000C  2                  C  353</t>
  </si>
  <si>
    <t xml:space="preserve">The Platonic renaissance in England / translated by James P. Pettegrove.</t>
  </si>
  <si>
    <t xml:space="preserve">Cassirer, Ernst, 1874-1945.</t>
  </si>
  <si>
    <t xml:space="preserve">Austin : University of Texas Press, 1953.</t>
  </si>
  <si>
    <t xml:space="preserve">txu</t>
  </si>
  <si>
    <t xml:space="preserve">1994-10-19</t>
  </si>
  <si>
    <t xml:space="preserve">134443649:eng</t>
  </si>
  <si>
    <t xml:space="preserve">594368</t>
  </si>
  <si>
    <t xml:space="preserve">991003031009702656</t>
  </si>
  <si>
    <t xml:space="preserve">2271702660002656</t>
  </si>
  <si>
    <t xml:space="preserve">9780877521280</t>
  </si>
  <si>
    <t xml:space="preserve">32285000195163</t>
  </si>
  <si>
    <t xml:space="preserve">893686116</t>
  </si>
  <si>
    <t xml:space="preserve">B1197 .B45</t>
  </si>
  <si>
    <t xml:space="preserve">0                      B  1197000B  45</t>
  </si>
  <si>
    <t xml:space="preserve">The real Francis Bacon : a biography.</t>
  </si>
  <si>
    <t xml:space="preserve">Bevan, Bryan.</t>
  </si>
  <si>
    <t xml:space="preserve">London : Centaur Press, 1960</t>
  </si>
  <si>
    <t xml:space="preserve">1996-09-14</t>
  </si>
  <si>
    <t xml:space="preserve">1995-10-03</t>
  </si>
  <si>
    <t xml:space="preserve">428699230:eng</t>
  </si>
  <si>
    <t xml:space="preserve">1428322</t>
  </si>
  <si>
    <t xml:space="preserve">991003751399702656</t>
  </si>
  <si>
    <t xml:space="preserve">2265739920002656</t>
  </si>
  <si>
    <t xml:space="preserve">32285002024551</t>
  </si>
  <si>
    <t xml:space="preserve">893775110</t>
  </si>
  <si>
    <t xml:space="preserve">B1197 .B6</t>
  </si>
  <si>
    <t xml:space="preserve">0                      B  1197000B  6</t>
  </si>
  <si>
    <t xml:space="preserve">Francis Bacon : the temper of a man.</t>
  </si>
  <si>
    <t xml:space="preserve">Bowen, Catherine Drinker, 1897-1973.</t>
  </si>
  <si>
    <t xml:space="preserve">Boston : Little, Brown, [1963]</t>
  </si>
  <si>
    <t xml:space="preserve">1995-04-02</t>
  </si>
  <si>
    <t xml:space="preserve">4451784233:eng</t>
  </si>
  <si>
    <t xml:space="preserve">316705</t>
  </si>
  <si>
    <t xml:space="preserve">991002298219702656</t>
  </si>
  <si>
    <t xml:space="preserve">2269358250002656</t>
  </si>
  <si>
    <t xml:space="preserve">32285000078922</t>
  </si>
  <si>
    <t xml:space="preserve">893445077</t>
  </si>
  <si>
    <t xml:space="preserve">B1197 .P3 1966</t>
  </si>
  <si>
    <t xml:space="preserve">0                      B  1197000P  3           1966</t>
  </si>
  <si>
    <t xml:space="preserve">Francis Bacon / by J. Max Patrick.</t>
  </si>
  <si>
    <t xml:space="preserve">Patrick, J. Max (John Max), 1911-1996.</t>
  </si>
  <si>
    <t xml:space="preserve">[London] : Published for the British Council and the National Book League by Longmans, Green, [1966, c1961]</t>
  </si>
  <si>
    <t xml:space="preserve">Bibliographical series of supplements to British book news on writers and their work ; no. 131</t>
  </si>
  <si>
    <t xml:space="preserve">1934324503:eng</t>
  </si>
  <si>
    <t xml:space="preserve">80883</t>
  </si>
  <si>
    <t xml:space="preserve">991000498839702656</t>
  </si>
  <si>
    <t xml:space="preserve">2271720750002656</t>
  </si>
  <si>
    <t xml:space="preserve">32285000195577</t>
  </si>
  <si>
    <t xml:space="preserve">893790567</t>
  </si>
  <si>
    <t xml:space="preserve">B1198 .A5</t>
  </si>
  <si>
    <t xml:space="preserve">0                      B  1198000A  5</t>
  </si>
  <si>
    <t xml:space="preserve">The philosophy of Francis Bacon.</t>
  </si>
  <si>
    <t xml:space="preserve">Anderson, F. H. (Fulton Henry), 1895-1968.</t>
  </si>
  <si>
    <t xml:space="preserve">Chicago : University of Chicago Press, [1948]</t>
  </si>
  <si>
    <t xml:space="preserve">1997-09-11</t>
  </si>
  <si>
    <t xml:space="preserve">1278296:eng</t>
  </si>
  <si>
    <t xml:space="preserve">594383</t>
  </si>
  <si>
    <t xml:space="preserve">991003031179702656</t>
  </si>
  <si>
    <t xml:space="preserve">2271718940002656</t>
  </si>
  <si>
    <t xml:space="preserve">32285000195601</t>
  </si>
  <si>
    <t xml:space="preserve">893799308</t>
  </si>
  <si>
    <t xml:space="preserve">B1198 .C7</t>
  </si>
  <si>
    <t xml:space="preserve">0                      B  1198000C  7</t>
  </si>
  <si>
    <t xml:space="preserve">Francis Bacon : the first statesman of science.</t>
  </si>
  <si>
    <t xml:space="preserve">Crowther, J. G. (James Gerald), 1899-1983.</t>
  </si>
  <si>
    <t xml:space="preserve">London : Cresset Press, 1960.</t>
  </si>
  <si>
    <t xml:space="preserve">1994-11-10</t>
  </si>
  <si>
    <t xml:space="preserve">429182446:eng</t>
  </si>
  <si>
    <t xml:space="preserve">1421637</t>
  </si>
  <si>
    <t xml:space="preserve">991003748369702656</t>
  </si>
  <si>
    <t xml:space="preserve">2269505510002656</t>
  </si>
  <si>
    <t xml:space="preserve">32285000195619</t>
  </si>
  <si>
    <t xml:space="preserve">893705584</t>
  </si>
  <si>
    <t xml:space="preserve">B1198 .F3</t>
  </si>
  <si>
    <t xml:space="preserve">0                      B  1198000F  3</t>
  </si>
  <si>
    <t xml:space="preserve">Francis Bacon : philosopher of industrial science.</t>
  </si>
  <si>
    <t xml:space="preserve">Farrington, Benjamin, 1891-1974.</t>
  </si>
  <si>
    <t xml:space="preserve">New York : H. Schuman, [1949]</t>
  </si>
  <si>
    <t xml:space="preserve">The Life of science library [11]</t>
  </si>
  <si>
    <t xml:space="preserve">1089942591:eng</t>
  </si>
  <si>
    <t xml:space="preserve">14677264</t>
  </si>
  <si>
    <t xml:space="preserve">991002157149702656</t>
  </si>
  <si>
    <t xml:space="preserve">2262016190002656</t>
  </si>
  <si>
    <t xml:space="preserve">32285000195627</t>
  </si>
  <si>
    <t xml:space="preserve">893523258</t>
  </si>
  <si>
    <t xml:space="preserve">B1198 .G7</t>
  </si>
  <si>
    <t xml:space="preserve">0                      B  1198000G  7</t>
  </si>
  <si>
    <t xml:space="preserve">Sir Francis Bacon / by A. Wigfall Green.</t>
  </si>
  <si>
    <t xml:space="preserve">Green, A. Wigfall (Adwin Wigfall), 1900-1966.</t>
  </si>
  <si>
    <t xml:space="preserve">New York : Twayne Publishers, [c1966]</t>
  </si>
  <si>
    <t xml:space="preserve">Twayne's English authors series, 40</t>
  </si>
  <si>
    <t xml:space="preserve">909594493:eng</t>
  </si>
  <si>
    <t xml:space="preserve">371272</t>
  </si>
  <si>
    <t xml:space="preserve">991002558679702656</t>
  </si>
  <si>
    <t xml:space="preserve">2260090530002656</t>
  </si>
  <si>
    <t xml:space="preserve">32285000195643</t>
  </si>
  <si>
    <t xml:space="preserve">893226993</t>
  </si>
  <si>
    <t xml:space="preserve">B1198 .J37</t>
  </si>
  <si>
    <t xml:space="preserve">0                      B  1198000J  37</t>
  </si>
  <si>
    <t xml:space="preserve">Francis Bacon : discovery and the art of discourse / Lisa Jardine.</t>
  </si>
  <si>
    <t xml:space="preserve">Jardine, Lisa.</t>
  </si>
  <si>
    <t xml:space="preserve">London ; New York : Cambridge University Press, 1974.</t>
  </si>
  <si>
    <t xml:space="preserve">1998-09-10</t>
  </si>
  <si>
    <t xml:space="preserve">503397:eng</t>
  </si>
  <si>
    <t xml:space="preserve">1532204</t>
  </si>
  <si>
    <t xml:space="preserve">991003808799702656</t>
  </si>
  <si>
    <t xml:space="preserve">2272279600002656</t>
  </si>
  <si>
    <t xml:space="preserve">9780521204941</t>
  </si>
  <si>
    <t xml:space="preserve">32285000195650</t>
  </si>
  <si>
    <t xml:space="preserve">893343043</t>
  </si>
  <si>
    <t xml:space="preserve">B1198 .L8 1967</t>
  </si>
  <si>
    <t xml:space="preserve">0                      B  1198000L  8           1967</t>
  </si>
  <si>
    <t xml:space="preserve">Francis Bacon and Denis Diderot : philosophers of science / [by] Lilo K. Luxembourg.</t>
  </si>
  <si>
    <t xml:space="preserve">Luxembourg, Lilo Katrin, 1914-</t>
  </si>
  <si>
    <t xml:space="preserve">København : Munksgaard, [1967]</t>
  </si>
  <si>
    <t xml:space="preserve">de </t>
  </si>
  <si>
    <t xml:space="preserve">197957152:eng</t>
  </si>
  <si>
    <t xml:space="preserve">936488</t>
  </si>
  <si>
    <t xml:space="preserve">991003397579702656</t>
  </si>
  <si>
    <t xml:space="preserve">2272494890002656</t>
  </si>
  <si>
    <t xml:space="preserve">32285000195668</t>
  </si>
  <si>
    <t xml:space="preserve">893252334</t>
  </si>
  <si>
    <t xml:space="preserve">B1199.M3 W3</t>
  </si>
  <si>
    <t xml:space="preserve">0                      B  1199000M  3                  W  3</t>
  </si>
  <si>
    <t xml:space="preserve">Francis Bacon on the nature of man : the faculties of man's soul : understanding, reason, imagination, memory, will, and appetite / [by] Karl R. Wallace.</t>
  </si>
  <si>
    <t xml:space="preserve">Wallace, Karl Richards, 1905-1973.</t>
  </si>
  <si>
    <t xml:space="preserve">Urbana : University of Illinois Press, 1967.</t>
  </si>
  <si>
    <t xml:space="preserve">225682832:eng</t>
  </si>
  <si>
    <t xml:space="preserve">371273</t>
  </si>
  <si>
    <t xml:space="preserve">991002558719702656</t>
  </si>
  <si>
    <t xml:space="preserve">2260109800002656</t>
  </si>
  <si>
    <t xml:space="preserve">32285000195718</t>
  </si>
  <si>
    <t xml:space="preserve">893597601</t>
  </si>
  <si>
    <t xml:space="preserve">B1199.M8 L4</t>
  </si>
  <si>
    <t xml:space="preserve">0                      B  1199000M  8                  L  4</t>
  </si>
  <si>
    <t xml:space="preserve">The classic deities in Bacon : a study in mythological symbolism / by Charles W. Lemmi.</t>
  </si>
  <si>
    <t xml:space="preserve">Lemmi, Charles W. (Charles William), 1882-</t>
  </si>
  <si>
    <t xml:space="preserve">Baltimore : The Johns Hopkins press, 1933.</t>
  </si>
  <si>
    <t xml:space="preserve">1933</t>
  </si>
  <si>
    <t xml:space="preserve">252242520:eng</t>
  </si>
  <si>
    <t xml:space="preserve">4151403</t>
  </si>
  <si>
    <t xml:space="preserve">991004597479702656</t>
  </si>
  <si>
    <t xml:space="preserve">2267454510002656</t>
  </si>
  <si>
    <t xml:space="preserve">32285000195726</t>
  </si>
  <si>
    <t xml:space="preserve">893350185</t>
  </si>
  <si>
    <t xml:space="preserve">B1199.S8 W47</t>
  </si>
  <si>
    <t xml:space="preserve">0                      B  1199000S  8                  W  47</t>
  </si>
  <si>
    <t xml:space="preserve">Peace among the willows : the political philosophy of Francis Bacon / [by] Howard B. White.</t>
  </si>
  <si>
    <t xml:space="preserve">White, Howard B., 1912-1974.</t>
  </si>
  <si>
    <t xml:space="preserve">The Hague : Martinus Nijhoff, 1968.</t>
  </si>
  <si>
    <t xml:space="preserve">International archives of the history of ideas, 24</t>
  </si>
  <si>
    <t xml:space="preserve">1992-12-05</t>
  </si>
  <si>
    <t xml:space="preserve">9657853871:eng</t>
  </si>
  <si>
    <t xml:space="preserve">41110</t>
  </si>
  <si>
    <t xml:space="preserve">991000094829702656</t>
  </si>
  <si>
    <t xml:space="preserve">2259708330002656</t>
  </si>
  <si>
    <t xml:space="preserve">32285000195734</t>
  </si>
  <si>
    <t xml:space="preserve">893514993</t>
  </si>
  <si>
    <t xml:space="preserve">B121 .C664 1997</t>
  </si>
  <si>
    <t xml:space="preserve">0                      B  0121000C  664         1997</t>
  </si>
  <si>
    <t xml:space="preserve">A companion to world philosophies / edited by Eliot Deutsch and Ron Bontekoe ; advisory editors, Tu Weiming ... [et al.].</t>
  </si>
  <si>
    <t xml:space="preserve">Malden, Mass. : Blackwell, 1997.</t>
  </si>
  <si>
    <t xml:space="preserve">Blackwell companions to philosophy</t>
  </si>
  <si>
    <t xml:space="preserve">2003-04-29</t>
  </si>
  <si>
    <t xml:space="preserve">1998-04-16</t>
  </si>
  <si>
    <t xml:space="preserve">5612784504:eng</t>
  </si>
  <si>
    <t xml:space="preserve">35262450</t>
  </si>
  <si>
    <t xml:space="preserve">991002701049702656</t>
  </si>
  <si>
    <t xml:space="preserve">2264225580002656</t>
  </si>
  <si>
    <t xml:space="preserve">9780631198710</t>
  </si>
  <si>
    <t xml:space="preserve">32285003375515</t>
  </si>
  <si>
    <t xml:space="preserve">893440410</t>
  </si>
  <si>
    <t xml:space="preserve">B121 .F36 1984</t>
  </si>
  <si>
    <t xml:space="preserve">0                      B  0121000F  36          1984</t>
  </si>
  <si>
    <t xml:space="preserve">Understanding Oriental philosophy : a popular account for the Western World / by James K. Feibleman.</t>
  </si>
  <si>
    <t xml:space="preserve">Feibleman, James K. (James Kern), 1904-1987.</t>
  </si>
  <si>
    <t xml:space="preserve">New York : New American Library, c1984.</t>
  </si>
  <si>
    <t xml:space="preserve">Rev. ed. / updated and with a new preface by the author.</t>
  </si>
  <si>
    <t xml:space="preserve">2003-02-22</t>
  </si>
  <si>
    <t xml:space="preserve">888929052:eng</t>
  </si>
  <si>
    <t xml:space="preserve">11313159</t>
  </si>
  <si>
    <t xml:space="preserve">991005404639702656</t>
  </si>
  <si>
    <t xml:space="preserve">2257711080002656</t>
  </si>
  <si>
    <t xml:space="preserve">9780452007109</t>
  </si>
  <si>
    <t xml:space="preserve">32285000127018</t>
  </si>
  <si>
    <t xml:space="preserve">893902683</t>
  </si>
  <si>
    <t xml:space="preserve">B121 .K5 1981b</t>
  </si>
  <si>
    <t xml:space="preserve">0                      B  0121000K  5           1981b</t>
  </si>
  <si>
    <t xml:space="preserve">Oriental thought : an introduction to the philosophical and religious thought of Asia / Yong Choon Kim ; with a foreword by David H. Freeman.</t>
  </si>
  <si>
    <t xml:space="preserve">Kim, Yong Choon.</t>
  </si>
  <si>
    <t xml:space="preserve">Totowa, N.J. : Rowman and Littlefield, 1981, c1973.</t>
  </si>
  <si>
    <t xml:space="preserve">1998-07-09</t>
  </si>
  <si>
    <t xml:space="preserve">487765:eng</t>
  </si>
  <si>
    <t xml:space="preserve">7170073</t>
  </si>
  <si>
    <t xml:space="preserve">991005079609702656</t>
  </si>
  <si>
    <t xml:space="preserve">2256479080002656</t>
  </si>
  <si>
    <t xml:space="preserve">9780847669721</t>
  </si>
  <si>
    <t xml:space="preserve">32285000127091</t>
  </si>
  <si>
    <t xml:space="preserve">893895818</t>
  </si>
  <si>
    <t xml:space="preserve">B121 .K56 1970</t>
  </si>
  <si>
    <t xml:space="preserve">0                      B  0121000K  56          1970</t>
  </si>
  <si>
    <t xml:space="preserve">Oriental philosophies / by John M. Koller.</t>
  </si>
  <si>
    <t xml:space="preserve">Koller, John M.</t>
  </si>
  <si>
    <t xml:space="preserve">New York : Scribner, [1970]</t>
  </si>
  <si>
    <t xml:space="preserve">2007-04-27</t>
  </si>
  <si>
    <t xml:space="preserve">1239473:eng</t>
  </si>
  <si>
    <t xml:space="preserve">70512</t>
  </si>
  <si>
    <t xml:space="preserve">991000355349702656</t>
  </si>
  <si>
    <t xml:space="preserve">2270219260002656</t>
  </si>
  <si>
    <t xml:space="preserve">32285001074136</t>
  </si>
  <si>
    <t xml:space="preserve">893601675</t>
  </si>
  <si>
    <t xml:space="preserve">B1246 .S7 1961</t>
  </si>
  <si>
    <t xml:space="preserve">0                      B  1246000S  7           1961</t>
  </si>
  <si>
    <t xml:space="preserve">Hobbes / by Sir Leslie Stephen.</t>
  </si>
  <si>
    <t xml:space="preserve">Stephen, Leslie, 1832-1904.</t>
  </si>
  <si>
    <t xml:space="preserve">[Ann Arbor] : University of Michigan Press, [1961]</t>
  </si>
  <si>
    <t xml:space="preserve">Ann Arbor paperbacks ; AA54</t>
  </si>
  <si>
    <t xml:space="preserve">2002-01-14</t>
  </si>
  <si>
    <t xml:space="preserve">2002-01-10</t>
  </si>
  <si>
    <t xml:space="preserve">1909245875:eng</t>
  </si>
  <si>
    <t xml:space="preserve">371231</t>
  </si>
  <si>
    <t xml:space="preserve">991003709209702656</t>
  </si>
  <si>
    <t xml:space="preserve">2260096890002656</t>
  </si>
  <si>
    <t xml:space="preserve">32285004436423</t>
  </si>
  <si>
    <t xml:space="preserve">893598891</t>
  </si>
  <si>
    <t xml:space="preserve">B1247 .H56</t>
  </si>
  <si>
    <t xml:space="preserve">0                      B  1247000H  56</t>
  </si>
  <si>
    <t xml:space="preserve">Thomas Hobbes / by Charles H. Hinnant.</t>
  </si>
  <si>
    <t xml:space="preserve">Hinnant, Charles H.</t>
  </si>
  <si>
    <t xml:space="preserve">Boston : Twayne Publishers, c1977.</t>
  </si>
  <si>
    <t xml:space="preserve">Twayne's English authors series ; TEAS 215</t>
  </si>
  <si>
    <t xml:space="preserve">1992-11-02</t>
  </si>
  <si>
    <t xml:space="preserve">1990-06-18</t>
  </si>
  <si>
    <t xml:space="preserve">8375306:eng</t>
  </si>
  <si>
    <t xml:space="preserve">3204415</t>
  </si>
  <si>
    <t xml:space="preserve">991004375149702656</t>
  </si>
  <si>
    <t xml:space="preserve">2270723120002656</t>
  </si>
  <si>
    <t xml:space="preserve">9780805766844</t>
  </si>
  <si>
    <t xml:space="preserve">32285000195999</t>
  </si>
  <si>
    <t xml:space="preserve">893624652</t>
  </si>
  <si>
    <t xml:space="preserve">B1247 .P43 1967</t>
  </si>
  <si>
    <t xml:space="preserve">0                      B  1247000P  43          1967</t>
  </si>
  <si>
    <t xml:space="preserve">Hobbes / Richard Peters.</t>
  </si>
  <si>
    <t xml:space="preserve">Peters, R. S. (Richard Stanley), 1919-2011.</t>
  </si>
  <si>
    <t xml:space="preserve">Baltimore : Penguin Books, 1967, c1956.</t>
  </si>
  <si>
    <t xml:space="preserve">A Peregrine book ; Y66</t>
  </si>
  <si>
    <t xml:space="preserve">2007-09-05</t>
  </si>
  <si>
    <t xml:space="preserve">1909131397:eng</t>
  </si>
  <si>
    <t xml:space="preserve">873380</t>
  </si>
  <si>
    <t xml:space="preserve">991003711089702656</t>
  </si>
  <si>
    <t xml:space="preserve">2261945870002656</t>
  </si>
  <si>
    <t xml:space="preserve">32285004448220</t>
  </si>
  <si>
    <t xml:space="preserve">893336833</t>
  </si>
  <si>
    <t xml:space="preserve">B1247 .W3</t>
  </si>
  <si>
    <t xml:space="preserve">0                      B  1247000W  3</t>
  </si>
  <si>
    <t xml:space="preserve">Hobbes's system of ideas : a study in the political significance of philosophical theories / [by] J. W. N. Watkins.</t>
  </si>
  <si>
    <t xml:space="preserve">Watkins, John W. N.</t>
  </si>
  <si>
    <t xml:space="preserve">London : [Hutchinson, 1965]</t>
  </si>
  <si>
    <t xml:space="preserve">1451796:eng</t>
  </si>
  <si>
    <t xml:space="preserve">372284</t>
  </si>
  <si>
    <t xml:space="preserve">991002564079702656</t>
  </si>
  <si>
    <t xml:space="preserve">2261697510002656</t>
  </si>
  <si>
    <t xml:space="preserve">32285000196070</t>
  </si>
  <si>
    <t xml:space="preserve">893316985</t>
  </si>
  <si>
    <t xml:space="preserve">B125 .C45</t>
  </si>
  <si>
    <t xml:space="preserve">0                      B  0125000C  45</t>
  </si>
  <si>
    <t xml:space="preserve">A source book in Chinese philosophy.</t>
  </si>
  <si>
    <t xml:space="preserve">Chan, Wing-tsit, 1901-1994 compiler, translator.</t>
  </si>
  <si>
    <t xml:space="preserve">Princeton, N.J. : Princeton University Press, 1963.</t>
  </si>
  <si>
    <t xml:space="preserve">2005-12-02</t>
  </si>
  <si>
    <t xml:space="preserve">149320742:eng</t>
  </si>
  <si>
    <t xml:space="preserve">191627</t>
  </si>
  <si>
    <t xml:space="preserve">991001204189702656</t>
  </si>
  <si>
    <t xml:space="preserve">2258909690002656</t>
  </si>
  <si>
    <t xml:space="preserve">32285000127067</t>
  </si>
  <si>
    <t xml:space="preserve">893784917</t>
  </si>
  <si>
    <t xml:space="preserve">B125 .C48</t>
  </si>
  <si>
    <t xml:space="preserve">0                      B  0125000C  48</t>
  </si>
  <si>
    <t xml:space="preserve">Chinese philosophy, 1949-1963 : an annotated bibliography of Mainland China publications.</t>
  </si>
  <si>
    <t xml:space="preserve">Chan, Wing-tsit, 1901-1994.</t>
  </si>
  <si>
    <t xml:space="preserve">Honolulu : East-West Center Press, [c1967]</t>
  </si>
  <si>
    <t xml:space="preserve">hiu</t>
  </si>
  <si>
    <t xml:space="preserve">1992-02-23</t>
  </si>
  <si>
    <t xml:space="preserve">139722783:eng</t>
  </si>
  <si>
    <t xml:space="preserve">413593</t>
  </si>
  <si>
    <t xml:space="preserve">991003015109702656</t>
  </si>
  <si>
    <t xml:space="preserve">2272515800002656</t>
  </si>
  <si>
    <t xml:space="preserve">32285000127075</t>
  </si>
  <si>
    <t xml:space="preserve">893239795</t>
  </si>
  <si>
    <t xml:space="preserve">B125 .C513</t>
  </si>
  <si>
    <t xml:space="preserve">0                      B  0125000C  513</t>
  </si>
  <si>
    <t xml:space="preserve">Reflections on things at hand : the Neo-Confucian anthology / Compiled by Chu Hsi and Lü Tsu-chʻien. Translated, with notes, by Wing-tsit Chan.</t>
  </si>
  <si>
    <t xml:space="preserve">Zhu, Xi, 1130-1200 compiler.</t>
  </si>
  <si>
    <t xml:space="preserve">New York : Columbia University Press, 1967.</t>
  </si>
  <si>
    <t xml:space="preserve">Records of civilization, sources and studies ; no. 75</t>
  </si>
  <si>
    <t xml:space="preserve">9352598505:eng</t>
  </si>
  <si>
    <t xml:space="preserve">230439</t>
  </si>
  <si>
    <t xml:space="preserve">991001408049702656</t>
  </si>
  <si>
    <t xml:space="preserve">2269368750002656</t>
  </si>
  <si>
    <t xml:space="preserve">32285000127109</t>
  </si>
  <si>
    <t xml:space="preserve">893696727</t>
  </si>
  <si>
    <t xml:space="preserve">B125 .E25</t>
  </si>
  <si>
    <t xml:space="preserve">0                      B  0125000E  25</t>
  </si>
  <si>
    <t xml:space="preserve">The Chinese mind : essentials of Chinese philosophy and culture / Charles A. Moore, editor, with the assistance of Aldyth V. Morris.</t>
  </si>
  <si>
    <t xml:space="preserve">East-West Philosophers' Conference.</t>
  </si>
  <si>
    <t xml:space="preserve">Honolulu : East-West Center Press, [1967]</t>
  </si>
  <si>
    <t xml:space="preserve">2001-11-07</t>
  </si>
  <si>
    <t xml:space="preserve">3314014879:eng</t>
  </si>
  <si>
    <t xml:space="preserve">252896</t>
  </si>
  <si>
    <t xml:space="preserve">991001954009702656</t>
  </si>
  <si>
    <t xml:space="preserve">2270076950002656</t>
  </si>
  <si>
    <t xml:space="preserve">32285000127117</t>
  </si>
  <si>
    <t xml:space="preserve">893797987</t>
  </si>
  <si>
    <t xml:space="preserve">B1253 1823 V10</t>
  </si>
  <si>
    <t xml:space="preserve">0                      B  1253000               1823   V  10</t>
  </si>
  <si>
    <t xml:space="preserve">The works of John Locke.</t>
  </si>
  <si>
    <t xml:space="preserve">Locke, John, 1632-1704.</t>
  </si>
  <si>
    <t xml:space="preserve">Aalen, Germany : Scientia Verlag, 1963 [1823]</t>
  </si>
  <si>
    <t xml:space="preserve">A new edition, corr.</t>
  </si>
  <si>
    <t xml:space="preserve">2003-04-08</t>
  </si>
  <si>
    <t xml:space="preserve">1990-07-18</t>
  </si>
  <si>
    <t xml:space="preserve">4020168729:eng</t>
  </si>
  <si>
    <t xml:space="preserve">350010</t>
  </si>
  <si>
    <t xml:space="preserve">991002440709702656</t>
  </si>
  <si>
    <t xml:space="preserve">2268399210002656</t>
  </si>
  <si>
    <t xml:space="preserve">32285000196161</t>
  </si>
  <si>
    <t xml:space="preserve">893504388</t>
  </si>
  <si>
    <t xml:space="preserve">B1253 1823 V2</t>
  </si>
  <si>
    <t xml:space="preserve">0                      B  1253000               1823   V  2</t>
  </si>
  <si>
    <t xml:space="preserve">1996-01-18</t>
  </si>
  <si>
    <t xml:space="preserve">32285000196104</t>
  </si>
  <si>
    <t xml:space="preserve">893523620</t>
  </si>
  <si>
    <t xml:space="preserve">B1253 1823 V3</t>
  </si>
  <si>
    <t xml:space="preserve">0                      B  1253000               1823   V  3</t>
  </si>
  <si>
    <t xml:space="preserve">1995-11-09</t>
  </si>
  <si>
    <t xml:space="preserve">32285000196112</t>
  </si>
  <si>
    <t xml:space="preserve">893504389</t>
  </si>
  <si>
    <t xml:space="preserve">B1253 1823 V4</t>
  </si>
  <si>
    <t xml:space="preserve">0                      B  1253000               1823   V  4</t>
  </si>
  <si>
    <t xml:space="preserve">32285000196120</t>
  </si>
  <si>
    <t xml:space="preserve">893498113</t>
  </si>
  <si>
    <t xml:space="preserve">B1253 1823 V5</t>
  </si>
  <si>
    <t xml:space="preserve">0                      B  1253000               1823   V  5</t>
  </si>
  <si>
    <t xml:space="preserve">2002-10-04</t>
  </si>
  <si>
    <t xml:space="preserve">32285000232925</t>
  </si>
  <si>
    <t xml:space="preserve">893510740</t>
  </si>
  <si>
    <t xml:space="preserve">B1253 1823 V6</t>
  </si>
  <si>
    <t xml:space="preserve">0                      B  1253000               1823   V  6</t>
  </si>
  <si>
    <t xml:space="preserve">32285000196138</t>
  </si>
  <si>
    <t xml:space="preserve">893529995</t>
  </si>
  <si>
    <t xml:space="preserve">B1253 1823 V7</t>
  </si>
  <si>
    <t xml:space="preserve">0                      B  1253000               1823   V  7</t>
  </si>
  <si>
    <t xml:space="preserve">32285000196146</t>
  </si>
  <si>
    <t xml:space="preserve">893523619</t>
  </si>
  <si>
    <t xml:space="preserve">B1253 1823 V9</t>
  </si>
  <si>
    <t xml:space="preserve">0                      B  1253000               1823   V  9</t>
  </si>
  <si>
    <t xml:space="preserve">32285000196153</t>
  </si>
  <si>
    <t xml:space="preserve">893510739</t>
  </si>
  <si>
    <t xml:space="preserve">B126 .F3413 1983</t>
  </si>
  <si>
    <t xml:space="preserve">0                      B  0126000F  3413        1983</t>
  </si>
  <si>
    <t xml:space="preserve">A history of Chinese philosophy / by Fung Yu-lan ; translated by Derk Bodde.</t>
  </si>
  <si>
    <t xml:space="preserve">Feng, Youlan, 1895-1990.</t>
  </si>
  <si>
    <t xml:space="preserve">Princeton : Princeton University Press, 1983.</t>
  </si>
  <si>
    <t xml:space="preserve">Princeton paperbacks</t>
  </si>
  <si>
    <t xml:space="preserve">2008-09-29</t>
  </si>
  <si>
    <t xml:space="preserve">1999-01-18</t>
  </si>
  <si>
    <t xml:space="preserve">4160212465:eng</t>
  </si>
  <si>
    <t xml:space="preserve">9891924</t>
  </si>
  <si>
    <t xml:space="preserve">991005403319702656</t>
  </si>
  <si>
    <t xml:space="preserve">2266583770002656</t>
  </si>
  <si>
    <t xml:space="preserve">9780691020211</t>
  </si>
  <si>
    <t xml:space="preserve">32285003513057</t>
  </si>
  <si>
    <t xml:space="preserve">893339036</t>
  </si>
  <si>
    <t xml:space="preserve">32285003513040</t>
  </si>
  <si>
    <t xml:space="preserve">893326701</t>
  </si>
  <si>
    <t xml:space="preserve">B126 .F38</t>
  </si>
  <si>
    <t xml:space="preserve">0                      B  0126000F  38</t>
  </si>
  <si>
    <t xml:space="preserve">A history of Chinese philosophy / by Fung Yu-lan. Translated by Derk Bodde, with introd., notes, bibliography and index.</t>
  </si>
  <si>
    <t xml:space="preserve">Princeton : Princeton University Press, 1952-53.</t>
  </si>
  <si>
    <t xml:space="preserve">1997-03-03</t>
  </si>
  <si>
    <t xml:space="preserve">1990-04-27</t>
  </si>
  <si>
    <t xml:space="preserve">3583254</t>
  </si>
  <si>
    <t xml:space="preserve">991004468369702656</t>
  </si>
  <si>
    <t xml:space="preserve">2267793710002656</t>
  </si>
  <si>
    <t xml:space="preserve">32285000127158</t>
  </si>
  <si>
    <t xml:space="preserve">893712638</t>
  </si>
  <si>
    <t xml:space="preserve">32285000127166</t>
  </si>
  <si>
    <t xml:space="preserve">893712637</t>
  </si>
  <si>
    <t xml:space="preserve">B126 .F43 1970</t>
  </si>
  <si>
    <t xml:space="preserve">0                      B  0126000F  43          1970</t>
  </si>
  <si>
    <t xml:space="preserve">The spirit of Chinese philosophy / by Fung Yu-lan. Translated by E.R. Hughes.</t>
  </si>
  <si>
    <t xml:space="preserve">2007-09-06</t>
  </si>
  <si>
    <t xml:space="preserve">5218581857:eng</t>
  </si>
  <si>
    <t xml:space="preserve">286229</t>
  </si>
  <si>
    <t xml:space="preserve">991002207339702656</t>
  </si>
  <si>
    <t xml:space="preserve">2260883760002656</t>
  </si>
  <si>
    <t xml:space="preserve">9780837128160</t>
  </si>
  <si>
    <t xml:space="preserve">32285000127174</t>
  </si>
  <si>
    <t xml:space="preserve">893709992</t>
  </si>
  <si>
    <t xml:space="preserve">B126 .N3</t>
  </si>
  <si>
    <t xml:space="preserve">0                      B  0126000N  3</t>
  </si>
  <si>
    <t xml:space="preserve">Invitation to Chinese philosophy : Eight studies / [Ed. by] Arne Næss and Alastair Hannay.</t>
  </si>
  <si>
    <t xml:space="preserve">Næss, Arne, compiler.</t>
  </si>
  <si>
    <t xml:space="preserve">Oslo : Universitetsforlaget, 1972.</t>
  </si>
  <si>
    <t xml:space="preserve">no </t>
  </si>
  <si>
    <t xml:space="preserve">Scandinavian university books</t>
  </si>
  <si>
    <t xml:space="preserve">1995-04-11</t>
  </si>
  <si>
    <t xml:space="preserve">906988308:eng</t>
  </si>
  <si>
    <t xml:space="preserve">579399</t>
  </si>
  <si>
    <t xml:space="preserve">991003013749702656</t>
  </si>
  <si>
    <t xml:space="preserve">2255771960002656</t>
  </si>
  <si>
    <t xml:space="preserve">9788200022640</t>
  </si>
  <si>
    <t xml:space="preserve">32285000127190</t>
  </si>
  <si>
    <t xml:space="preserve">893604347</t>
  </si>
  <si>
    <t xml:space="preserve">B126 .U45 1989</t>
  </si>
  <si>
    <t xml:space="preserve">0                      B  0126000U  45          1989</t>
  </si>
  <si>
    <t xml:space="preserve">Understanding the Chinese mind : the philosophical roots / editor, Robert E. Allinson ; contributors, Robert E. Allinson ... [et al.].</t>
  </si>
  <si>
    <t xml:space="preserve">Hong Kong ; New York : Oxford University Press, 1989.</t>
  </si>
  <si>
    <t xml:space="preserve">hk </t>
  </si>
  <si>
    <t xml:space="preserve">797241235:eng</t>
  </si>
  <si>
    <t xml:space="preserve">19589420</t>
  </si>
  <si>
    <t xml:space="preserve">991001477659702656</t>
  </si>
  <si>
    <t xml:space="preserve">2263908290002656</t>
  </si>
  <si>
    <t xml:space="preserve">9780195827064</t>
  </si>
  <si>
    <t xml:space="preserve">32285000177831</t>
  </si>
  <si>
    <t xml:space="preserve">893261844</t>
  </si>
  <si>
    <t xml:space="preserve">B126 .W7</t>
  </si>
  <si>
    <t xml:space="preserve">0                      B  0126000W  7</t>
  </si>
  <si>
    <t xml:space="preserve">Studies in Chinese thought / With contributions by Derk Bodde [and others.</t>
  </si>
  <si>
    <t xml:space="preserve">Wright, Arthur F., 1913-1976 editor.</t>
  </si>
  <si>
    <t xml:space="preserve">Chicago] : University of Chicago Press, [1953]</t>
  </si>
  <si>
    <t xml:space="preserve">Comparative studies in cultures and civilizations</t>
  </si>
  <si>
    <t xml:space="preserve">509894857:eng</t>
  </si>
  <si>
    <t xml:space="preserve">251041</t>
  </si>
  <si>
    <t xml:space="preserve">991001947979702656</t>
  </si>
  <si>
    <t xml:space="preserve">2268730990002656</t>
  </si>
  <si>
    <t xml:space="preserve">32285000127240</t>
  </si>
  <si>
    <t xml:space="preserve">893439589</t>
  </si>
  <si>
    <t xml:space="preserve">B127.N4 C497 1986</t>
  </si>
  <si>
    <t xml:space="preserve">0                      B  0127000N  4                  C  497         1986</t>
  </si>
  <si>
    <t xml:space="preserve">Chiao Hung and the restructuring of Neo-Confucianism in the late Ming / Edward T. Chʻien.</t>
  </si>
  <si>
    <t xml:space="preserve">Chʻien, Edward T.</t>
  </si>
  <si>
    <t xml:space="preserve">New York : Columbia University Press, 1986.</t>
  </si>
  <si>
    <t xml:space="preserve">Neo-Confucian studies</t>
  </si>
  <si>
    <t xml:space="preserve">1996-03-21</t>
  </si>
  <si>
    <t xml:space="preserve">1994-08-31</t>
  </si>
  <si>
    <t xml:space="preserve">4427422:eng</t>
  </si>
  <si>
    <t xml:space="preserve">11915269</t>
  </si>
  <si>
    <t xml:space="preserve">991000610789702656</t>
  </si>
  <si>
    <t xml:space="preserve">2268867170002656</t>
  </si>
  <si>
    <t xml:space="preserve">9780231060226</t>
  </si>
  <si>
    <t xml:space="preserve">32285001944643</t>
  </si>
  <si>
    <t xml:space="preserve">893796822</t>
  </si>
  <si>
    <t xml:space="preserve">B128.M35 R5</t>
  </si>
  <si>
    <t xml:space="preserve">0                      B  0128000M  35                 R  5</t>
  </si>
  <si>
    <t xml:space="preserve">Mencius on the mind : experiments in multiple definition / by I. A. Richards.</t>
  </si>
  <si>
    <t xml:space="preserve">Richards, I. A. (Ivor Armstrong), 1893-1979.</t>
  </si>
  <si>
    <t xml:space="preserve">London : K. Paul, Trench, Trubner, 1932.</t>
  </si>
  <si>
    <t xml:space="preserve">1932</t>
  </si>
  <si>
    <t xml:space="preserve">International library of psychology, philosophy, and scientific method</t>
  </si>
  <si>
    <t xml:space="preserve">1993-11-16</t>
  </si>
  <si>
    <t xml:space="preserve">203143081:eng</t>
  </si>
  <si>
    <t xml:space="preserve">3006578</t>
  </si>
  <si>
    <t xml:space="preserve">991004316809702656</t>
  </si>
  <si>
    <t xml:space="preserve">2255263670002656</t>
  </si>
  <si>
    <t xml:space="preserve">32285000127422</t>
  </si>
  <si>
    <t xml:space="preserve">893417475</t>
  </si>
  <si>
    <t xml:space="preserve">B128.M35 V4</t>
  </si>
  <si>
    <t xml:space="preserve">0                      B  0128000M  35                 V  4</t>
  </si>
  <si>
    <t xml:space="preserve">Mencius, the man and his ideas.</t>
  </si>
  <si>
    <t xml:space="preserve">Verwilghen, Albert Felix.</t>
  </si>
  <si>
    <t xml:space="preserve">New York : St. John's University Press, 1967.</t>
  </si>
  <si>
    <t xml:space="preserve">Asian philosophical studies ; no. 3</t>
  </si>
  <si>
    <t xml:space="preserve">1995-04-15</t>
  </si>
  <si>
    <t xml:space="preserve">1427162:eng</t>
  </si>
  <si>
    <t xml:space="preserve">366413</t>
  </si>
  <si>
    <t xml:space="preserve">991002523649702656</t>
  </si>
  <si>
    <t xml:space="preserve">2264325990002656</t>
  </si>
  <si>
    <t xml:space="preserve">32285000127430</t>
  </si>
  <si>
    <t xml:space="preserve">893445218</t>
  </si>
  <si>
    <t xml:space="preserve">B128.M8 T78</t>
  </si>
  <si>
    <t xml:space="preserve">0                      B  0128000M  8                  T  78</t>
  </si>
  <si>
    <t xml:space="preserve">The moral philosophy of Mo-tze / by Augustinus A. Tseu.</t>
  </si>
  <si>
    <t xml:space="preserve">Tseu, Augustinus A.</t>
  </si>
  <si>
    <t xml:space="preserve">Taipei, Taiwan : China Printing, [c1965]</t>
  </si>
  <si>
    <t xml:space="preserve">ch </t>
  </si>
  <si>
    <t xml:space="preserve">1993-09-10</t>
  </si>
  <si>
    <t xml:space="preserve">1338443:eng</t>
  </si>
  <si>
    <t xml:space="preserve">251042</t>
  </si>
  <si>
    <t xml:space="preserve">991001948019702656</t>
  </si>
  <si>
    <t xml:space="preserve">2268731170002656</t>
  </si>
  <si>
    <t xml:space="preserve">32285000127455</t>
  </si>
  <si>
    <t xml:space="preserve">893804057</t>
  </si>
  <si>
    <t xml:space="preserve">B1294 .M2 1962</t>
  </si>
  <si>
    <t xml:space="preserve">0                      B  1294000M  2           1962</t>
  </si>
  <si>
    <t xml:space="preserve">John Locke and English literature of the eighteenth century.</t>
  </si>
  <si>
    <t xml:space="preserve">Maclean, Kenneth.</t>
  </si>
  <si>
    <t xml:space="preserve">New York : Russell &amp; Russell, 1962 [c1936]</t>
  </si>
  <si>
    <t xml:space="preserve">2001-03-21</t>
  </si>
  <si>
    <t xml:space="preserve">15121553:eng</t>
  </si>
  <si>
    <t xml:space="preserve">5307523</t>
  </si>
  <si>
    <t xml:space="preserve">991004815269702656</t>
  </si>
  <si>
    <t xml:space="preserve">2259113270002656</t>
  </si>
  <si>
    <t xml:space="preserve">32285000196252</t>
  </si>
  <si>
    <t xml:space="preserve">893424221</t>
  </si>
  <si>
    <t xml:space="preserve">B1296 .A62 1965</t>
  </si>
  <si>
    <t xml:space="preserve">0                      B  1296000A  62          1965</t>
  </si>
  <si>
    <t xml:space="preserve">John Locke / by Richard I. Aaron.</t>
  </si>
  <si>
    <t xml:space="preserve">Oxford : Clarendon Press, 1965.</t>
  </si>
  <si>
    <t xml:space="preserve">Oxford paperbacks ; 90</t>
  </si>
  <si>
    <t xml:space="preserve">2002-01-15</t>
  </si>
  <si>
    <t xml:space="preserve">63003436:eng</t>
  </si>
  <si>
    <t xml:space="preserve">372298</t>
  </si>
  <si>
    <t xml:space="preserve">991003710999702656</t>
  </si>
  <si>
    <t xml:space="preserve">2261845220002656</t>
  </si>
  <si>
    <t xml:space="preserve">32285004448196</t>
  </si>
  <si>
    <t xml:space="preserve">893705535</t>
  </si>
  <si>
    <t xml:space="preserve">B1297 .C7</t>
  </si>
  <si>
    <t xml:space="preserve">0                      B  1297000C  7</t>
  </si>
  <si>
    <t xml:space="preserve">John Locke : a biography.</t>
  </si>
  <si>
    <t xml:space="preserve">Cranston, Maurice, 1920-1993.</t>
  </si>
  <si>
    <t xml:space="preserve">New York : Macmillan, [1957]</t>
  </si>
  <si>
    <t xml:space="preserve">2007-01-29</t>
  </si>
  <si>
    <t xml:space="preserve">1090926615:eng</t>
  </si>
  <si>
    <t xml:space="preserve">748791</t>
  </si>
  <si>
    <t xml:space="preserve">991003223579702656</t>
  </si>
  <si>
    <t xml:space="preserve">2255081950002656</t>
  </si>
  <si>
    <t xml:space="preserve">32285000232966</t>
  </si>
  <si>
    <t xml:space="preserve">893893494</t>
  </si>
  <si>
    <t xml:space="preserve">B1297 .L32 1962</t>
  </si>
  <si>
    <t xml:space="preserve">0                      B  1297000L  32          1962</t>
  </si>
  <si>
    <t xml:space="preserve">The moral and political philosophy of John Locke.</t>
  </si>
  <si>
    <t xml:space="preserve">Lamprecht, Sterling P. (Sterling Power), 1890-1973.</t>
  </si>
  <si>
    <t xml:space="preserve">New York : Russell &amp; Russell, 1962.</t>
  </si>
  <si>
    <t xml:space="preserve">1992-10-09</t>
  </si>
  <si>
    <t xml:space="preserve">1448231:eng</t>
  </si>
  <si>
    <t xml:space="preserve">371384</t>
  </si>
  <si>
    <t xml:space="preserve">991002559019702656</t>
  </si>
  <si>
    <t xml:space="preserve">2260038530002656</t>
  </si>
  <si>
    <t xml:space="preserve">32285000200088</t>
  </si>
  <si>
    <t xml:space="preserve">893873685</t>
  </si>
  <si>
    <t xml:space="preserve">B1297 .L6 1977</t>
  </si>
  <si>
    <t xml:space="preserve">0                      B  1297000L  6           1977</t>
  </si>
  <si>
    <t xml:space="preserve">Locke on human understanding : selected essays / edited by I. C. Tipton.</t>
  </si>
  <si>
    <t xml:space="preserve">Oxford ; New York : Oxford University Press, 1977.</t>
  </si>
  <si>
    <t xml:space="preserve">2005-10-07</t>
  </si>
  <si>
    <t xml:space="preserve">962384397:eng</t>
  </si>
  <si>
    <t xml:space="preserve">3891784</t>
  </si>
  <si>
    <t xml:space="preserve">991004539389702656</t>
  </si>
  <si>
    <t xml:space="preserve">2271787020002656</t>
  </si>
  <si>
    <t xml:space="preserve">9780198750390</t>
  </si>
  <si>
    <t xml:space="preserve">32285001878650</t>
  </si>
  <si>
    <t xml:space="preserve">893687846</t>
  </si>
  <si>
    <t xml:space="preserve">B1297 .M3 1968a</t>
  </si>
  <si>
    <t xml:space="preserve">0                      B  1297000M  3           1968a</t>
  </si>
  <si>
    <t xml:space="preserve">Locke and Berkeley : a collection of critical essays / edited by C. B. Martin and D. M. Armstrong.</t>
  </si>
  <si>
    <t xml:space="preserve">Martin, C. B. (Charles Burton) compiler.</t>
  </si>
  <si>
    <t xml:space="preserve">Garden City, N.Y. : Anchor Books, 1968.</t>
  </si>
  <si>
    <t xml:space="preserve">Modern studies in philosophy</t>
  </si>
  <si>
    <t xml:space="preserve">1997-01-03</t>
  </si>
  <si>
    <t xml:space="preserve">1213330:eng</t>
  </si>
  <si>
    <t xml:space="preserve">436155</t>
  </si>
  <si>
    <t xml:space="preserve">991002769049702656</t>
  </si>
  <si>
    <t xml:space="preserve">2268917130002656</t>
  </si>
  <si>
    <t xml:space="preserve">32285000200096</t>
  </si>
  <si>
    <t xml:space="preserve">893415626</t>
  </si>
  <si>
    <t xml:space="preserve">B1297 .W66 1983</t>
  </si>
  <si>
    <t xml:space="preserve">0                      B  1297000W  66          1983</t>
  </si>
  <si>
    <t xml:space="preserve">Locke / R.S. Woolhouse.</t>
  </si>
  <si>
    <t xml:space="preserve">Woolhouse, R. S.</t>
  </si>
  <si>
    <t xml:space="preserve">Minneapolis : University of Minnesota Press, c1983.</t>
  </si>
  <si>
    <t xml:space="preserve">Philosophers in context ; no. 1</t>
  </si>
  <si>
    <t xml:space="preserve">1995-10-23</t>
  </si>
  <si>
    <t xml:space="preserve">3943289525:eng</t>
  </si>
  <si>
    <t xml:space="preserve">9952138</t>
  </si>
  <si>
    <t xml:space="preserve">991000289789702656</t>
  </si>
  <si>
    <t xml:space="preserve">2265568750002656</t>
  </si>
  <si>
    <t xml:space="preserve">9780816612499</t>
  </si>
  <si>
    <t xml:space="preserve">32285000200153</t>
  </si>
  <si>
    <t xml:space="preserve">893601634</t>
  </si>
  <si>
    <t xml:space="preserve">B1298.K6 S69</t>
  </si>
  <si>
    <t xml:space="preserve">0                      B  1298000K  6                  S  69</t>
  </si>
  <si>
    <t xml:space="preserve">Locke's theory of sensitive knowledge / Kathleen M. Squadrito.</t>
  </si>
  <si>
    <t xml:space="preserve">Squadrito, Kathleen M.</t>
  </si>
  <si>
    <t xml:space="preserve">Washington, D.C. : University Press of America, c1978.</t>
  </si>
  <si>
    <t xml:space="preserve">1994-02-20</t>
  </si>
  <si>
    <t xml:space="preserve">15247051:eng</t>
  </si>
  <si>
    <t xml:space="preserve">4995635</t>
  </si>
  <si>
    <t xml:space="preserve">991004760509702656</t>
  </si>
  <si>
    <t xml:space="preserve">2267928560002656</t>
  </si>
  <si>
    <t xml:space="preserve">9780819105714</t>
  </si>
  <si>
    <t xml:space="preserve">32285000200187</t>
  </si>
  <si>
    <t xml:space="preserve">893536194</t>
  </si>
  <si>
    <t xml:space="preserve">B1298.R4 S66 1988</t>
  </si>
  <si>
    <t xml:space="preserve">0                      B  1298000R  4                  S  66          1988</t>
  </si>
  <si>
    <t xml:space="preserve">John Locke and the problem of depravity / by W.M. Spellman.</t>
  </si>
  <si>
    <t xml:space="preserve">Spellman, W. M.</t>
  </si>
  <si>
    <t xml:space="preserve">Oxford : Clarendon Press, 1988.</t>
  </si>
  <si>
    <t xml:space="preserve">13075482:eng</t>
  </si>
  <si>
    <t xml:space="preserve">16900620</t>
  </si>
  <si>
    <t xml:space="preserve">991001161289702656</t>
  </si>
  <si>
    <t xml:space="preserve">2266594700002656</t>
  </si>
  <si>
    <t xml:space="preserve">9780198249870</t>
  </si>
  <si>
    <t xml:space="preserve">32285000135672</t>
  </si>
  <si>
    <t xml:space="preserve">893897574</t>
  </si>
  <si>
    <t xml:space="preserve">B1298.S3 W6</t>
  </si>
  <si>
    <t xml:space="preserve">0                      B  1298000S  3                  W  6</t>
  </si>
  <si>
    <t xml:space="preserve">Locke's philosophy of science and knowledge : a consideration of some aspects of An essay concerning human understanding / by R. S. Woolhouse.</t>
  </si>
  <si>
    <t xml:space="preserve">Oxford : B. Blackwell, 1971.</t>
  </si>
  <si>
    <t xml:space="preserve">2008-11-25</t>
  </si>
  <si>
    <t xml:space="preserve">1276138:eng</t>
  </si>
  <si>
    <t xml:space="preserve">579684</t>
  </si>
  <si>
    <t xml:space="preserve">991003013989702656</t>
  </si>
  <si>
    <t xml:space="preserve">2256127210002656</t>
  </si>
  <si>
    <t xml:space="preserve">9780631129608</t>
  </si>
  <si>
    <t xml:space="preserve">32285000200211</t>
  </si>
  <si>
    <t xml:space="preserve">893604348</t>
  </si>
  <si>
    <t xml:space="preserve">B1301 .C7</t>
  </si>
  <si>
    <t xml:space="preserve">0                      B  1301000C  7</t>
  </si>
  <si>
    <t xml:space="preserve">Reason and authority in the eighteenth century / by Gerald R. Cragg.</t>
  </si>
  <si>
    <t xml:space="preserve">Cragg, Gerald R. (Gerald Robertson)</t>
  </si>
  <si>
    <t xml:space="preserve">Cambridge [Eng.] : University Press, 1964.</t>
  </si>
  <si>
    <t xml:space="preserve">2006-11-06</t>
  </si>
  <si>
    <t xml:space="preserve">1453048:eng</t>
  </si>
  <si>
    <t xml:space="preserve">372629</t>
  </si>
  <si>
    <t xml:space="preserve">991002565929702656</t>
  </si>
  <si>
    <t xml:space="preserve">2261486940002656</t>
  </si>
  <si>
    <t xml:space="preserve">32285000200278</t>
  </si>
  <si>
    <t xml:space="preserve">893523763</t>
  </si>
  <si>
    <t xml:space="preserve">B1301 .H3 1969</t>
  </si>
  <si>
    <t xml:space="preserve">0                      B  1301000H  3           1969</t>
  </si>
  <si>
    <t xml:space="preserve">Reason and nature in the eighteenth century / [by] R. W. Harris.</t>
  </si>
  <si>
    <t xml:space="preserve">Harris, R. W. (Ronald Walter)</t>
  </si>
  <si>
    <t xml:space="preserve">[New York] : Barnes and Noble, [1969]</t>
  </si>
  <si>
    <t xml:space="preserve">History and literature</t>
  </si>
  <si>
    <t xml:space="preserve">1208146:eng</t>
  </si>
  <si>
    <t xml:space="preserve">34354</t>
  </si>
  <si>
    <t xml:space="preserve">991000087789702656</t>
  </si>
  <si>
    <t xml:space="preserve">2259901670002656</t>
  </si>
  <si>
    <t xml:space="preserve">9780389010289</t>
  </si>
  <si>
    <t xml:space="preserve">32285000200286</t>
  </si>
  <si>
    <t xml:space="preserve">893237060</t>
  </si>
  <si>
    <t xml:space="preserve">B1301 .W55 1961</t>
  </si>
  <si>
    <t xml:space="preserve">0                      B  1301000W  55          1961</t>
  </si>
  <si>
    <t xml:space="preserve">The eighteenth century background : studies on the idea of nature in the thought of the period / by Basil Willey.</t>
  </si>
  <si>
    <t xml:space="preserve">Willey, Basil, 1897-1978.</t>
  </si>
  <si>
    <t xml:space="preserve">Boston : Beacon Press, [1961]</t>
  </si>
  <si>
    <t xml:space="preserve">2004-12-14</t>
  </si>
  <si>
    <t xml:space="preserve">196125865:eng</t>
  </si>
  <si>
    <t xml:space="preserve">594494</t>
  </si>
  <si>
    <t xml:space="preserve">991004437979702656</t>
  </si>
  <si>
    <t xml:space="preserve">2271645010002656</t>
  </si>
  <si>
    <t xml:space="preserve">32285005017347</t>
  </si>
  <si>
    <t xml:space="preserve">893532402</t>
  </si>
  <si>
    <t xml:space="preserve">B131 .B45</t>
  </si>
  <si>
    <t xml:space="preserve">0                      B  0131000B  45</t>
  </si>
  <si>
    <t xml:space="preserve">Hindu philosophy.</t>
  </si>
  <si>
    <t xml:space="preserve">Bernard, Theos, 1908-1947.</t>
  </si>
  <si>
    <t xml:space="preserve">New York : Philosophical Library, [1947]</t>
  </si>
  <si>
    <t xml:space="preserve">1947</t>
  </si>
  <si>
    <t xml:space="preserve">1997-02-24</t>
  </si>
  <si>
    <t xml:space="preserve">1990-05-07</t>
  </si>
  <si>
    <t xml:space="preserve">499338:eng</t>
  </si>
  <si>
    <t xml:space="preserve">1628122</t>
  </si>
  <si>
    <t xml:space="preserve">991003845119702656</t>
  </si>
  <si>
    <t xml:space="preserve">2265810820002656</t>
  </si>
  <si>
    <t xml:space="preserve">32285000140094</t>
  </si>
  <si>
    <t xml:space="preserve">893904556</t>
  </si>
  <si>
    <t xml:space="preserve">B131 .F7313 1973</t>
  </si>
  <si>
    <t xml:space="preserve">0                      B  0131000F  7313        1973</t>
  </si>
  <si>
    <t xml:space="preserve">History of Indian philosophy / [by] Erich Frauwallner. Introd. by Leo Gabriel. Translated from original German into English by V. M. Bedekar.</t>
  </si>
  <si>
    <t xml:space="preserve">Frauwallner, Erich, 1898-1974.</t>
  </si>
  <si>
    <t xml:space="preserve">Delhi : Motilal Banarsidass, [1973-</t>
  </si>
  <si>
    <t xml:space="preserve">1364295374:eng</t>
  </si>
  <si>
    <t xml:space="preserve">810938</t>
  </si>
  <si>
    <t xml:space="preserve">991003289099702656</t>
  </si>
  <si>
    <t xml:space="preserve">2269049270002656</t>
  </si>
  <si>
    <t xml:space="preserve">32285000140201</t>
  </si>
  <si>
    <t xml:space="preserve">893799565</t>
  </si>
  <si>
    <t xml:space="preserve">32285000140193</t>
  </si>
  <si>
    <t xml:space="preserve">893774590</t>
  </si>
  <si>
    <t xml:space="preserve">B131 .H464</t>
  </si>
  <si>
    <t xml:space="preserve">0                      B  0131000H  464</t>
  </si>
  <si>
    <t xml:space="preserve">An introduction to Indian thought / A. L. Herman.</t>
  </si>
  <si>
    <t xml:space="preserve">Herman, A. L.</t>
  </si>
  <si>
    <t xml:space="preserve">Englewood Cliffs, N.J. : Prentice-Hall, c1976.</t>
  </si>
  <si>
    <t xml:space="preserve">1976</t>
  </si>
  <si>
    <t xml:space="preserve">1999-04-14</t>
  </si>
  <si>
    <t xml:space="preserve">2600373:eng</t>
  </si>
  <si>
    <t xml:space="preserve">1694152</t>
  </si>
  <si>
    <t xml:space="preserve">991003872159702656</t>
  </si>
  <si>
    <t xml:space="preserve">2255286840002656</t>
  </si>
  <si>
    <t xml:space="preserve">9780134844770</t>
  </si>
  <si>
    <t xml:space="preserve">32285000140227</t>
  </si>
  <si>
    <t xml:space="preserve">893605301</t>
  </si>
  <si>
    <t xml:space="preserve">B131 .M9</t>
  </si>
  <si>
    <t xml:space="preserve">0                      B  0131000M  9</t>
  </si>
  <si>
    <t xml:space="preserve">The six systems of Indian philosophy / by the Right Hon. F. Max Müller.</t>
  </si>
  <si>
    <t xml:space="preserve">Müller, F. Max (Friedrich Max), 1823-1900.</t>
  </si>
  <si>
    <t xml:space="preserve">New York [etc.] : Longmans, Green, 1899.</t>
  </si>
  <si>
    <t xml:space="preserve">1899</t>
  </si>
  <si>
    <t xml:space="preserve">336687:eng</t>
  </si>
  <si>
    <t xml:space="preserve">1534990</t>
  </si>
  <si>
    <t xml:space="preserve">991003809839702656</t>
  </si>
  <si>
    <t xml:space="preserve">2271541630002656</t>
  </si>
  <si>
    <t xml:space="preserve">32285000140250</t>
  </si>
  <si>
    <t xml:space="preserve">893318435</t>
  </si>
  <si>
    <t xml:space="preserve">B131 .O7</t>
  </si>
  <si>
    <t xml:space="preserve">0                      B  0131000O  7</t>
  </si>
  <si>
    <t xml:space="preserve">The self in Indian philosophy.</t>
  </si>
  <si>
    <t xml:space="preserve">Organ, Troy Wilson.</t>
  </si>
  <si>
    <t xml:space="preserve">The Hague : Mouton, 1964.</t>
  </si>
  <si>
    <t xml:space="preserve">Studies in philosophy ; 2</t>
  </si>
  <si>
    <t xml:space="preserve">1534776:eng</t>
  </si>
  <si>
    <t xml:space="preserve">6913829</t>
  </si>
  <si>
    <t xml:space="preserve">991005057659702656</t>
  </si>
  <si>
    <t xml:space="preserve">2271126140002656</t>
  </si>
  <si>
    <t xml:space="preserve">32285000140268</t>
  </si>
  <si>
    <t xml:space="preserve">893688525</t>
  </si>
  <si>
    <t xml:space="preserve">B131 .R345 1972</t>
  </si>
  <si>
    <t xml:space="preserve">0                      B  0131000R  345         1972</t>
  </si>
  <si>
    <t xml:space="preserve">The philosophical traditions of India / [by] P. T. Raju.</t>
  </si>
  <si>
    <t xml:space="preserve">Raju, P. T. (Poolla Tirupati), 1904-</t>
  </si>
  <si>
    <t xml:space="preserve">[Pittsburgh] : University of Pittsburgh Press, [1972]</t>
  </si>
  <si>
    <t xml:space="preserve">1995-10-24</t>
  </si>
  <si>
    <t xml:space="preserve">1342313:eng</t>
  </si>
  <si>
    <t xml:space="preserve">482322</t>
  </si>
  <si>
    <t xml:space="preserve">991002840979702656</t>
  </si>
  <si>
    <t xml:space="preserve">2258945160002656</t>
  </si>
  <si>
    <t xml:space="preserve">9780822911050</t>
  </si>
  <si>
    <t xml:space="preserve">32285000140342</t>
  </si>
  <si>
    <t xml:space="preserve">893880487</t>
  </si>
  <si>
    <t xml:space="preserve">B131 .S48 1962</t>
  </si>
  <si>
    <t xml:space="preserve">0                      B  0131000S  48          1962</t>
  </si>
  <si>
    <t xml:space="preserve">Indian Philosophy : a critical survey.</t>
  </si>
  <si>
    <t xml:space="preserve">Śarmā, Candradhara.</t>
  </si>
  <si>
    <t xml:space="preserve">[New York] : Barnes &amp; Noble, [c1962]</t>
  </si>
  <si>
    <t xml:space="preserve">University paperbacks ; UP-40</t>
  </si>
  <si>
    <t xml:space="preserve">2000-10-31</t>
  </si>
  <si>
    <t xml:space="preserve">3855375619:eng</t>
  </si>
  <si>
    <t xml:space="preserve">1491018</t>
  </si>
  <si>
    <t xml:space="preserve">991003779309702656</t>
  </si>
  <si>
    <t xml:space="preserve">2272108830002656</t>
  </si>
  <si>
    <t xml:space="preserve">32285000140375</t>
  </si>
  <si>
    <t xml:space="preserve">893349133</t>
  </si>
  <si>
    <t xml:space="preserve">B132.I3 D3 1969</t>
  </si>
  <si>
    <t xml:space="preserve">0                      B  0132000I  3                  D  3           1969</t>
  </si>
  <si>
    <t xml:space="preserve">Indian idealism.</t>
  </si>
  <si>
    <t xml:space="preserve">Dasgupta, Surendranath, 1885-1952.</t>
  </si>
  <si>
    <t xml:space="preserve">Cambridge : University Press, 1969 [1933]</t>
  </si>
  <si>
    <t xml:space="preserve">2433806:eng</t>
  </si>
  <si>
    <t xml:space="preserve">555803</t>
  </si>
  <si>
    <t xml:space="preserve">991002982809702656</t>
  </si>
  <si>
    <t xml:space="preserve">2260404370002656</t>
  </si>
  <si>
    <t xml:space="preserve">32285000140433</t>
  </si>
  <si>
    <t xml:space="preserve">893434523</t>
  </si>
  <si>
    <t xml:space="preserve">B132.V3 F35 1969</t>
  </si>
  <si>
    <t xml:space="preserve">0                      B  0132000V  3                  F  35          1969</t>
  </si>
  <si>
    <t xml:space="preserve">The flame and the light : meanings in Vedanta and Buddhism.</t>
  </si>
  <si>
    <t xml:space="preserve">Fausset, Hugh I'Anson, 1895-1965.</t>
  </si>
  <si>
    <t xml:space="preserve">New York : Greenwood Press, [1969, c1958]</t>
  </si>
  <si>
    <t xml:space="preserve">2002-05-31</t>
  </si>
  <si>
    <t xml:space="preserve">292684855:eng</t>
  </si>
  <si>
    <t xml:space="preserve">11582</t>
  </si>
  <si>
    <t xml:space="preserve">991000002579702656</t>
  </si>
  <si>
    <t xml:space="preserve">2267795760002656</t>
  </si>
  <si>
    <t xml:space="preserve">32285000140490</t>
  </si>
  <si>
    <t xml:space="preserve">893339170</t>
  </si>
  <si>
    <t xml:space="preserve">B132.Y6 B4 1937b</t>
  </si>
  <si>
    <t xml:space="preserve">0                      B  0132000Y  6                  B  4           1937b</t>
  </si>
  <si>
    <t xml:space="preserve">Yoga : a scientific evaluation / by Kovoor T. Behanan.</t>
  </si>
  <si>
    <t xml:space="preserve">Behanan, K. T.</t>
  </si>
  <si>
    <t xml:space="preserve">New York : Dover Publications, c1937.</t>
  </si>
  <si>
    <t xml:space="preserve">2003-10-03</t>
  </si>
  <si>
    <t xml:space="preserve">1314184:eng</t>
  </si>
  <si>
    <t xml:space="preserve">4631319</t>
  </si>
  <si>
    <t xml:space="preserve">991004692949702656</t>
  </si>
  <si>
    <t xml:space="preserve">2259116290002656</t>
  </si>
  <si>
    <t xml:space="preserve">32285000140524</t>
  </si>
  <si>
    <t xml:space="preserve">893331919</t>
  </si>
  <si>
    <t xml:space="preserve">B132.Y6 B5313 1972</t>
  </si>
  <si>
    <t xml:space="preserve">0                      B  0132000Y  6                  B  5313        1972</t>
  </si>
  <si>
    <t xml:space="preserve">Easy journey to other planets, by practice of supreme yoga / [by] A. C. Bhaktivedanta Swami Prabhupāda.</t>
  </si>
  <si>
    <t xml:space="preserve">A. C. Bhaktivedanta Swami Prabhupāda, 1896-1977.</t>
  </si>
  <si>
    <t xml:space="preserve">New York : Macmillan, [1972]</t>
  </si>
  <si>
    <t xml:space="preserve">27764711:eng</t>
  </si>
  <si>
    <t xml:space="preserve">415594</t>
  </si>
  <si>
    <t xml:space="preserve">991002729859702656</t>
  </si>
  <si>
    <t xml:space="preserve">2266877900002656</t>
  </si>
  <si>
    <t xml:space="preserve">32285004388517</t>
  </si>
  <si>
    <t xml:space="preserve">893880333</t>
  </si>
  <si>
    <t xml:space="preserve">B133.K7 F5</t>
  </si>
  <si>
    <t xml:space="preserve">0                      B  0133000K  7                  F  5</t>
  </si>
  <si>
    <t xml:space="preserve">The first and last freedom / with a foreword by Aldous Huxley.</t>
  </si>
  <si>
    <t xml:space="preserve">New York : Harper, [1954]</t>
  </si>
  <si>
    <t xml:space="preserve">2002-07-30</t>
  </si>
  <si>
    <t xml:space="preserve">1150941906:eng</t>
  </si>
  <si>
    <t xml:space="preserve">964457</t>
  </si>
  <si>
    <t xml:space="preserve">991003425149702656</t>
  </si>
  <si>
    <t xml:space="preserve">2261846830002656</t>
  </si>
  <si>
    <t xml:space="preserve">32285000140607</t>
  </si>
  <si>
    <t xml:space="preserve">893787306</t>
  </si>
  <si>
    <t xml:space="preserve">B1334 .L8 1968</t>
  </si>
  <si>
    <t xml:space="preserve">0                      B  1334000L  8           1968</t>
  </si>
  <si>
    <t xml:space="preserve">Berkeley's immaterialism : a commentary on his A treatise concerning the principles of human knowledge / by A. A. Luce.</t>
  </si>
  <si>
    <t xml:space="preserve">Luce, A. A. (Arthur Aston), 1882-1977.</t>
  </si>
  <si>
    <t xml:space="preserve">New York : Russell &amp; Russell, [1968]</t>
  </si>
  <si>
    <t xml:space="preserve">2001-04-22</t>
  </si>
  <si>
    <t xml:space="preserve">1575484:eng</t>
  </si>
  <si>
    <t xml:space="preserve">443696</t>
  </si>
  <si>
    <t xml:space="preserve">991002791619702656</t>
  </si>
  <si>
    <t xml:space="preserve">2264399040002656</t>
  </si>
  <si>
    <t xml:space="preserve">32285000200526</t>
  </si>
  <si>
    <t xml:space="preserve">893440531</t>
  </si>
  <si>
    <t xml:space="preserve">B1339 .A7</t>
  </si>
  <si>
    <t xml:space="preserve">0                      B  1339000A  7</t>
  </si>
  <si>
    <t xml:space="preserve">Berkeley's theory of vision.</t>
  </si>
  <si>
    <t xml:space="preserve">[Parkville] : Melbourne University Press, [1960]</t>
  </si>
  <si>
    <t xml:space="preserve">836733512:eng</t>
  </si>
  <si>
    <t xml:space="preserve">883385566</t>
  </si>
  <si>
    <t xml:space="preserve">991002559199702656</t>
  </si>
  <si>
    <t xml:space="preserve">2260075190002656</t>
  </si>
  <si>
    <t xml:space="preserve">32285000200534</t>
  </si>
  <si>
    <t xml:space="preserve">893597602</t>
  </si>
  <si>
    <t xml:space="preserve">B1347 .L8 1968</t>
  </si>
  <si>
    <t xml:space="preserve">0                      B  1347000L  8           1968</t>
  </si>
  <si>
    <t xml:space="preserve">The life of George Berkeley, Bishop of Cloyne / by A. A. Luce.</t>
  </si>
  <si>
    <t xml:space="preserve">New York : Greenwood Press, 1968.</t>
  </si>
  <si>
    <t xml:space="preserve">Bibliotheca Britannica philosophica</t>
  </si>
  <si>
    <t xml:space="preserve">1997-05-14</t>
  </si>
  <si>
    <t xml:space="preserve">499285:eng</t>
  </si>
  <si>
    <t xml:space="preserve">442910</t>
  </si>
  <si>
    <t xml:space="preserve">991002789709702656</t>
  </si>
  <si>
    <t xml:space="preserve">2266320780002656</t>
  </si>
  <si>
    <t xml:space="preserve">32285000200575</t>
  </si>
  <si>
    <t xml:space="preserve">893799024</t>
  </si>
  <si>
    <t xml:space="preserve">B1348 .B7 1974</t>
  </si>
  <si>
    <t xml:space="preserve">0                      B  1348000B  7           1974</t>
  </si>
  <si>
    <t xml:space="preserve">Berkeley / Harry M. Bracken.</t>
  </si>
  <si>
    <t xml:space="preserve">Bracken, Harry M.</t>
  </si>
  <si>
    <t xml:space="preserve">New York : St. Martin's Press, 1974.</t>
  </si>
  <si>
    <t xml:space="preserve">441669:eng</t>
  </si>
  <si>
    <t xml:space="preserve">3255436</t>
  </si>
  <si>
    <t xml:space="preserve">991004388969702656</t>
  </si>
  <si>
    <t xml:space="preserve">2272453910002656</t>
  </si>
  <si>
    <t xml:space="preserve">32285000200617</t>
  </si>
  <si>
    <t xml:space="preserve">893775961</t>
  </si>
  <si>
    <t xml:space="preserve">B1348 .D36 1987</t>
  </si>
  <si>
    <t xml:space="preserve">0                      B  1348000D  36          1987</t>
  </si>
  <si>
    <t xml:space="preserve">Berkeley, an introduction / Jonathan Dancy.</t>
  </si>
  <si>
    <t xml:space="preserve">New York : Blackwell, 1987.</t>
  </si>
  <si>
    <t xml:space="preserve">8223384:eng</t>
  </si>
  <si>
    <t xml:space="preserve">14906007</t>
  </si>
  <si>
    <t xml:space="preserve">991000965939702656</t>
  </si>
  <si>
    <t xml:space="preserve">2267925770002656</t>
  </si>
  <si>
    <t xml:space="preserve">9780631155096</t>
  </si>
  <si>
    <t xml:space="preserve">32285000200625</t>
  </si>
  <si>
    <t xml:space="preserve">893496718</t>
  </si>
  <si>
    <t xml:space="preserve">B1348 .G73 1986</t>
  </si>
  <si>
    <t xml:space="preserve">0                      B  1348000G  73          1986</t>
  </si>
  <si>
    <t xml:space="preserve">Berkeley, the central arguments / A.C. Grayling.</t>
  </si>
  <si>
    <t xml:space="preserve">Grayling, A. C.</t>
  </si>
  <si>
    <t xml:space="preserve">LaSalle, Ill. : Open Court, c1986.</t>
  </si>
  <si>
    <t xml:space="preserve">2010-04-11</t>
  </si>
  <si>
    <t xml:space="preserve">5667775:eng</t>
  </si>
  <si>
    <t xml:space="preserve">12977471</t>
  </si>
  <si>
    <t xml:space="preserve">991000764019702656</t>
  </si>
  <si>
    <t xml:space="preserve">2261326870002656</t>
  </si>
  <si>
    <t xml:space="preserve">9780812690378</t>
  </si>
  <si>
    <t xml:space="preserve">32285000200633</t>
  </si>
  <si>
    <t xml:space="preserve">893708706</t>
  </si>
  <si>
    <t xml:space="preserve">B1348 .H5 1968</t>
  </si>
  <si>
    <t xml:space="preserve">0                      B  1348000H  5           1968</t>
  </si>
  <si>
    <t xml:space="preserve">Berkeley.</t>
  </si>
  <si>
    <t xml:space="preserve">Hicks, G. Dawes (George Dawes), 1862-1941.</t>
  </si>
  <si>
    <t xml:space="preserve">2001-04-10</t>
  </si>
  <si>
    <t xml:space="preserve">1408540:eng</t>
  </si>
  <si>
    <t xml:space="preserve">274704</t>
  </si>
  <si>
    <t xml:space="preserve">991002164359702656</t>
  </si>
  <si>
    <t xml:space="preserve">2260751650002656</t>
  </si>
  <si>
    <t xml:space="preserve">32285000200641</t>
  </si>
  <si>
    <t xml:space="preserve">893516955</t>
  </si>
  <si>
    <t xml:space="preserve">B1348 .J6 1965</t>
  </si>
  <si>
    <t xml:space="preserve">0                      B  1348000J  6           1965</t>
  </si>
  <si>
    <t xml:space="preserve">The development of Berkeley's philosophy / by G. A. Johnston.</t>
  </si>
  <si>
    <t xml:space="preserve">Johnston, G. A. (George Alexander), 1888-</t>
  </si>
  <si>
    <t xml:space="preserve">New York : Russell &amp; Russell, 1965.</t>
  </si>
  <si>
    <t xml:space="preserve">Shaw fellowship lectures ; 1920</t>
  </si>
  <si>
    <t xml:space="preserve">2084443:eng</t>
  </si>
  <si>
    <t xml:space="preserve">1201697</t>
  </si>
  <si>
    <t xml:space="preserve">991003616899702656</t>
  </si>
  <si>
    <t xml:space="preserve">2265545860002656</t>
  </si>
  <si>
    <t xml:space="preserve">32285000200658</t>
  </si>
  <si>
    <t xml:space="preserve">893324264</t>
  </si>
  <si>
    <t xml:space="preserve">B1348 .T56</t>
  </si>
  <si>
    <t xml:space="preserve">0                      B  1348000T  56</t>
  </si>
  <si>
    <t xml:space="preserve">Berkeley : the philosophy of immaterialism / [by] I. C. Tipton.</t>
  </si>
  <si>
    <t xml:space="preserve">Tipton, I. C.</t>
  </si>
  <si>
    <t xml:space="preserve">London : Methuen, [1974]</t>
  </si>
  <si>
    <t xml:space="preserve">909432:eng</t>
  </si>
  <si>
    <t xml:space="preserve">867045</t>
  </si>
  <si>
    <t xml:space="preserve">991003336239702656</t>
  </si>
  <si>
    <t xml:space="preserve">2265955100002656</t>
  </si>
  <si>
    <t xml:space="preserve">9780416082302</t>
  </si>
  <si>
    <t xml:space="preserve">32285000200674</t>
  </si>
  <si>
    <t xml:space="preserve">893793543</t>
  </si>
  <si>
    <t xml:space="preserve">B1348 .U75 1982</t>
  </si>
  <si>
    <t xml:space="preserve">0                      B  1348000U  75          1982</t>
  </si>
  <si>
    <t xml:space="preserve">Berkeley / J.O. Urmson.</t>
  </si>
  <si>
    <t xml:space="preserve">Urmson, J. O.</t>
  </si>
  <si>
    <t xml:space="preserve">Oxford [England] : Oxford University Press, c1982, 1983 printing.</t>
  </si>
  <si>
    <t xml:space="preserve">Past masters series</t>
  </si>
  <si>
    <t xml:space="preserve">1997-03-18</t>
  </si>
  <si>
    <t xml:space="preserve">3836034:eng</t>
  </si>
  <si>
    <t xml:space="preserve">11067963</t>
  </si>
  <si>
    <t xml:space="preserve">991000058749702656</t>
  </si>
  <si>
    <t xml:space="preserve">2268888960002656</t>
  </si>
  <si>
    <t xml:space="preserve">9780192875464</t>
  </si>
  <si>
    <t xml:space="preserve">32285000200682</t>
  </si>
  <si>
    <t xml:space="preserve">893351405</t>
  </si>
  <si>
    <t xml:space="preserve">B1348 .W37 1969</t>
  </si>
  <si>
    <t xml:space="preserve">0                      B  1348000W  37          1969</t>
  </si>
  <si>
    <t xml:space="preserve">Berkeley / [by] G. J. Warnock.</t>
  </si>
  <si>
    <t xml:space="preserve">Warnock, G. J. (Geoffrey James), 1923-</t>
  </si>
  <si>
    <t xml:space="preserve">Harmondsworth : Penguin, 1969.</t>
  </si>
  <si>
    <t xml:space="preserve">[1st ed., reprinted with a new bibliography]</t>
  </si>
  <si>
    <t xml:space="preserve">Peregrine books ; Y80</t>
  </si>
  <si>
    <t xml:space="preserve">1187177:eng</t>
  </si>
  <si>
    <t xml:space="preserve">32736</t>
  </si>
  <si>
    <t xml:space="preserve">991000084039702656</t>
  </si>
  <si>
    <t xml:space="preserve">2261701790002656</t>
  </si>
  <si>
    <t xml:space="preserve">32285000200690</t>
  </si>
  <si>
    <t xml:space="preserve">893714275</t>
  </si>
  <si>
    <t xml:space="preserve">B1349.E8 O4</t>
  </si>
  <si>
    <t xml:space="preserve">0                      B  1349000E  8                  O  4</t>
  </si>
  <si>
    <t xml:space="preserve">The moral philosophy of George Berkeley / by Paul J. Olscamp.</t>
  </si>
  <si>
    <t xml:space="preserve">Olscamp, Paul J.</t>
  </si>
  <si>
    <t xml:space="preserve">The Hague : Martinus Nijhoff, 1970.</t>
  </si>
  <si>
    <t xml:space="preserve">International archives of the history of ideas 33</t>
  </si>
  <si>
    <t xml:space="preserve">1994-11-19</t>
  </si>
  <si>
    <t xml:space="preserve">1278472:eng</t>
  </si>
  <si>
    <t xml:space="preserve">134195</t>
  </si>
  <si>
    <t xml:space="preserve">991000779099702656</t>
  </si>
  <si>
    <t xml:space="preserve">2260796100002656</t>
  </si>
  <si>
    <t xml:space="preserve">32285000200716</t>
  </si>
  <si>
    <t xml:space="preserve">893702419</t>
  </si>
  <si>
    <t xml:space="preserve">B1349.M47 P57</t>
  </si>
  <si>
    <t xml:space="preserve">0                      B  1349000M  47                 P  57</t>
  </si>
  <si>
    <t xml:space="preserve">Berkeley / George Pitcher.</t>
  </si>
  <si>
    <t xml:space="preserve">Pitcher, George, 1925-</t>
  </si>
  <si>
    <t xml:space="preserve">London ; Boston : Routledge &amp; Kegan Paul, 1977.</t>
  </si>
  <si>
    <t xml:space="preserve">The Arguments of the philosophers</t>
  </si>
  <si>
    <t xml:space="preserve">1999-11-07</t>
  </si>
  <si>
    <t xml:space="preserve">11453778:eng</t>
  </si>
  <si>
    <t xml:space="preserve">3620223</t>
  </si>
  <si>
    <t xml:space="preserve">991004478789702656</t>
  </si>
  <si>
    <t xml:space="preserve">2262232880002656</t>
  </si>
  <si>
    <t xml:space="preserve">9780710086853</t>
  </si>
  <si>
    <t xml:space="preserve">32285000200724</t>
  </si>
  <si>
    <t xml:space="preserve">893519704</t>
  </si>
  <si>
    <t xml:space="preserve">B1349.P4 S7</t>
  </si>
  <si>
    <t xml:space="preserve">0                      B  1349000P  4                  S  7</t>
  </si>
  <si>
    <t xml:space="preserve">Berkeley's analysis of perception / [by] George J. Stack.</t>
  </si>
  <si>
    <t xml:space="preserve">Stack, George J.</t>
  </si>
  <si>
    <t xml:space="preserve">The Hague : Mouton, 1970.</t>
  </si>
  <si>
    <t xml:space="preserve">Studies in philosophy ; no. 21</t>
  </si>
  <si>
    <t xml:space="preserve">2001-04-03</t>
  </si>
  <si>
    <t xml:space="preserve">5090492518:eng</t>
  </si>
  <si>
    <t xml:space="preserve">95992</t>
  </si>
  <si>
    <t xml:space="preserve">991000585049702656</t>
  </si>
  <si>
    <t xml:space="preserve">2272438190002656</t>
  </si>
  <si>
    <t xml:space="preserve">32285000200732</t>
  </si>
  <si>
    <t xml:space="preserve">893608069</t>
  </si>
  <si>
    <t xml:space="preserve">B1363.Z7 J4</t>
  </si>
  <si>
    <t xml:space="preserve">0                      B  1363000Z  7                  J  4</t>
  </si>
  <si>
    <t xml:space="preserve">Butler and Hume on religion : a comparative analysis.</t>
  </si>
  <si>
    <t xml:space="preserve">Jeffner, Anders.</t>
  </si>
  <si>
    <t xml:space="preserve">Stockholm : Diakonistyrelsens bokforlag, [1966]</t>
  </si>
  <si>
    <t xml:space="preserve">sw </t>
  </si>
  <si>
    <t xml:space="preserve">Acta Universitatis Upsaliensis. Studia doctrinae Christianae Upsaliensia ; 7</t>
  </si>
  <si>
    <t xml:space="preserve">1990-06-21</t>
  </si>
  <si>
    <t xml:space="preserve">823645051:eng</t>
  </si>
  <si>
    <t xml:space="preserve">955559</t>
  </si>
  <si>
    <t xml:space="preserve">991003415799702656</t>
  </si>
  <si>
    <t xml:space="preserve">2260049210002656</t>
  </si>
  <si>
    <t xml:space="preserve">32285000200765</t>
  </si>
  <si>
    <t xml:space="preserve">893342542</t>
  </si>
  <si>
    <t xml:space="preserve">B1390 .C76</t>
  </si>
  <si>
    <t xml:space="preserve">0                      B  1390000C  76</t>
  </si>
  <si>
    <t xml:space="preserve">The Jung codex : a newly recovered Gnostic papyrus ; three studies.</t>
  </si>
  <si>
    <t xml:space="preserve">Cross, F. L. (Frank Leslie), 1900-1968 editor.</t>
  </si>
  <si>
    <t xml:space="preserve">London : Mowbray ; New York : Morehouse-Gorham Co., [1955]</t>
  </si>
  <si>
    <t xml:space="preserve">2008-11-26</t>
  </si>
  <si>
    <t xml:space="preserve">570541138:eng</t>
  </si>
  <si>
    <t xml:space="preserve">507758</t>
  </si>
  <si>
    <t xml:space="preserve">991002884379702656</t>
  </si>
  <si>
    <t xml:space="preserve">2260642400002656</t>
  </si>
  <si>
    <t xml:space="preserve">32285000200823</t>
  </si>
  <si>
    <t xml:space="preserve">893786692</t>
  </si>
  <si>
    <t xml:space="preserve">B1402.E55 O72 1982</t>
  </si>
  <si>
    <t xml:space="preserve">0                      B  1402000E  55                 O  72          1982</t>
  </si>
  <si>
    <t xml:space="preserve">The Origins and nature of the Scottish Enlightenment : essays / edited by R.H. Campbell and Andrew S. Skinner.</t>
  </si>
  <si>
    <t xml:space="preserve">Edinburgh : J. Donald, c1982.</t>
  </si>
  <si>
    <t xml:space="preserve">2010-03-08</t>
  </si>
  <si>
    <t xml:space="preserve">836660269:eng</t>
  </si>
  <si>
    <t xml:space="preserve">10606045</t>
  </si>
  <si>
    <t xml:space="preserve">991000400259702656</t>
  </si>
  <si>
    <t xml:space="preserve">2260661160002656</t>
  </si>
  <si>
    <t xml:space="preserve">9780859760768</t>
  </si>
  <si>
    <t xml:space="preserve">32285000233006</t>
  </si>
  <si>
    <t xml:space="preserve">893595513</t>
  </si>
  <si>
    <t xml:space="preserve">B1402.E55 O74 1978</t>
  </si>
  <si>
    <t xml:space="preserve">0                      B  1402000E  55                 O  74          1978</t>
  </si>
  <si>
    <t xml:space="preserve">The Origins of the Scottish enlightenment / [compiled by] Jane Rendall.</t>
  </si>
  <si>
    <t xml:space="preserve">New York : St. Martin's Press, 1978.</t>
  </si>
  <si>
    <t xml:space="preserve">2004-10-15</t>
  </si>
  <si>
    <t xml:space="preserve">198453621:eng</t>
  </si>
  <si>
    <t xml:space="preserve">4036584</t>
  </si>
  <si>
    <t xml:space="preserve">991004572939702656</t>
  </si>
  <si>
    <t xml:space="preserve">2269544360002656</t>
  </si>
  <si>
    <t xml:space="preserve">9780312588663</t>
  </si>
  <si>
    <t xml:space="preserve">32285000200864</t>
  </si>
  <si>
    <t xml:space="preserve">893795006</t>
  </si>
  <si>
    <t xml:space="preserve">B1455 .H4</t>
  </si>
  <si>
    <t xml:space="preserve">0                      B  1455000H  4</t>
  </si>
  <si>
    <t xml:space="preserve">Selections / edited by Charles W. Hendel, jr.</t>
  </si>
  <si>
    <t xml:space="preserve">Hume, David, 1711-1776.</t>
  </si>
  <si>
    <t xml:space="preserve">New York ; Chicago [etc.] : C. Scribner's sons, [c1927]</t>
  </si>
  <si>
    <t xml:space="preserve">Half-title: The modern student's library. [Philosophy series]</t>
  </si>
  <si>
    <t xml:space="preserve">4927740804:eng</t>
  </si>
  <si>
    <t xml:space="preserve">407702</t>
  </si>
  <si>
    <t xml:space="preserve">991002707689702656</t>
  </si>
  <si>
    <t xml:space="preserve">2261506860002656</t>
  </si>
  <si>
    <t xml:space="preserve">32285000200997</t>
  </si>
  <si>
    <t xml:space="preserve">893685686</t>
  </si>
  <si>
    <t xml:space="preserve">B1455 .M22</t>
  </si>
  <si>
    <t xml:space="preserve">0                      B  1455000M  22</t>
  </si>
  <si>
    <t xml:space="preserve">Hume's ethical writings : selections / edited, with an introd., by Alasdair MacIntyre.</t>
  </si>
  <si>
    <t xml:space="preserve">New York : Collier Books, 1965.</t>
  </si>
  <si>
    <t xml:space="preserve">Collier classics in the history of thought</t>
  </si>
  <si>
    <t xml:space="preserve">1687287</t>
  </si>
  <si>
    <t xml:space="preserve">991003869149702656</t>
  </si>
  <si>
    <t xml:space="preserve">2267199360002656</t>
  </si>
  <si>
    <t xml:space="preserve">32285000201011</t>
  </si>
  <si>
    <t xml:space="preserve">893318508</t>
  </si>
  <si>
    <t xml:space="preserve">B1484 .F5 1961a</t>
  </si>
  <si>
    <t xml:space="preserve">0                      B  1484000F  5           1961a</t>
  </si>
  <si>
    <t xml:space="preserve">Humes philosophy of belief : a study of his first enquiry / by Antony Flew.</t>
  </si>
  <si>
    <t xml:space="preserve">London : Routledge and Kegan Paul, 1961.</t>
  </si>
  <si>
    <t xml:space="preserve">5208768197:eng</t>
  </si>
  <si>
    <t xml:space="preserve">17518361</t>
  </si>
  <si>
    <t xml:space="preserve">991001228509702656</t>
  </si>
  <si>
    <t xml:space="preserve">2271435370002656</t>
  </si>
  <si>
    <t xml:space="preserve">32285000201094</t>
  </si>
  <si>
    <t xml:space="preserve">893878745</t>
  </si>
  <si>
    <t xml:space="preserve">B1484 .S83</t>
  </si>
  <si>
    <t xml:space="preserve">0                      B  1484000S  83</t>
  </si>
  <si>
    <t xml:space="preserve">A faculty theory of knowledge : the aim and scope of Hume's first Enquiry.</t>
  </si>
  <si>
    <t xml:space="preserve">Stern, George, 1930-</t>
  </si>
  <si>
    <t xml:space="preserve">Lewisburg, [Pa.] : Bucknell University Press, [1971]</t>
  </si>
  <si>
    <t xml:space="preserve">1993-11-30</t>
  </si>
  <si>
    <t xml:space="preserve">1276225:eng</t>
  </si>
  <si>
    <t xml:space="preserve">163679</t>
  </si>
  <si>
    <t xml:space="preserve">991000926789702656</t>
  </si>
  <si>
    <t xml:space="preserve">2272125900002656</t>
  </si>
  <si>
    <t xml:space="preserve">9780838778210</t>
  </si>
  <si>
    <t xml:space="preserve">32285000201102</t>
  </si>
  <si>
    <t xml:space="preserve">893534359</t>
  </si>
  <si>
    <t xml:space="preserve">B1489 .A7</t>
  </si>
  <si>
    <t xml:space="preserve">0                      B  1489000A  7</t>
  </si>
  <si>
    <t xml:space="preserve">Passion and value in Hume's Treatise / [by] Páll S. Árdal.</t>
  </si>
  <si>
    <t xml:space="preserve">Árdal, Páll Steinthórsson.</t>
  </si>
  <si>
    <t xml:space="preserve">Edinburgh : Edinburgh U.P., [1966]</t>
  </si>
  <si>
    <t xml:space="preserve">Edinburgh University publications; history, philosophy and economics series, 21</t>
  </si>
  <si>
    <t xml:space="preserve">1995-02-02</t>
  </si>
  <si>
    <t xml:space="preserve">137950539:eng</t>
  </si>
  <si>
    <t xml:space="preserve">372335</t>
  </si>
  <si>
    <t xml:space="preserve">991002564649702656</t>
  </si>
  <si>
    <t xml:space="preserve">2261793780002656</t>
  </si>
  <si>
    <t xml:space="preserve">32285000675263</t>
  </si>
  <si>
    <t xml:space="preserve">893792613</t>
  </si>
  <si>
    <t xml:space="preserve">B1489 .F64 1985</t>
  </si>
  <si>
    <t xml:space="preserve">0                      B  1489000F  64          1985</t>
  </si>
  <si>
    <t xml:space="preserve">Hume's skepticism in the Treatise of human nature / Robert J. Fogelin.</t>
  </si>
  <si>
    <t xml:space="preserve">Fogelin, Robert J.</t>
  </si>
  <si>
    <t xml:space="preserve">London ; Boston : Routledge &amp; Kegan Paul, 1985.</t>
  </si>
  <si>
    <t xml:space="preserve">2001-10-07</t>
  </si>
  <si>
    <t xml:space="preserve">3494916:eng</t>
  </si>
  <si>
    <t xml:space="preserve">10997206</t>
  </si>
  <si>
    <t xml:space="preserve">991000471119702656</t>
  </si>
  <si>
    <t xml:space="preserve">2258297970002656</t>
  </si>
  <si>
    <t xml:space="preserve">9780710203687</t>
  </si>
  <si>
    <t xml:space="preserve">32285000150010</t>
  </si>
  <si>
    <t xml:space="preserve">893231134</t>
  </si>
  <si>
    <t xml:space="preserve">B1489 .P7</t>
  </si>
  <si>
    <t xml:space="preserve">0                      B  1489000P  7</t>
  </si>
  <si>
    <t xml:space="preserve">Hume's theory of the external world / by H. H. Price.</t>
  </si>
  <si>
    <t xml:space="preserve">Price, H. H. (Henry Habberley), 1899-1984.</t>
  </si>
  <si>
    <t xml:space="preserve">Oxford : The Clarendon press, 1940.</t>
  </si>
  <si>
    <t xml:space="preserve">1999-02-18</t>
  </si>
  <si>
    <t xml:space="preserve">195555756:eng</t>
  </si>
  <si>
    <t xml:space="preserve">1544646</t>
  </si>
  <si>
    <t xml:space="preserve">991003814359702656</t>
  </si>
  <si>
    <t xml:space="preserve">2265722990002656</t>
  </si>
  <si>
    <t xml:space="preserve">32285000201144</t>
  </si>
  <si>
    <t xml:space="preserve">893499748</t>
  </si>
  <si>
    <t xml:space="preserve">B1497 .M65 1980</t>
  </si>
  <si>
    <t xml:space="preserve">0                      B  1497000M  65          1980</t>
  </si>
  <si>
    <t xml:space="preserve">The life of David Hume / Ernest Campbell Mossner.</t>
  </si>
  <si>
    <t xml:space="preserve">Mossner, Ernest Campbell, 1907-1986.</t>
  </si>
  <si>
    <t xml:space="preserve">Oxford : Clarendon Press ; New York : Oxford University Press, 1980.</t>
  </si>
  <si>
    <t xml:space="preserve">2000-02-17</t>
  </si>
  <si>
    <t xml:space="preserve">2908498100:eng</t>
  </si>
  <si>
    <t xml:space="preserve">4642088</t>
  </si>
  <si>
    <t xml:space="preserve">991004696589702656</t>
  </si>
  <si>
    <t xml:space="preserve">2257925960002656</t>
  </si>
  <si>
    <t xml:space="preserve">9780198243816</t>
  </si>
  <si>
    <t xml:space="preserve">32285000201227</t>
  </si>
  <si>
    <t xml:space="preserve">893235832</t>
  </si>
  <si>
    <t xml:space="preserve">B1498 .B4</t>
  </si>
  <si>
    <t xml:space="preserve">0                      B  1498000B  4</t>
  </si>
  <si>
    <t xml:space="preserve">David Hume.</t>
  </si>
  <si>
    <t xml:space="preserve">Belgion, Montgomery, 1892-1973.</t>
  </si>
  <si>
    <t xml:space="preserve">[London] : Published for the British Council and the National Book League by Longmans, Green, [1965]</t>
  </si>
  <si>
    <t xml:space="preserve">Bibliographical series of supplements to British book news on writers and their work ; no. 181</t>
  </si>
  <si>
    <t xml:space="preserve">1993-11-21</t>
  </si>
  <si>
    <t xml:space="preserve">1909114150:eng</t>
  </si>
  <si>
    <t xml:space="preserve">175671</t>
  </si>
  <si>
    <t xml:space="preserve">991001036989702656</t>
  </si>
  <si>
    <t xml:space="preserve">2265172570002656</t>
  </si>
  <si>
    <t xml:space="preserve">32285000201243</t>
  </si>
  <si>
    <t xml:space="preserve">893715112</t>
  </si>
  <si>
    <t xml:space="preserve">B1498 .B59 1980</t>
  </si>
  <si>
    <t xml:space="preserve">0                      B  1498000B  59          1980</t>
  </si>
  <si>
    <t xml:space="preserve">Ethics, politics, and epistemology : a study in the unity of Hume's thought / Aryeh Botwinick.</t>
  </si>
  <si>
    <t xml:space="preserve">Botwinick, Aryeh.</t>
  </si>
  <si>
    <t xml:space="preserve">Lanham, MD : University Press of America, c1980.</t>
  </si>
  <si>
    <t xml:space="preserve">2007-10-06</t>
  </si>
  <si>
    <t xml:space="preserve">483120:eng</t>
  </si>
  <si>
    <t xml:space="preserve">6915336</t>
  </si>
  <si>
    <t xml:space="preserve">991005058579702656</t>
  </si>
  <si>
    <t xml:space="preserve">2265841940002656</t>
  </si>
  <si>
    <t xml:space="preserve">9780819112880</t>
  </si>
  <si>
    <t xml:space="preserve">32285000201268</t>
  </si>
  <si>
    <t xml:space="preserve">893776758</t>
  </si>
  <si>
    <t xml:space="preserve">B1498 .C5</t>
  </si>
  <si>
    <t xml:space="preserve">0                      B  1498000C  5</t>
  </si>
  <si>
    <t xml:space="preserve">Hume / edited by V. C. Chappell.</t>
  </si>
  <si>
    <t xml:space="preserve">Garden City, N.Y. : Anchor Books, 1966.</t>
  </si>
  <si>
    <t xml:space="preserve">1997-02-04</t>
  </si>
  <si>
    <t xml:space="preserve">8908601498:eng</t>
  </si>
  <si>
    <t xml:space="preserve">371699</t>
  </si>
  <si>
    <t xml:space="preserve">991002560479702656</t>
  </si>
  <si>
    <t xml:space="preserve">2260069270002656</t>
  </si>
  <si>
    <t xml:space="preserve">32285000201284</t>
  </si>
  <si>
    <t xml:space="preserve">893880104</t>
  </si>
  <si>
    <t xml:space="preserve">B1498 .J66 1982</t>
  </si>
  <si>
    <t xml:space="preserve">0                      B  1498000J  66          1982</t>
  </si>
  <si>
    <t xml:space="preserve">Hume's sentiments : their Ciceronian and French context / Peter Jones.</t>
  </si>
  <si>
    <t xml:space="preserve">Jones, Peter, M.A.</t>
  </si>
  <si>
    <t xml:space="preserve">Edinburgh : Edinburgh University Press, c1982.</t>
  </si>
  <si>
    <t xml:space="preserve">1990-10-13</t>
  </si>
  <si>
    <t xml:space="preserve">203229577:eng</t>
  </si>
  <si>
    <t xml:space="preserve">9320509</t>
  </si>
  <si>
    <t xml:space="preserve">991000169179702656</t>
  </si>
  <si>
    <t xml:space="preserve">2259214580002656</t>
  </si>
  <si>
    <t xml:space="preserve">9780852244432</t>
  </si>
  <si>
    <t xml:space="preserve">32285000310788</t>
  </si>
  <si>
    <t xml:space="preserve">893419259</t>
  </si>
  <si>
    <t xml:space="preserve">B1498 .K8 1966</t>
  </si>
  <si>
    <t xml:space="preserve">0                      B  1498000K  8           1966</t>
  </si>
  <si>
    <t xml:space="preserve">Studies in the eighteenth century background of Hume's empiricism.</t>
  </si>
  <si>
    <t xml:space="preserve">Kuypers, Mary Shaw, 1891-</t>
  </si>
  <si>
    <t xml:space="preserve">New York : Russell &amp; Russell, 1966 [c1958]</t>
  </si>
  <si>
    <t xml:space="preserve">2005-12-19</t>
  </si>
  <si>
    <t xml:space="preserve">1449601:eng</t>
  </si>
  <si>
    <t xml:space="preserve">371751</t>
  </si>
  <si>
    <t xml:space="preserve">991002560989702656</t>
  </si>
  <si>
    <t xml:space="preserve">2259962210002656</t>
  </si>
  <si>
    <t xml:space="preserve">32285000201326</t>
  </si>
  <si>
    <t xml:space="preserve">893335445</t>
  </si>
  <si>
    <t xml:space="preserve">B1498 .N68</t>
  </si>
  <si>
    <t xml:space="preserve">0                      B  1498000N  68</t>
  </si>
  <si>
    <t xml:space="preserve">Hume's philosophical development : a study of his methods / by James Noxon.</t>
  </si>
  <si>
    <t xml:space="preserve">Noxon, James (James H.), 1924-</t>
  </si>
  <si>
    <t xml:space="preserve">Oxford ; New York : Clarendon Press, c1973.</t>
  </si>
  <si>
    <t xml:space="preserve">1990-06-25</t>
  </si>
  <si>
    <t xml:space="preserve">416085:eng</t>
  </si>
  <si>
    <t xml:space="preserve">637330</t>
  </si>
  <si>
    <t xml:space="preserve">991003095819702656</t>
  </si>
  <si>
    <t xml:space="preserve">2261695320002656</t>
  </si>
  <si>
    <t xml:space="preserve">32285000201391</t>
  </si>
  <si>
    <t xml:space="preserve">893604434</t>
  </si>
  <si>
    <t xml:space="preserve">B1498 .P3 1968b</t>
  </si>
  <si>
    <t xml:space="preserve">0                      B  1498000P  3           1968b</t>
  </si>
  <si>
    <t xml:space="preserve">Hume's intentions / by John Passmore.</t>
  </si>
  <si>
    <t xml:space="preserve">New York : Basic Books, [1968]</t>
  </si>
  <si>
    <t xml:space="preserve">446805:eng</t>
  </si>
  <si>
    <t xml:space="preserve">449310</t>
  </si>
  <si>
    <t xml:space="preserve">991002805379702656</t>
  </si>
  <si>
    <t xml:space="preserve">2265213730002656</t>
  </si>
  <si>
    <t xml:space="preserve">32285000201409</t>
  </si>
  <si>
    <t xml:space="preserve">893498557</t>
  </si>
  <si>
    <t xml:space="preserve">B1498 .S35 1989</t>
  </si>
  <si>
    <t xml:space="preserve">0                      B  1498000S  35          1989</t>
  </si>
  <si>
    <t xml:space="preserve">The "Science of man" in the Scottish Enlightenment : Hume, Reid, and their contemporaries / edited by Peter Jones.</t>
  </si>
  <si>
    <t xml:space="preserve">Edinburgh : Edinburgh University Press, c1989.</t>
  </si>
  <si>
    <t xml:space="preserve">2000-01-31</t>
  </si>
  <si>
    <t xml:space="preserve">836728512:eng</t>
  </si>
  <si>
    <t xml:space="preserve">22179307</t>
  </si>
  <si>
    <t xml:space="preserve">991001750289702656</t>
  </si>
  <si>
    <t xml:space="preserve">2259623090002656</t>
  </si>
  <si>
    <t xml:space="preserve">9780748601462</t>
  </si>
  <si>
    <t xml:space="preserve">32285000490853</t>
  </si>
  <si>
    <t xml:space="preserve">893785361</t>
  </si>
  <si>
    <t xml:space="preserve">B1498 .S5</t>
  </si>
  <si>
    <t xml:space="preserve">0                      B  1498000S  5</t>
  </si>
  <si>
    <t xml:space="preserve">The philosophy of David Hume : a critical study of its origins and central doctrines / by Norman Kemp Smith.</t>
  </si>
  <si>
    <t xml:space="preserve">Smith, Norman Kemp, 1872-1958.</t>
  </si>
  <si>
    <t xml:space="preserve">London : Macmillan and Co., limited, 1949.</t>
  </si>
  <si>
    <t xml:space="preserve">991206:eng</t>
  </si>
  <si>
    <t xml:space="preserve">7965370</t>
  </si>
  <si>
    <t xml:space="preserve">991005184659702656</t>
  </si>
  <si>
    <t xml:space="preserve">2265019210002656</t>
  </si>
  <si>
    <t xml:space="preserve">32285000233071</t>
  </si>
  <si>
    <t xml:space="preserve">893536450</t>
  </si>
  <si>
    <t xml:space="preserve">B1498 .S8</t>
  </si>
  <si>
    <t xml:space="preserve">0                      B  1498000S  8</t>
  </si>
  <si>
    <t xml:space="preserve">The moral and political philosophy of David Hume.</t>
  </si>
  <si>
    <t xml:space="preserve">Stewart, John B. (John Benjamin), 1924-</t>
  </si>
  <si>
    <t xml:space="preserve">New York : Columbia University Press, 1963.</t>
  </si>
  <si>
    <t xml:space="preserve">196584759:eng</t>
  </si>
  <si>
    <t xml:space="preserve">371755</t>
  </si>
  <si>
    <t xml:space="preserve">991002561079702656</t>
  </si>
  <si>
    <t xml:space="preserve">2259962690002656</t>
  </si>
  <si>
    <t xml:space="preserve">32285000201441</t>
  </si>
  <si>
    <t xml:space="preserve">893792607</t>
  </si>
  <si>
    <t xml:space="preserve">B1498 .Z3</t>
  </si>
  <si>
    <t xml:space="preserve">0                      B  1498000Z  3</t>
  </si>
  <si>
    <t xml:space="preserve">Hume, precursor of modern empiricism : an analysis of his opinions on meaning, metaphysics, logic, and mathematics.</t>
  </si>
  <si>
    <t xml:space="preserve">Zabeeh, Farhang.</t>
  </si>
  <si>
    <t xml:space="preserve">The Hague : M. Nijhoff, 1960.</t>
  </si>
  <si>
    <t xml:space="preserve">2010-04-26</t>
  </si>
  <si>
    <t xml:space="preserve">1382785:eng</t>
  </si>
  <si>
    <t xml:space="preserve">265645</t>
  </si>
  <si>
    <t xml:space="preserve">991002096089702656</t>
  </si>
  <si>
    <t xml:space="preserve">2267771420002656</t>
  </si>
  <si>
    <t xml:space="preserve">32285000201482</t>
  </si>
  <si>
    <t xml:space="preserve">893691213</t>
  </si>
  <si>
    <t xml:space="preserve">B1499.K7 M27 1966a</t>
  </si>
  <si>
    <t xml:space="preserve">0                      B  1499000K  7                  M  27          1966a</t>
  </si>
  <si>
    <t xml:space="preserve">David Hume, his theory of knowledge and morality / by D. G. C. MacNabb.</t>
  </si>
  <si>
    <t xml:space="preserve">MacNabb, D. G. C.</t>
  </si>
  <si>
    <t xml:space="preserve">Hamden, Conn. : Archon Books, [1966]</t>
  </si>
  <si>
    <t xml:space="preserve">1997-12-02</t>
  </si>
  <si>
    <t xml:space="preserve">2634600:eng</t>
  </si>
  <si>
    <t xml:space="preserve">1959170</t>
  </si>
  <si>
    <t xml:space="preserve">991003952429702656</t>
  </si>
  <si>
    <t xml:space="preserve">2265930770002656</t>
  </si>
  <si>
    <t xml:space="preserve">32285000201557</t>
  </si>
  <si>
    <t xml:space="preserve">893605445</t>
  </si>
  <si>
    <t xml:space="preserve">32285000201565</t>
  </si>
  <si>
    <t xml:space="preserve">893605444</t>
  </si>
  <si>
    <t xml:space="preserve">1995-02-13</t>
  </si>
  <si>
    <t xml:space="preserve">32285000233089</t>
  </si>
  <si>
    <t xml:space="preserve">893605443</t>
  </si>
  <si>
    <t xml:space="preserve">B1499.R4 K9 1964</t>
  </si>
  <si>
    <t xml:space="preserve">0                      B  1499000R  4                  K  9           1964</t>
  </si>
  <si>
    <t xml:space="preserve">Reason and conduct in Hume's Treatise.</t>
  </si>
  <si>
    <t xml:space="preserve">Kydd, Rachael Mary.</t>
  </si>
  <si>
    <t xml:space="preserve">New York : Russell &amp; Russell, 1964.</t>
  </si>
  <si>
    <t xml:space="preserve">1993-11-18</t>
  </si>
  <si>
    <t xml:space="preserve">1449640:eng</t>
  </si>
  <si>
    <t xml:space="preserve">371757</t>
  </si>
  <si>
    <t xml:space="preserve">991002561109702656</t>
  </si>
  <si>
    <t xml:space="preserve">2259962540002656</t>
  </si>
  <si>
    <t xml:space="preserve">32285000201581</t>
  </si>
  <si>
    <t xml:space="preserve">893809557</t>
  </si>
  <si>
    <t xml:space="preserve">B1499.R4 T85</t>
  </si>
  <si>
    <t xml:space="preserve">0                      B  1499000R  4                  T  85</t>
  </si>
  <si>
    <t xml:space="preserve">Reason and conduct in Hume and his predecessors / by Stanley Tweyman.</t>
  </si>
  <si>
    <t xml:space="preserve">Tweyman, Stanley, 1942-</t>
  </si>
  <si>
    <t xml:space="preserve">The Hague : Martinus Nijhoff, 1974.</t>
  </si>
  <si>
    <t xml:space="preserve">2008-12-04</t>
  </si>
  <si>
    <t xml:space="preserve">2177399:eng</t>
  </si>
  <si>
    <t xml:space="preserve">1257550</t>
  </si>
  <si>
    <t xml:space="preserve">991003654209702656</t>
  </si>
  <si>
    <t xml:space="preserve">2257553610002656</t>
  </si>
  <si>
    <t xml:space="preserve">9789024715824</t>
  </si>
  <si>
    <t xml:space="preserve">32285000201599</t>
  </si>
  <si>
    <t xml:space="preserve">893234411</t>
  </si>
  <si>
    <t xml:space="preserve">B1537 .T48</t>
  </si>
  <si>
    <t xml:space="preserve">0                      B  1537000T  48</t>
  </si>
  <si>
    <t xml:space="preserve">Thomas Reid : critical interpretations / edited by Stephen F. Barker and Tom L. Beauchamp. --</t>
  </si>
  <si>
    <t xml:space="preserve">Philadelphia : University City Science Center, 1976.</t>
  </si>
  <si>
    <t xml:space="preserve">Philosophical monographs 0363-8243</t>
  </si>
  <si>
    <t xml:space="preserve">1998-01-19</t>
  </si>
  <si>
    <t xml:space="preserve">352420776:eng</t>
  </si>
  <si>
    <t xml:space="preserve">2985848</t>
  </si>
  <si>
    <t xml:space="preserve">991004308979702656</t>
  </si>
  <si>
    <t xml:space="preserve">2262210950002656</t>
  </si>
  <si>
    <t xml:space="preserve">9780918030023</t>
  </si>
  <si>
    <t xml:space="preserve">32285000201680</t>
  </si>
  <si>
    <t xml:space="preserve">893806905</t>
  </si>
  <si>
    <t xml:space="preserve">B154 .J48 1975</t>
  </si>
  <si>
    <t xml:space="preserve">0                      B  0154000J  48          1975</t>
  </si>
  <si>
    <t xml:space="preserve">Jewish philosophers / edited by Steven T. Katz.</t>
  </si>
  <si>
    <t xml:space="preserve">New York : Bloch Pub. Co., c1975.</t>
  </si>
  <si>
    <t xml:space="preserve">23342566:eng</t>
  </si>
  <si>
    <t xml:space="preserve">1672617</t>
  </si>
  <si>
    <t xml:space="preserve">991003863479702656</t>
  </si>
  <si>
    <t xml:space="preserve">2266458920002656</t>
  </si>
  <si>
    <t xml:space="preserve">9780819703873</t>
  </si>
  <si>
    <t xml:space="preserve">32285000140672</t>
  </si>
  <si>
    <t xml:space="preserve">893868970</t>
  </si>
  <si>
    <t xml:space="preserve">B154 .T713</t>
  </si>
  <si>
    <t xml:space="preserve">0                      B  0154000T  713</t>
  </si>
  <si>
    <t xml:space="preserve">A study of Hebrew thought / Translated by Michael Francis Gibson.</t>
  </si>
  <si>
    <t xml:space="preserve">Tresmontant, Claude.</t>
  </si>
  <si>
    <t xml:space="preserve">New York : Desclee Co., 1960.</t>
  </si>
  <si>
    <t xml:space="preserve">1997-01-06</t>
  </si>
  <si>
    <t xml:space="preserve">1150993738:eng</t>
  </si>
  <si>
    <t xml:space="preserve">338537</t>
  </si>
  <si>
    <t xml:space="preserve">991002404779702656</t>
  </si>
  <si>
    <t xml:space="preserve">2257186690002656</t>
  </si>
  <si>
    <t xml:space="preserve">32285000140680</t>
  </si>
  <si>
    <t xml:space="preserve">893597424</t>
  </si>
  <si>
    <t xml:space="preserve">B156 .B613</t>
  </si>
  <si>
    <t xml:space="preserve">0                      B  0156000B  613</t>
  </si>
  <si>
    <t xml:space="preserve">Hebrew thought compared with Greek / [Translated by Jules L. Moreau]</t>
  </si>
  <si>
    <t xml:space="preserve">Boman, Thorleif.</t>
  </si>
  <si>
    <t xml:space="preserve">Philadelphia : Westminster Press, 1960.</t>
  </si>
  <si>
    <t xml:space="preserve">The Library of history and doctrine</t>
  </si>
  <si>
    <t xml:space="preserve">2004-12-16</t>
  </si>
  <si>
    <t xml:space="preserve">348440934:eng</t>
  </si>
  <si>
    <t xml:space="preserve">369743</t>
  </si>
  <si>
    <t xml:space="preserve">991003310369702656</t>
  </si>
  <si>
    <t xml:space="preserve">2267675160002656</t>
  </si>
  <si>
    <t xml:space="preserve">32285000140698</t>
  </si>
  <si>
    <t xml:space="preserve">893234035</t>
  </si>
  <si>
    <t xml:space="preserve">B156 .E3</t>
  </si>
  <si>
    <t xml:space="preserve">0                      B  0156000E  3</t>
  </si>
  <si>
    <t xml:space="preserve">Ancient Jewish philosophy : a study in metaphysics and ethics / [by] Israel I. Efros.</t>
  </si>
  <si>
    <t xml:space="preserve">Efros, Israel, 1891-1981.</t>
  </si>
  <si>
    <t xml:space="preserve">Detroit : Wayne State University Press, 1964.</t>
  </si>
  <si>
    <t xml:space="preserve">1999-06-21</t>
  </si>
  <si>
    <t xml:space="preserve">1832344:eng</t>
  </si>
  <si>
    <t xml:space="preserve">864649</t>
  </si>
  <si>
    <t xml:space="preserve">991003333049702656</t>
  </si>
  <si>
    <t xml:space="preserve">2266298850002656</t>
  </si>
  <si>
    <t xml:space="preserve">32285000140714</t>
  </si>
  <si>
    <t xml:space="preserve">893410190</t>
  </si>
  <si>
    <t xml:space="preserve">B156 .M25 1965</t>
  </si>
  <si>
    <t xml:space="preserve">0                      B  0156000M  25          1965</t>
  </si>
  <si>
    <t xml:space="preserve">The Hebrew philosophical genius : a vindication.</t>
  </si>
  <si>
    <t xml:space="preserve">Macdonald, Duncan Black, 1863-1943.</t>
  </si>
  <si>
    <t xml:space="preserve">New York : Russell &amp; Russell, 1965 [c1936]</t>
  </si>
  <si>
    <t xml:space="preserve">2329529:eng</t>
  </si>
  <si>
    <t xml:space="preserve">1435870</t>
  </si>
  <si>
    <t xml:space="preserve">991003755639702656</t>
  </si>
  <si>
    <t xml:space="preserve">2270554450002656</t>
  </si>
  <si>
    <t xml:space="preserve">32285001074151</t>
  </si>
  <si>
    <t xml:space="preserve">893336890</t>
  </si>
  <si>
    <t xml:space="preserve">B1568.5 .W75 1986</t>
  </si>
  <si>
    <t xml:space="preserve">0                      B  1568500W  75          1986</t>
  </si>
  <si>
    <t xml:space="preserve">The religion of humanity : the impact of Comtean positivism on Victorian Britain / T.R. Wright.</t>
  </si>
  <si>
    <t xml:space="preserve">Wright, T. R. (Terence R.), 1951-</t>
  </si>
  <si>
    <t xml:space="preserve">2002-09-02</t>
  </si>
  <si>
    <t xml:space="preserve">198077216:eng</t>
  </si>
  <si>
    <t xml:space="preserve">12262176</t>
  </si>
  <si>
    <t xml:space="preserve">991000662769702656</t>
  </si>
  <si>
    <t xml:space="preserve">2270633620002656</t>
  </si>
  <si>
    <t xml:space="preserve">9780521306713</t>
  </si>
  <si>
    <t xml:space="preserve">32285000201854</t>
  </si>
  <si>
    <t xml:space="preserve">893620679</t>
  </si>
  <si>
    <t xml:space="preserve">B1571 .A3</t>
  </si>
  <si>
    <t xml:space="preserve">0                      B  1571000A  3</t>
  </si>
  <si>
    <t xml:space="preserve">A history of English utilitarianism / by Ernest Albee.</t>
  </si>
  <si>
    <t xml:space="preserve">Albee, Ernest, 1865-1927.</t>
  </si>
  <si>
    <t xml:space="preserve">London : Swan Sonnenschein ; New York : Macmillan, 1902.</t>
  </si>
  <si>
    <t xml:space="preserve">1902</t>
  </si>
  <si>
    <t xml:space="preserve">2010-08-24</t>
  </si>
  <si>
    <t xml:space="preserve">903038:eng</t>
  </si>
  <si>
    <t xml:space="preserve">263290</t>
  </si>
  <si>
    <t xml:space="preserve">991002068359702656</t>
  </si>
  <si>
    <t xml:space="preserve">2268644580002656</t>
  </si>
  <si>
    <t xml:space="preserve">32285000201888</t>
  </si>
  <si>
    <t xml:space="preserve">893226419</t>
  </si>
  <si>
    <t xml:space="preserve">B1571 .A3 1957</t>
  </si>
  <si>
    <t xml:space="preserve">0                      B  1571000A  3           1957</t>
  </si>
  <si>
    <t xml:space="preserve">A history of English utilitarianism.</t>
  </si>
  <si>
    <t xml:space="preserve">London : Allen and Unwin ; New York : Macmillan, [1957]</t>
  </si>
  <si>
    <t xml:space="preserve">Muirhead library of philosophy</t>
  </si>
  <si>
    <t xml:space="preserve">2002-03-19</t>
  </si>
  <si>
    <t xml:space="preserve">942523</t>
  </si>
  <si>
    <t xml:space="preserve">991003403069702656</t>
  </si>
  <si>
    <t xml:space="preserve">2268244610002656</t>
  </si>
  <si>
    <t xml:space="preserve">32285000201896</t>
  </si>
  <si>
    <t xml:space="preserve">893252341</t>
  </si>
  <si>
    <t xml:space="preserve">B1571 .H33</t>
  </si>
  <si>
    <t xml:space="preserve">0                      B  1571000H  33</t>
  </si>
  <si>
    <t xml:space="preserve">The growth of philosophic radicalism / by Elie Halévy, translated by Mary Morris, with a preface by A. D. Lindsay.</t>
  </si>
  <si>
    <t xml:space="preserve">Halévy, Élie, 1870-1937.</t>
  </si>
  <si>
    <t xml:space="preserve">London : Faber &amp; Gwyer limited, 1928.</t>
  </si>
  <si>
    <t xml:space="preserve">1928</t>
  </si>
  <si>
    <t xml:space="preserve">1993-12-01</t>
  </si>
  <si>
    <t xml:space="preserve">1405610:eng</t>
  </si>
  <si>
    <t xml:space="preserve">3881309</t>
  </si>
  <si>
    <t xml:space="preserve">991004538199702656</t>
  </si>
  <si>
    <t xml:space="preserve">2255443860002656</t>
  </si>
  <si>
    <t xml:space="preserve">32285000201904</t>
  </si>
  <si>
    <t xml:space="preserve">893612477</t>
  </si>
  <si>
    <t xml:space="preserve">B1571 .P56 1966</t>
  </si>
  <si>
    <t xml:space="preserve">0                      B  1571000P  56          1966</t>
  </si>
  <si>
    <t xml:space="preserve">The English utilitarians.</t>
  </si>
  <si>
    <t xml:space="preserve">Plamenatz, J. P. (John Petrov)</t>
  </si>
  <si>
    <t xml:space="preserve">Oxford : Blackwell, 1966, [c1958]</t>
  </si>
  <si>
    <t xml:space="preserve">117887916:eng</t>
  </si>
  <si>
    <t xml:space="preserve">2045424</t>
  </si>
  <si>
    <t xml:space="preserve">991003990729702656</t>
  </si>
  <si>
    <t xml:space="preserve">2267087380002656</t>
  </si>
  <si>
    <t xml:space="preserve">32285000201912</t>
  </si>
  <si>
    <t xml:space="preserve">893718326</t>
  </si>
  <si>
    <t xml:space="preserve">B1571 .S85 1950a</t>
  </si>
  <si>
    <t xml:space="preserve">0                      B  1571000S  85          1950a</t>
  </si>
  <si>
    <t xml:space="preserve">The English utilitarians / by Leslie Stephen.</t>
  </si>
  <si>
    <t xml:space="preserve">New York : P. Smith, 1950.</t>
  </si>
  <si>
    <t xml:space="preserve">1993-01-25</t>
  </si>
  <si>
    <t xml:space="preserve">3749517427:eng</t>
  </si>
  <si>
    <t xml:space="preserve">4208453</t>
  </si>
  <si>
    <t xml:space="preserve">991004609369702656</t>
  </si>
  <si>
    <t xml:space="preserve">2265201060002656</t>
  </si>
  <si>
    <t xml:space="preserve">32285000201920</t>
  </si>
  <si>
    <t xml:space="preserve">893776196</t>
  </si>
  <si>
    <t xml:space="preserve">B1574.B34 M3</t>
  </si>
  <si>
    <t xml:space="preserve">0                      B  1574000B  34                 M  3</t>
  </si>
  <si>
    <t xml:space="preserve">Jeremy Bentham : an odyssey of ideas / by M.P. Mack.</t>
  </si>
  <si>
    <t xml:space="preserve">Mack, Mary Peter, 1927-1973.</t>
  </si>
  <si>
    <t xml:space="preserve">2005-11-14</t>
  </si>
  <si>
    <t xml:space="preserve">10596580623:eng</t>
  </si>
  <si>
    <t xml:space="preserve">371740</t>
  </si>
  <si>
    <t xml:space="preserve">991002560929702656</t>
  </si>
  <si>
    <t xml:space="preserve">2260029550002656</t>
  </si>
  <si>
    <t xml:space="preserve">32285000202043</t>
  </si>
  <si>
    <t xml:space="preserve">893622433</t>
  </si>
  <si>
    <t xml:space="preserve">B1574.B34 M5 1951</t>
  </si>
  <si>
    <t xml:space="preserve">0                      B  1574000B  34                 M  5           1951</t>
  </si>
  <si>
    <t xml:space="preserve">On Bentham and Coleridge / with an introd. by F. R. Leavis.</t>
  </si>
  <si>
    <t xml:space="preserve">Mill, John Stuart, 1806-1873.</t>
  </si>
  <si>
    <t xml:space="preserve">New York : G. W. Stewart, [1951]</t>
  </si>
  <si>
    <t xml:space="preserve">1316118:eng</t>
  </si>
  <si>
    <t xml:space="preserve">767971433</t>
  </si>
  <si>
    <t xml:space="preserve">991003937819702656</t>
  </si>
  <si>
    <t xml:space="preserve">2258063780002656</t>
  </si>
  <si>
    <t xml:space="preserve">32285000202050</t>
  </si>
  <si>
    <t xml:space="preserve">893519059</t>
  </si>
  <si>
    <t xml:space="preserve">B1578 .S8 1929</t>
  </si>
  <si>
    <t xml:space="preserve">0                      B  1578000S  8           1929</t>
  </si>
  <si>
    <t xml:space="preserve">The relation of Carlyle to Kant and Fichte / by Margaret Storrs.</t>
  </si>
  <si>
    <t xml:space="preserve">Storrs, Margaret, 1900-</t>
  </si>
  <si>
    <t xml:space="preserve">Bryn Mawr, Pa. : Bryn Mawr College, 1929.</t>
  </si>
  <si>
    <t xml:space="preserve">1995-11-05</t>
  </si>
  <si>
    <t xml:space="preserve">1335638:eng</t>
  </si>
  <si>
    <t xml:space="preserve">1110580</t>
  </si>
  <si>
    <t xml:space="preserve">991003544629702656</t>
  </si>
  <si>
    <t xml:space="preserve">2271931360002656</t>
  </si>
  <si>
    <t xml:space="preserve">32285000202084</t>
  </si>
  <si>
    <t xml:space="preserve">893518597</t>
  </si>
  <si>
    <t xml:space="preserve">B158.7 .M3</t>
  </si>
  <si>
    <t xml:space="preserve">0                      B  0158700M  3</t>
  </si>
  <si>
    <t xml:space="preserve">Great twentieth century Jewish philosophers : Shestov, Rosenzweig, Buber, with selections from their writings / edited and with introductions by Bernard Martin.</t>
  </si>
  <si>
    <t xml:space="preserve">Martin, Bernard, 1928- compiler.</t>
  </si>
  <si>
    <t xml:space="preserve">[New York] : Macmillan, [1969, c1970]</t>
  </si>
  <si>
    <t xml:space="preserve">2002-05-02</t>
  </si>
  <si>
    <t xml:space="preserve">1217024:eng</t>
  </si>
  <si>
    <t xml:space="preserve">47518</t>
  </si>
  <si>
    <t xml:space="preserve">991000109379702656</t>
  </si>
  <si>
    <t xml:space="preserve">2262374160002656</t>
  </si>
  <si>
    <t xml:space="preserve">32285000140722</t>
  </si>
  <si>
    <t xml:space="preserve">893626197</t>
  </si>
  <si>
    <t xml:space="preserve">B1602.A5 M5</t>
  </si>
  <si>
    <t xml:space="preserve">0                      B  1602000A  5                  M  5</t>
  </si>
  <si>
    <t xml:space="preserve">John Stuart Mill and Harriet Taylor : their correspondence [i.e. friendship] and subsequent marriage / by F.A. Hayek.</t>
  </si>
  <si>
    <t xml:space="preserve">Chicago : University of Chicago Press, [1951]</t>
  </si>
  <si>
    <t xml:space="preserve">1993-03-22</t>
  </si>
  <si>
    <t xml:space="preserve">8909816331:eng</t>
  </si>
  <si>
    <t xml:space="preserve">534490</t>
  </si>
  <si>
    <t xml:space="preserve">991002938199702656</t>
  </si>
  <si>
    <t xml:space="preserve">2264931070002656</t>
  </si>
  <si>
    <t xml:space="preserve">32285000202373</t>
  </si>
  <si>
    <t xml:space="preserve">893774205</t>
  </si>
  <si>
    <t xml:space="preserve">B1606 .C7 1967</t>
  </si>
  <si>
    <t xml:space="preserve">0                      B  1606000C  7           1967</t>
  </si>
  <si>
    <t xml:space="preserve">John Stuart Mill / by Maurice Cranston.</t>
  </si>
  <si>
    <t xml:space="preserve">[London] : Published for the British Council and the National Book League by Longmans, Green, [1967, c1958]</t>
  </si>
  <si>
    <t xml:space="preserve">Bibliographical series of supplements to British book news on writers and their work ; no. 99</t>
  </si>
  <si>
    <t xml:space="preserve">4575455281:eng</t>
  </si>
  <si>
    <t xml:space="preserve">79868</t>
  </si>
  <si>
    <t xml:space="preserve">991000489279702656</t>
  </si>
  <si>
    <t xml:space="preserve">2257939970002656</t>
  </si>
  <si>
    <t xml:space="preserve">32285000202522</t>
  </si>
  <si>
    <t xml:space="preserve">893321077</t>
  </si>
  <si>
    <t xml:space="preserve">B1606 .P3 1954</t>
  </si>
  <si>
    <t xml:space="preserve">0                      B  1606000P  3           1954</t>
  </si>
  <si>
    <t xml:space="preserve">The life of John Stuart Mill / with a pref. by F. A. Hayek.</t>
  </si>
  <si>
    <t xml:space="preserve">Packe, Michael St. John.</t>
  </si>
  <si>
    <t xml:space="preserve">London : Secker and Warburg, 1954.</t>
  </si>
  <si>
    <t xml:space="preserve">1999-11-16</t>
  </si>
  <si>
    <t xml:space="preserve">1439974:eng</t>
  </si>
  <si>
    <t xml:space="preserve">3084682</t>
  </si>
  <si>
    <t xml:space="preserve">991004339209702656</t>
  </si>
  <si>
    <t xml:space="preserve">2265392450002656</t>
  </si>
  <si>
    <t xml:space="preserve">32285000202456</t>
  </si>
  <si>
    <t xml:space="preserve">893712474</t>
  </si>
  <si>
    <t xml:space="preserve">B1606 .T48 1985</t>
  </si>
  <si>
    <t xml:space="preserve">0                      B  1606000T  48          1985</t>
  </si>
  <si>
    <t xml:space="preserve">Mill / William Thomas.</t>
  </si>
  <si>
    <t xml:space="preserve">Thomas, William, 1936-</t>
  </si>
  <si>
    <t xml:space="preserve">Oxford [Oxfordshire] ; New York : Oxford University Press, 1985.</t>
  </si>
  <si>
    <t xml:space="preserve">Past masters</t>
  </si>
  <si>
    <t xml:space="preserve">2000-09-24</t>
  </si>
  <si>
    <t xml:space="preserve">9665439:eng</t>
  </si>
  <si>
    <t xml:space="preserve">12051074</t>
  </si>
  <si>
    <t xml:space="preserve">991000628619702656</t>
  </si>
  <si>
    <t xml:space="preserve">2268745310002656</t>
  </si>
  <si>
    <t xml:space="preserve">9780192875211</t>
  </si>
  <si>
    <t xml:space="preserve">32285000512268</t>
  </si>
  <si>
    <t xml:space="preserve">893432140</t>
  </si>
  <si>
    <t xml:space="preserve">B1607 .E55</t>
  </si>
  <si>
    <t xml:space="preserve">0                      B  1607000E  55</t>
  </si>
  <si>
    <t xml:space="preserve">John Stuart Mill / by John B. Ellery.</t>
  </si>
  <si>
    <t xml:space="preserve">Ellery, John B.</t>
  </si>
  <si>
    <t xml:space="preserve">New York : Twayne Publishers, [1964]</t>
  </si>
  <si>
    <t xml:space="preserve">Twayne's English authors series, #5</t>
  </si>
  <si>
    <t xml:space="preserve">1997-09-03</t>
  </si>
  <si>
    <t xml:space="preserve">1447537:eng</t>
  </si>
  <si>
    <t xml:space="preserve">371169</t>
  </si>
  <si>
    <t xml:space="preserve">991002556069702656</t>
  </si>
  <si>
    <t xml:space="preserve">2259983260002656</t>
  </si>
  <si>
    <t xml:space="preserve">32285000202514</t>
  </si>
  <si>
    <t xml:space="preserve">893316981</t>
  </si>
  <si>
    <t xml:space="preserve">B1607 .P3 1961</t>
  </si>
  <si>
    <t xml:space="preserve">0                      B  1607000P  3           1961</t>
  </si>
  <si>
    <t xml:space="preserve">John Stuart Mill and the Harriet Taylor myth.</t>
  </si>
  <si>
    <t xml:space="preserve">Pappe, H. O.</t>
  </si>
  <si>
    <t xml:space="preserve">[Parkville] : Melbourne University Press, [1961]</t>
  </si>
  <si>
    <t xml:space="preserve">at </t>
  </si>
  <si>
    <t xml:space="preserve">Australian National University. Social science monograph 19</t>
  </si>
  <si>
    <t xml:space="preserve">2001-04-12</t>
  </si>
  <si>
    <t xml:space="preserve">1453442:eng</t>
  </si>
  <si>
    <t xml:space="preserve">4842909</t>
  </si>
  <si>
    <t xml:space="preserve">991004733609702656</t>
  </si>
  <si>
    <t xml:space="preserve">2267704620002656</t>
  </si>
  <si>
    <t xml:space="preserve">32285000202563</t>
  </si>
  <si>
    <t xml:space="preserve">893807405</t>
  </si>
  <si>
    <t xml:space="preserve">B1607 .R9</t>
  </si>
  <si>
    <t xml:space="preserve">0                      B  1607000R  9</t>
  </si>
  <si>
    <t xml:space="preserve">John Stuart Mill.</t>
  </si>
  <si>
    <t xml:space="preserve">Ryan, Alan.</t>
  </si>
  <si>
    <t xml:space="preserve">New York : Pantheon Books, [1970]</t>
  </si>
  <si>
    <t xml:space="preserve">1993-05-03</t>
  </si>
  <si>
    <t xml:space="preserve">3856959688:eng</t>
  </si>
  <si>
    <t xml:space="preserve">49548</t>
  </si>
  <si>
    <t xml:space="preserve">991000118949702656</t>
  </si>
  <si>
    <t xml:space="preserve">2263736590002656</t>
  </si>
  <si>
    <t xml:space="preserve">32285000202571</t>
  </si>
  <si>
    <t xml:space="preserve">893871425</t>
  </si>
  <si>
    <t xml:space="preserve">B1607 .R9 1987</t>
  </si>
  <si>
    <t xml:space="preserve">0                      B  1607000R  9           1987</t>
  </si>
  <si>
    <t xml:space="preserve">The philosophy of John Stuart Mill / Alan Ryan.</t>
  </si>
  <si>
    <t xml:space="preserve">Basingstoke : Macmillan, 1987.</t>
  </si>
  <si>
    <t xml:space="preserve">1998-11-18</t>
  </si>
  <si>
    <t xml:space="preserve">937823:eng</t>
  </si>
  <si>
    <t xml:space="preserve">20759601</t>
  </si>
  <si>
    <t xml:space="preserve">991000927429702656</t>
  </si>
  <si>
    <t xml:space="preserve">2259346020002656</t>
  </si>
  <si>
    <t xml:space="preserve">9780333435632</t>
  </si>
  <si>
    <t xml:space="preserve">32285000202589</t>
  </si>
  <si>
    <t xml:space="preserve">893413807</t>
  </si>
  <si>
    <t xml:space="preserve">B1607 .S44 1984</t>
  </si>
  <si>
    <t xml:space="preserve">0                      B  1607000S  44          1984</t>
  </si>
  <si>
    <t xml:space="preserve">John Stuart Mill and the pursuit of virtue / Bernard Semmel.</t>
  </si>
  <si>
    <t xml:space="preserve">Semmel, Bernard.</t>
  </si>
  <si>
    <t xml:space="preserve">New Haven : Yale University Press, c1984.</t>
  </si>
  <si>
    <t xml:space="preserve">1995-11-01</t>
  </si>
  <si>
    <t xml:space="preserve">43178158:eng</t>
  </si>
  <si>
    <t xml:space="preserve">9621916</t>
  </si>
  <si>
    <t xml:space="preserve">991000227799702656</t>
  </si>
  <si>
    <t xml:space="preserve">2268915820002656</t>
  </si>
  <si>
    <t xml:space="preserve">9780300030068</t>
  </si>
  <si>
    <t xml:space="preserve">32285000202605</t>
  </si>
  <si>
    <t xml:space="preserve">893790356</t>
  </si>
  <si>
    <t xml:space="preserve">B1607 .S45</t>
  </si>
  <si>
    <t xml:space="preserve">0                      B  1607000S  45</t>
  </si>
  <si>
    <t xml:space="preserve">The literary criticism of John Stuart Mill / by F. Parvin Sharpless.</t>
  </si>
  <si>
    <t xml:space="preserve">Sharpless, F. Parvin (Francis Parvin), 1929-</t>
  </si>
  <si>
    <t xml:space="preserve">The Hague ; Paris : Mouton, 1967.</t>
  </si>
  <si>
    <t xml:space="preserve">Studies in English literature ; v. 33</t>
  </si>
  <si>
    <t xml:space="preserve">1997-11-02</t>
  </si>
  <si>
    <t xml:space="preserve">10568070489:eng</t>
  </si>
  <si>
    <t xml:space="preserve">371166</t>
  </si>
  <si>
    <t xml:space="preserve">991002556019702656</t>
  </si>
  <si>
    <t xml:space="preserve">2259983200002656</t>
  </si>
  <si>
    <t xml:space="preserve">32285000202613</t>
  </si>
  <si>
    <t xml:space="preserve">893898914</t>
  </si>
  <si>
    <t xml:space="preserve">B1607 .W65</t>
  </si>
  <si>
    <t xml:space="preserve">0                      B  1607000W  65</t>
  </si>
  <si>
    <t xml:space="preserve">Poetry and philosophy : a study in the thought of John Stuart Mill.</t>
  </si>
  <si>
    <t xml:space="preserve">Woods, Thomas.</t>
  </si>
  <si>
    <t xml:space="preserve">London : Hutchinson, [1961]</t>
  </si>
  <si>
    <t xml:space="preserve">2005-10-05</t>
  </si>
  <si>
    <t xml:space="preserve">367621527:eng</t>
  </si>
  <si>
    <t xml:space="preserve">654759</t>
  </si>
  <si>
    <t xml:space="preserve">991003107139702656</t>
  </si>
  <si>
    <t xml:space="preserve">2262246210002656</t>
  </si>
  <si>
    <t xml:space="preserve">32285000202621</t>
  </si>
  <si>
    <t xml:space="preserve">893239890</t>
  </si>
  <si>
    <t xml:space="preserve">B1608.P6 R6</t>
  </si>
  <si>
    <t xml:space="preserve">0                      B  1608000P  6                  R  6</t>
  </si>
  <si>
    <t xml:space="preserve">The improvement of mankind : the social and political thought of John Stuart Mill / [by] John M. Robson.</t>
  </si>
  <si>
    <t xml:space="preserve">Robson, John M.</t>
  </si>
  <si>
    <t xml:space="preserve">[Toronto] : University of Toronto Press ; [London] : Routledge and K. Paul, [c1968]</t>
  </si>
  <si>
    <t xml:space="preserve">University of Toronto. Dept. of English. Studies and texts, no. 15</t>
  </si>
  <si>
    <t xml:space="preserve">1998-02-12</t>
  </si>
  <si>
    <t xml:space="preserve">1451968:eng</t>
  </si>
  <si>
    <t xml:space="preserve">372329</t>
  </si>
  <si>
    <t xml:space="preserve">991002564569702656</t>
  </si>
  <si>
    <t xml:space="preserve">2261808950002656</t>
  </si>
  <si>
    <t xml:space="preserve">9780802015297</t>
  </si>
  <si>
    <t xml:space="preserve">32285000202654</t>
  </si>
  <si>
    <t xml:space="preserve">893610004</t>
  </si>
  <si>
    <t xml:space="preserve">B1614 .W5 1966</t>
  </si>
  <si>
    <t xml:space="preserve">0                      B  1614000W  5           1966</t>
  </si>
  <si>
    <t xml:space="preserve">British analytical philosophy / edited by Bernard Williams and Alan Montefiore.</t>
  </si>
  <si>
    <t xml:space="preserve">Williams, Bernard, 1929-2003, editor.</t>
  </si>
  <si>
    <t xml:space="preserve">New York : Humanities Press, [1966]</t>
  </si>
  <si>
    <t xml:space="preserve">1997-04-29</t>
  </si>
  <si>
    <t xml:space="preserve">5522527595:eng</t>
  </si>
  <si>
    <t xml:space="preserve">372756</t>
  </si>
  <si>
    <t xml:space="preserve">991002566719702656</t>
  </si>
  <si>
    <t xml:space="preserve">2261510540002656</t>
  </si>
  <si>
    <t xml:space="preserve">32285000202688</t>
  </si>
  <si>
    <t xml:space="preserve">893262356</t>
  </si>
  <si>
    <t xml:space="preserve">B1618.A84 E87</t>
  </si>
  <si>
    <t xml:space="preserve">0                      B  1618000A  84                 E  87</t>
  </si>
  <si>
    <t xml:space="preserve">Essays on J. L. Austin / by Sir Isaiah Berlin ... [and others].</t>
  </si>
  <si>
    <t xml:space="preserve">2009-12-04</t>
  </si>
  <si>
    <t xml:space="preserve">1990-06-26</t>
  </si>
  <si>
    <t xml:space="preserve">1642933:eng</t>
  </si>
  <si>
    <t xml:space="preserve">708110</t>
  </si>
  <si>
    <t xml:space="preserve">991003172439702656</t>
  </si>
  <si>
    <t xml:space="preserve">2269466410002656</t>
  </si>
  <si>
    <t xml:space="preserve">9780198243809</t>
  </si>
  <si>
    <t xml:space="preserve">32285000202860</t>
  </si>
  <si>
    <t xml:space="preserve">893799448</t>
  </si>
  <si>
    <t xml:space="preserve">B1618.A93 C6 1963</t>
  </si>
  <si>
    <t xml:space="preserve">0                      B  1618000A  93                 C  6           1963</t>
  </si>
  <si>
    <t xml:space="preserve">The concept of a person : and other essays.</t>
  </si>
  <si>
    <t xml:space="preserve">Ayer, A. J. (Alfred Jules), 1910-1989.</t>
  </si>
  <si>
    <t xml:space="preserve">London : Macmillan ; New York : St. Martin's Press, 1963.</t>
  </si>
  <si>
    <t xml:space="preserve">2002-07-27</t>
  </si>
  <si>
    <t xml:space="preserve">58280503:eng</t>
  </si>
  <si>
    <t xml:space="preserve">371154</t>
  </si>
  <si>
    <t xml:space="preserve">991002555929702656</t>
  </si>
  <si>
    <t xml:space="preserve">2259983610002656</t>
  </si>
  <si>
    <t xml:space="preserve">32285000202910</t>
  </si>
  <si>
    <t xml:space="preserve">893245315</t>
  </si>
  <si>
    <t xml:space="preserve">B1618.A94 P45 1992</t>
  </si>
  <si>
    <t xml:space="preserve">0                      B  1618000A  94                 P  45          1992</t>
  </si>
  <si>
    <t xml:space="preserve">The Philosophy of A.J. Ayer / edited by Lewis Edwin Hahn.</t>
  </si>
  <si>
    <t xml:space="preserve">La Salle, Ill. : Open Court, c1992.</t>
  </si>
  <si>
    <t xml:space="preserve">The Library of living philosophers ; v. 21</t>
  </si>
  <si>
    <t xml:space="preserve">1993-07-06</t>
  </si>
  <si>
    <t xml:space="preserve">1992-09-30</t>
  </si>
  <si>
    <t xml:space="preserve">20964531:eng</t>
  </si>
  <si>
    <t xml:space="preserve">25372583</t>
  </si>
  <si>
    <t xml:space="preserve">991001996909702656</t>
  </si>
  <si>
    <t xml:space="preserve">2269001160002656</t>
  </si>
  <si>
    <t xml:space="preserve">9780812691726</t>
  </si>
  <si>
    <t xml:space="preserve">32285001289817</t>
  </si>
  <si>
    <t xml:space="preserve">893529414</t>
  </si>
  <si>
    <t xml:space="preserve">B1618.B283 W6 1963</t>
  </si>
  <si>
    <t xml:space="preserve">0                      B  1618000B  283                W  6           1963</t>
  </si>
  <si>
    <t xml:space="preserve">Worlds apart : a dialogue of the 1960's.</t>
  </si>
  <si>
    <t xml:space="preserve">Barfield, Owen, 1898-1997.</t>
  </si>
  <si>
    <t xml:space="preserve">Middletown, Conn. : Wesleyan University Press, [c1963]</t>
  </si>
  <si>
    <t xml:space="preserve">1995-03-30</t>
  </si>
  <si>
    <t xml:space="preserve">138831104:eng</t>
  </si>
  <si>
    <t xml:space="preserve">351936</t>
  </si>
  <si>
    <t xml:space="preserve">991002447489702656</t>
  </si>
  <si>
    <t xml:space="preserve">2266954220002656</t>
  </si>
  <si>
    <t xml:space="preserve">32285000203017</t>
  </si>
  <si>
    <t xml:space="preserve">893440155</t>
  </si>
  <si>
    <t xml:space="preserve">B1618.B74 E48 1964</t>
  </si>
  <si>
    <t xml:space="preserve">0                      B  1618000B  74                 E  48          1964</t>
  </si>
  <si>
    <t xml:space="preserve">Knowledge and experience in the philosophy of F. H. Bradley.</t>
  </si>
  <si>
    <t xml:space="preserve">Eliot, T. S. (Thomas Stearns), 1888-1965.</t>
  </si>
  <si>
    <t xml:space="preserve">New York : Farrar, Straus, [1964]</t>
  </si>
  <si>
    <t xml:space="preserve">2008-04-04</t>
  </si>
  <si>
    <t xml:space="preserve">1061759:eng</t>
  </si>
  <si>
    <t xml:space="preserve">876778</t>
  </si>
  <si>
    <t xml:space="preserve">991003840009702656</t>
  </si>
  <si>
    <t xml:space="preserve">2264371250002656</t>
  </si>
  <si>
    <t xml:space="preserve">32285000203090</t>
  </si>
  <si>
    <t xml:space="preserve">893699469</t>
  </si>
  <si>
    <t xml:space="preserve">B1618.B74 P47 1984</t>
  </si>
  <si>
    <t xml:space="preserve">0                      B  1618000B  74                 P  47          1984</t>
  </si>
  <si>
    <t xml:space="preserve">The Philosophy of F.H. Bradley / edited by Anthony Manser and Guy Stock.</t>
  </si>
  <si>
    <t xml:space="preserve">Oxford [Oxfordshire] ; New York : Clarendon Press, 1984.</t>
  </si>
  <si>
    <t xml:space="preserve">2006-12-05</t>
  </si>
  <si>
    <t xml:space="preserve">1994-02-17</t>
  </si>
  <si>
    <t xml:space="preserve">350019441:eng</t>
  </si>
  <si>
    <t xml:space="preserve">10145798</t>
  </si>
  <si>
    <t xml:space="preserve">991000319499702656</t>
  </si>
  <si>
    <t xml:space="preserve">2263355710002656</t>
  </si>
  <si>
    <t xml:space="preserve">9780198246886</t>
  </si>
  <si>
    <t xml:space="preserve">32285001842821</t>
  </si>
  <si>
    <t xml:space="preserve">893877945</t>
  </si>
  <si>
    <t xml:space="preserve">B1646.H9 P4</t>
  </si>
  <si>
    <t xml:space="preserve">0                      B  1646000H  9                  P  4</t>
  </si>
  <si>
    <t xml:space="preserve">The perennial philosophy / by Aldous Huxley.</t>
  </si>
  <si>
    <t xml:space="preserve">Huxley, Aldous, 1894-1963.</t>
  </si>
  <si>
    <t xml:space="preserve">New York ; London : Harper &amp; Brothers, [1945]</t>
  </si>
  <si>
    <t xml:space="preserve">1945</t>
  </si>
  <si>
    <t xml:space="preserve">2009-09-04</t>
  </si>
  <si>
    <t xml:space="preserve">498507:eng</t>
  </si>
  <si>
    <t xml:space="preserve">2691556</t>
  </si>
  <si>
    <t xml:space="preserve">991004213609702656</t>
  </si>
  <si>
    <t xml:space="preserve">2262898210002656</t>
  </si>
  <si>
    <t xml:space="preserve">32285000203322</t>
  </si>
  <si>
    <t xml:space="preserve">893722330</t>
  </si>
  <si>
    <t xml:space="preserve">B1646.K773 J36 1978</t>
  </si>
  <si>
    <t xml:space="preserve">0                      B  1646000K  773                J  36          1978</t>
  </si>
  <si>
    <t xml:space="preserve">Janus : a summing up / Arthur Koestler.</t>
  </si>
  <si>
    <t xml:space="preserve">Koestler, Arthur, 1905-1983.</t>
  </si>
  <si>
    <t xml:space="preserve">New York : Random House, c1978.</t>
  </si>
  <si>
    <t xml:space="preserve">1995-02-21</t>
  </si>
  <si>
    <t xml:space="preserve">196795285:eng</t>
  </si>
  <si>
    <t xml:space="preserve">3627241</t>
  </si>
  <si>
    <t xml:space="preserve">991004480259702656</t>
  </si>
  <si>
    <t xml:space="preserve">2269304200002656</t>
  </si>
  <si>
    <t xml:space="preserve">9780394500522</t>
  </si>
  <si>
    <t xml:space="preserve">32285000203355</t>
  </si>
  <si>
    <t xml:space="preserve">893810536</t>
  </si>
  <si>
    <t xml:space="preserve">B1647 .M133 F6 V2</t>
  </si>
  <si>
    <t xml:space="preserve">0                      B  1647000M  133                F  6                  V  2</t>
  </si>
  <si>
    <t xml:space="preserve">The form of the personal.</t>
  </si>
  <si>
    <t xml:space="preserve">Macmurray, John, 1891-1976.</t>
  </si>
  <si>
    <t xml:space="preserve">[London : Faber and Faber, 1957-61]</t>
  </si>
  <si>
    <t xml:space="preserve">Gifford lectures ; 1953-54</t>
  </si>
  <si>
    <t xml:space="preserve">1992-08-05</t>
  </si>
  <si>
    <t xml:space="preserve">3372606355:eng</t>
  </si>
  <si>
    <t xml:space="preserve">5091913</t>
  </si>
  <si>
    <t xml:space="preserve">991004773579702656</t>
  </si>
  <si>
    <t xml:space="preserve">2257500080002656</t>
  </si>
  <si>
    <t xml:space="preserve">32285000203371</t>
  </si>
  <si>
    <t xml:space="preserve">893319618</t>
  </si>
  <si>
    <t xml:space="preserve">B1647 .M18 B67 V2P1</t>
  </si>
  <si>
    <t xml:space="preserve">0                      B  1647000M  18                 B  67                                V2P1</t>
  </si>
  <si>
    <t xml:space="preserve">Examination of McTaggart's philosophy / by C.D. Broad.</t>
  </si>
  <si>
    <t xml:space="preserve">V2P1*</t>
  </si>
  <si>
    <t xml:space="preserve">Cambridge, [Eng.] : The University Press, 1933.</t>
  </si>
  <si>
    <t xml:space="preserve">1998-03-05</t>
  </si>
  <si>
    <t xml:space="preserve">2010-04-17</t>
  </si>
  <si>
    <t xml:space="preserve">451086:eng</t>
  </si>
  <si>
    <t xml:space="preserve">1017614</t>
  </si>
  <si>
    <t xml:space="preserve">991003474119702656</t>
  </si>
  <si>
    <t xml:space="preserve">2258989320002656</t>
  </si>
  <si>
    <t xml:space="preserve">32285000203421</t>
  </si>
  <si>
    <t xml:space="preserve">893805805</t>
  </si>
  <si>
    <t xml:space="preserve">B1647 .M18 B67 V2P2</t>
  </si>
  <si>
    <t xml:space="preserve">0                      B  1647000M  18                 B  67                                V2P2</t>
  </si>
  <si>
    <t xml:space="preserve">V2P2*</t>
  </si>
  <si>
    <t xml:space="preserve">32285000203439</t>
  </si>
  <si>
    <t xml:space="preserve">893787355</t>
  </si>
  <si>
    <t xml:space="preserve">B1647.M133 F6</t>
  </si>
  <si>
    <t xml:space="preserve">0                      B  1647000M  133                F  6</t>
  </si>
  <si>
    <t xml:space="preserve">32285000203363</t>
  </si>
  <si>
    <t xml:space="preserve">893319619</t>
  </si>
  <si>
    <t xml:space="preserve">B1647.M133 R4 1972</t>
  </si>
  <si>
    <t xml:space="preserve">0                      B  1647000M  133                R  4           1972</t>
  </si>
  <si>
    <t xml:space="preserve">Reason and emotion / by John Macmurray.</t>
  </si>
  <si>
    <t xml:space="preserve">London : Faber &amp; Faber Limited, [1972, c1962]</t>
  </si>
  <si>
    <t xml:space="preserve">30358761:eng</t>
  </si>
  <si>
    <t xml:space="preserve">3551067</t>
  </si>
  <si>
    <t xml:space="preserve">991001122839702656</t>
  </si>
  <si>
    <t xml:space="preserve">2272306420002656</t>
  </si>
  <si>
    <t xml:space="preserve">32285000203397</t>
  </si>
  <si>
    <t xml:space="preserve">893432615</t>
  </si>
  <si>
    <t xml:space="preserve">B1647.M17 P5 1966</t>
  </si>
  <si>
    <t xml:space="preserve">0                      B  1647000M  17                 P  5           1966</t>
  </si>
  <si>
    <t xml:space="preserve">Philosophical studies / edited, with an introd., by S. V. Keeling.</t>
  </si>
  <si>
    <t xml:space="preserve">McTaggart, John McTaggart Ellis, 1866-1925.</t>
  </si>
  <si>
    <t xml:space="preserve">Freeport, N. Y. : Books for Libraries Press, [1966]</t>
  </si>
  <si>
    <t xml:space="preserve">2010-05-14</t>
  </si>
  <si>
    <t xml:space="preserve">3943267667:eng</t>
  </si>
  <si>
    <t xml:space="preserve">1429187</t>
  </si>
  <si>
    <t xml:space="preserve">991003751749702656</t>
  </si>
  <si>
    <t xml:space="preserve">2266295190002656</t>
  </si>
  <si>
    <t xml:space="preserve">32285000203405</t>
  </si>
  <si>
    <t xml:space="preserve">893617696</t>
  </si>
  <si>
    <t xml:space="preserve">B1647.M18 B67</t>
  </si>
  <si>
    <t xml:space="preserve">0                      B  1647000M  18                 B  67</t>
  </si>
  <si>
    <t xml:space="preserve">32285000203413</t>
  </si>
  <si>
    <t xml:space="preserve">893787354</t>
  </si>
  <si>
    <t xml:space="preserve">B1647.M18 G4 1979b</t>
  </si>
  <si>
    <t xml:space="preserve">0                      B  1647000M  18                 G  4           1979b</t>
  </si>
  <si>
    <t xml:space="preserve">Truth, love, and immortality : an introduction to McTaggart's philosophy / P. T. Geach.</t>
  </si>
  <si>
    <t xml:space="preserve">Berkeley : University of California Press, c1979.</t>
  </si>
  <si>
    <t xml:space="preserve">1992-11-23</t>
  </si>
  <si>
    <t xml:space="preserve">19800347:eng</t>
  </si>
  <si>
    <t xml:space="preserve">5783899</t>
  </si>
  <si>
    <t xml:space="preserve">991004875239702656</t>
  </si>
  <si>
    <t xml:space="preserve">2272753590002656</t>
  </si>
  <si>
    <t xml:space="preserve">9780520037557</t>
  </si>
  <si>
    <t xml:space="preserve">32285000203447</t>
  </si>
  <si>
    <t xml:space="preserve">893807572</t>
  </si>
  <si>
    <t xml:space="preserve">B1647.M74 W5</t>
  </si>
  <si>
    <t xml:space="preserve">0                      B  1647000M  74                 W  5</t>
  </si>
  <si>
    <t xml:space="preserve">G.E. Moore : a critical exposition.</t>
  </si>
  <si>
    <t xml:space="preserve">White, Alan R., 1922-1992.</t>
  </si>
  <si>
    <t xml:space="preserve">Oxford : B. Blackwell, 1958.</t>
  </si>
  <si>
    <t xml:space="preserve">14768988:eng</t>
  </si>
  <si>
    <t xml:space="preserve">371352</t>
  </si>
  <si>
    <t xml:space="preserve">991002558989702656</t>
  </si>
  <si>
    <t xml:space="preserve">2260022100002656</t>
  </si>
  <si>
    <t xml:space="preserve">32285000203611</t>
  </si>
  <si>
    <t xml:space="preserve">893510893</t>
  </si>
  <si>
    <t xml:space="preserve">B1649.P64 I5 1982</t>
  </si>
  <si>
    <t xml:space="preserve">0                      B  1649000P  64                 I  5           1982</t>
  </si>
  <si>
    <t xml:space="preserve">In pursuit of truth : essays on the philosophy of Karl Popper on the occasion of his 80th birthday / edited by Paul Levinson ; with forewords by Isaac Asimov and Helmut Schmidt.</t>
  </si>
  <si>
    <t xml:space="preserve">Atlantic Highlands, N.J. : Humanities Press ; Sussex, England : Harvester Press, 1982.</t>
  </si>
  <si>
    <t xml:space="preserve">1992-04-20</t>
  </si>
  <si>
    <t xml:space="preserve">836694928:eng</t>
  </si>
  <si>
    <t xml:space="preserve">8495227</t>
  </si>
  <si>
    <t xml:space="preserve">991005252659702656</t>
  </si>
  <si>
    <t xml:space="preserve">2260768780002656</t>
  </si>
  <si>
    <t xml:space="preserve">9780391026094</t>
  </si>
  <si>
    <t xml:space="preserve">32285000203694</t>
  </si>
  <si>
    <t xml:space="preserve">893236544</t>
  </si>
  <si>
    <t xml:space="preserve">B1649.P64 M33 1985</t>
  </si>
  <si>
    <t xml:space="preserve">0                      B  1649000P  64                 M  33          1985</t>
  </si>
  <si>
    <t xml:space="preserve">Philosophy and the real world : an introduction to Karl Popper / Bryan Magee.</t>
  </si>
  <si>
    <t xml:space="preserve">Magee, Bryan.</t>
  </si>
  <si>
    <t xml:space="preserve">La Salle, IL : Open Court Pub. Co., c1985.</t>
  </si>
  <si>
    <t xml:space="preserve">890021068:eng</t>
  </si>
  <si>
    <t xml:space="preserve">11573401</t>
  </si>
  <si>
    <t xml:space="preserve">991000557679702656</t>
  </si>
  <si>
    <t xml:space="preserve">2263016080002656</t>
  </si>
  <si>
    <t xml:space="preserve">9780875484365</t>
  </si>
  <si>
    <t xml:space="preserve">32285000203710</t>
  </si>
  <si>
    <t xml:space="preserve">893413472</t>
  </si>
  <si>
    <t xml:space="preserve">B1649.R94 A47</t>
  </si>
  <si>
    <t xml:space="preserve">0                      B  1649000R  94                 A  47</t>
  </si>
  <si>
    <t xml:space="preserve">Bertrand Russell's philosophy of morals.</t>
  </si>
  <si>
    <t xml:space="preserve">Aiken, Lillian Woodworth.</t>
  </si>
  <si>
    <t xml:space="preserve">New York : Humanities Press, 1963.</t>
  </si>
  <si>
    <t xml:space="preserve">1999-04-25</t>
  </si>
  <si>
    <t xml:space="preserve">1448089:eng</t>
  </si>
  <si>
    <t xml:space="preserve">371335</t>
  </si>
  <si>
    <t xml:space="preserve">991002558879702656</t>
  </si>
  <si>
    <t xml:space="preserve">2259988210002656</t>
  </si>
  <si>
    <t xml:space="preserve">32285000230564</t>
  </si>
  <si>
    <t xml:space="preserve">893792602</t>
  </si>
  <si>
    <t xml:space="preserve">B1649.R94 A9</t>
  </si>
  <si>
    <t xml:space="preserve">0                      B  1649000R  94                 A  9</t>
  </si>
  <si>
    <t xml:space="preserve">Russell and Moore : the analytical heritage / [by] A. J. Ayer.</t>
  </si>
  <si>
    <t xml:space="preserve">Cambridge : Harvard University Press, 1971.</t>
  </si>
  <si>
    <t xml:space="preserve">William James lectures ; 1970</t>
  </si>
  <si>
    <t xml:space="preserve">2001-11-14</t>
  </si>
  <si>
    <t xml:space="preserve">1257243:eng</t>
  </si>
  <si>
    <t xml:space="preserve">148952</t>
  </si>
  <si>
    <t xml:space="preserve">991000849209702656</t>
  </si>
  <si>
    <t xml:space="preserve">2260063810002656</t>
  </si>
  <si>
    <t xml:space="preserve">9780674781030</t>
  </si>
  <si>
    <t xml:space="preserve">32285000230580</t>
  </si>
  <si>
    <t xml:space="preserve">893784573</t>
  </si>
  <si>
    <t xml:space="preserve">B1649.R94 B333</t>
  </si>
  <si>
    <t xml:space="preserve">0                      B  1649000R  94                 B  333</t>
  </si>
  <si>
    <t xml:space="preserve">Bertrand Russell memorial volume / edited by George W. Roberts.</t>
  </si>
  <si>
    <t xml:space="preserve">London : G. Allen &amp; Unwin ; New York : Humanities Press, 1979.</t>
  </si>
  <si>
    <t xml:space="preserve">2001-04-04</t>
  </si>
  <si>
    <t xml:space="preserve">350144752:eng</t>
  </si>
  <si>
    <t xml:space="preserve">4799004</t>
  </si>
  <si>
    <t xml:space="preserve">991004720059702656</t>
  </si>
  <si>
    <t xml:space="preserve">2260401910002656</t>
  </si>
  <si>
    <t xml:space="preserve">9780041920345</t>
  </si>
  <si>
    <t xml:space="preserve">32285000230606</t>
  </si>
  <si>
    <t xml:space="preserve">893807388</t>
  </si>
  <si>
    <t xml:space="preserve">B1649.R94 B37 1974</t>
  </si>
  <si>
    <t xml:space="preserve">0                      B  1649000R  94                 B  37          1974</t>
  </si>
  <si>
    <t xml:space="preserve">Bertrand Russell's philosophy / edited by George Nakhnikian.</t>
  </si>
  <si>
    <t xml:space="preserve">New York : Barnes &amp; Noble Books, 1974.</t>
  </si>
  <si>
    <t xml:space="preserve">1999-12-07</t>
  </si>
  <si>
    <t xml:space="preserve">54021135:eng</t>
  </si>
  <si>
    <t xml:space="preserve">1104663</t>
  </si>
  <si>
    <t xml:space="preserve">991003540649702656</t>
  </si>
  <si>
    <t xml:space="preserve">2256326970002656</t>
  </si>
  <si>
    <t xml:space="preserve">9780064950770</t>
  </si>
  <si>
    <t xml:space="preserve">32285000230614</t>
  </si>
  <si>
    <t xml:space="preserve">893774858</t>
  </si>
  <si>
    <t xml:space="preserve">B1649.R94 D65</t>
  </si>
  <si>
    <t xml:space="preserve">0                      B  1649000R  94                 D  65</t>
  </si>
  <si>
    <t xml:space="preserve">Bertrand Russell : a short guide to his philosophy.</t>
  </si>
  <si>
    <t xml:space="preserve">Dorward, Alan, 1889-1956.</t>
  </si>
  <si>
    <t xml:space="preserve">London ; New York : published for the British Council by Longmans, Green, [1951]</t>
  </si>
  <si>
    <t xml:space="preserve">Bibliographical series of supplements to British book news, no.l3.</t>
  </si>
  <si>
    <t xml:space="preserve">2004-04-25</t>
  </si>
  <si>
    <t xml:space="preserve">2013369:eng</t>
  </si>
  <si>
    <t xml:space="preserve">1066119</t>
  </si>
  <si>
    <t xml:space="preserve">991003511319702656</t>
  </si>
  <si>
    <t xml:space="preserve">2269460310002656</t>
  </si>
  <si>
    <t xml:space="preserve">32285000230655</t>
  </si>
  <si>
    <t xml:space="preserve">893699063</t>
  </si>
  <si>
    <t xml:space="preserve">1995-12-04</t>
  </si>
  <si>
    <t xml:space="preserve">32285000230648</t>
  </si>
  <si>
    <t xml:space="preserve">893692783</t>
  </si>
  <si>
    <t xml:space="preserve">B1649.R94 F7</t>
  </si>
  <si>
    <t xml:space="preserve">0                      B  1649000R  94                 F  7</t>
  </si>
  <si>
    <t xml:space="preserve">Bertrand Russell's construction of the external world.</t>
  </si>
  <si>
    <t xml:space="preserve">Fritz, Charles A. (Charles Andrew)</t>
  </si>
  <si>
    <t xml:space="preserve">London : Routledge &amp; K. Paul, [1952]</t>
  </si>
  <si>
    <t xml:space="preserve">1995-12-01</t>
  </si>
  <si>
    <t xml:space="preserve">1448098:eng</t>
  </si>
  <si>
    <t xml:space="preserve">371338</t>
  </si>
  <si>
    <t xml:space="preserve">991002558899702656</t>
  </si>
  <si>
    <t xml:space="preserve">2259988080002656</t>
  </si>
  <si>
    <t xml:space="preserve">32285000230689</t>
  </si>
  <si>
    <t xml:space="preserve">893262350</t>
  </si>
  <si>
    <t xml:space="preserve">B1649.R94 K47</t>
  </si>
  <si>
    <t xml:space="preserve">0                      B  1649000R  94                 K  47</t>
  </si>
  <si>
    <t xml:space="preserve">Essays on Bertrand Russell / edited by E. D. Klemke.</t>
  </si>
  <si>
    <t xml:space="preserve">Klemke, E. D. (Elmer Daniel), 1926-2000, compiler.</t>
  </si>
  <si>
    <t xml:space="preserve">Urbana : University of Illinois Press, [1970]</t>
  </si>
  <si>
    <t xml:space="preserve">8914144419:eng</t>
  </si>
  <si>
    <t xml:space="preserve">98644</t>
  </si>
  <si>
    <t xml:space="preserve">991000604459702656</t>
  </si>
  <si>
    <t xml:space="preserve">2271991420002656</t>
  </si>
  <si>
    <t xml:space="preserve">9780252000959</t>
  </si>
  <si>
    <t xml:space="preserve">32285000230721</t>
  </si>
  <si>
    <t xml:space="preserve">893601895</t>
  </si>
  <si>
    <t xml:space="preserve">B1649.R94 K86 1986</t>
  </si>
  <si>
    <t xml:space="preserve">0                      B  1649000R  94                 K  86          1986</t>
  </si>
  <si>
    <t xml:space="preserve">Bertrand Russell / by Paul Grimley Kuntz.</t>
  </si>
  <si>
    <t xml:space="preserve">Kuntz, Paul Grimley, 1915-</t>
  </si>
  <si>
    <t xml:space="preserve">Boston : Twayne Publishers, c1986.</t>
  </si>
  <si>
    <t xml:space="preserve">Twayne's English authors series ; TEAS 421</t>
  </si>
  <si>
    <t xml:space="preserve">1998-04-22</t>
  </si>
  <si>
    <t xml:space="preserve">3943341506:eng</t>
  </si>
  <si>
    <t xml:space="preserve">12809134</t>
  </si>
  <si>
    <t xml:space="preserve">991000741839702656</t>
  </si>
  <si>
    <t xml:space="preserve">2257867900002656</t>
  </si>
  <si>
    <t xml:space="preserve">9780805769166</t>
  </si>
  <si>
    <t xml:space="preserve">32285000230739</t>
  </si>
  <si>
    <t xml:space="preserve">893689989</t>
  </si>
  <si>
    <t xml:space="preserve">B1649.R94 L45</t>
  </si>
  <si>
    <t xml:space="preserve">0                      B  1649000R  94                 L  45</t>
  </si>
  <si>
    <t xml:space="preserve">Bertrand Russell : philosopher and humanist.</t>
  </si>
  <si>
    <t xml:space="preserve">Lewis, John, 1889-1976.</t>
  </si>
  <si>
    <t xml:space="preserve">London : Lawrence &amp; Wishart, 1968.</t>
  </si>
  <si>
    <t xml:space="preserve">1996-11-21</t>
  </si>
  <si>
    <t xml:space="preserve">235318853:eng</t>
  </si>
  <si>
    <t xml:space="preserve">464180</t>
  </si>
  <si>
    <t xml:space="preserve">991002818549702656</t>
  </si>
  <si>
    <t xml:space="preserve">2258395410002656</t>
  </si>
  <si>
    <t xml:space="preserve">32285000230747</t>
  </si>
  <si>
    <t xml:space="preserve">893799061</t>
  </si>
  <si>
    <t xml:space="preserve">B1649.R94 S24</t>
  </si>
  <si>
    <t xml:space="preserve">0                      B  1649000R  94                 S  24</t>
  </si>
  <si>
    <t xml:space="preserve">Russell / R. M. Sainsbury.</t>
  </si>
  <si>
    <t xml:space="preserve">Sainsbury, R. M. (Richard Mark)</t>
  </si>
  <si>
    <t xml:space="preserve">London ; Boston : Routledge &amp; Kegan Paul, 1979.</t>
  </si>
  <si>
    <t xml:space="preserve">3943351414:eng</t>
  </si>
  <si>
    <t xml:space="preserve">5258007</t>
  </si>
  <si>
    <t xml:space="preserve">991004806909702656</t>
  </si>
  <si>
    <t xml:space="preserve">2261965720002656</t>
  </si>
  <si>
    <t xml:space="preserve">9780710001559</t>
  </si>
  <si>
    <t xml:space="preserve">32285000230770</t>
  </si>
  <si>
    <t xml:space="preserve">893430518</t>
  </si>
  <si>
    <t xml:space="preserve">B1649.R94 S35 1951</t>
  </si>
  <si>
    <t xml:space="preserve">0                      B  1649000R  94                 S  35          1951</t>
  </si>
  <si>
    <t xml:space="preserve">The philosophy of Bertrand Russell / edited by Paul Arthur Schilpp.</t>
  </si>
  <si>
    <t xml:space="preserve">Schilpp, Paul Arthur, 1897-1993 editor.</t>
  </si>
  <si>
    <t xml:space="preserve">New York : Tudor Pub. Co., [1951]</t>
  </si>
  <si>
    <t xml:space="preserve">The Library of living philosophers</t>
  </si>
  <si>
    <t xml:space="preserve">2006-04-12</t>
  </si>
  <si>
    <t xml:space="preserve">148273921:eng</t>
  </si>
  <si>
    <t xml:space="preserve">938980</t>
  </si>
  <si>
    <t xml:space="preserve">991003399149702656</t>
  </si>
  <si>
    <t xml:space="preserve">2265559450002656</t>
  </si>
  <si>
    <t xml:space="preserve">32285000230788</t>
  </si>
  <si>
    <t xml:space="preserve">893881124</t>
  </si>
  <si>
    <t xml:space="preserve">B165.D43 F7</t>
  </si>
  <si>
    <t xml:space="preserve">0                      B  0165000D  43                 F  7</t>
  </si>
  <si>
    <t xml:space="preserve">The Pre-Socratic philosophers : a companion to Diels, Fragmente der vorsokratiker / by Kathleen Freeman.</t>
  </si>
  <si>
    <t xml:space="preserve">Freeman, Kathleen, 1897-1959.</t>
  </si>
  <si>
    <t xml:space="preserve">Oxford : Basil Blackwell, 1946.</t>
  </si>
  <si>
    <t xml:space="preserve">2005-03-14</t>
  </si>
  <si>
    <t xml:space="preserve">54012796:eng</t>
  </si>
  <si>
    <t xml:space="preserve">6824926</t>
  </si>
  <si>
    <t xml:space="preserve">991005385099702656</t>
  </si>
  <si>
    <t xml:space="preserve">2264329960002656</t>
  </si>
  <si>
    <t xml:space="preserve">32285000140797</t>
  </si>
  <si>
    <t xml:space="preserve">893777397</t>
  </si>
  <si>
    <t xml:space="preserve">B1656 .E4 1970</t>
  </si>
  <si>
    <t xml:space="preserve">0                      B  1656000E  4           1970</t>
  </si>
  <si>
    <t xml:space="preserve">Herbert Spencer.</t>
  </si>
  <si>
    <t xml:space="preserve">Elliot, Hugh, 1881-1930.</t>
  </si>
  <si>
    <t xml:space="preserve">Freeport, N.Y. : Books for Libraries Press, [1970]</t>
  </si>
  <si>
    <t xml:space="preserve">1992-01-12</t>
  </si>
  <si>
    <t xml:space="preserve">1225418:eng</t>
  </si>
  <si>
    <t xml:space="preserve">62721</t>
  </si>
  <si>
    <t xml:space="preserve">991000185769702656</t>
  </si>
  <si>
    <t xml:space="preserve">2254773800002656</t>
  </si>
  <si>
    <t xml:space="preserve">9780836952032</t>
  </si>
  <si>
    <t xml:space="preserve">32285000230895</t>
  </si>
  <si>
    <t xml:space="preserve">893865172</t>
  </si>
  <si>
    <t xml:space="preserve">B1656 .Y6 1973</t>
  </si>
  <si>
    <t xml:space="preserve">0                      B  1656000Y  6           1973</t>
  </si>
  <si>
    <t xml:space="preserve">Herbert Spencer on the Americans and the Americans on Herbert Spencer.</t>
  </si>
  <si>
    <t xml:space="preserve">Youmans, Edward Livingston, 1821-1887.</t>
  </si>
  <si>
    <t xml:space="preserve">New York : Arno Press, 1973 [c1882]</t>
  </si>
  <si>
    <t xml:space="preserve">Big business: economic power in a free society</t>
  </si>
  <si>
    <t xml:space="preserve">3863817326:eng</t>
  </si>
  <si>
    <t xml:space="preserve">622497</t>
  </si>
  <si>
    <t xml:space="preserve">991003066329702656</t>
  </si>
  <si>
    <t xml:space="preserve">2256995180002656</t>
  </si>
  <si>
    <t xml:space="preserve">9780405051227</t>
  </si>
  <si>
    <t xml:space="preserve">32285000230903</t>
  </si>
  <si>
    <t xml:space="preserve">893251995</t>
  </si>
  <si>
    <t xml:space="preserve">B1657 .H8 1974</t>
  </si>
  <si>
    <t xml:space="preserve">0                      B  1657000H  8           1974</t>
  </si>
  <si>
    <t xml:space="preserve">An introduction to the philosophy of Herbert Spencer : with a biographical sketch / by William Henry Hudson.</t>
  </si>
  <si>
    <t xml:space="preserve">Hudson, William Henry, 1862-1918.</t>
  </si>
  <si>
    <t xml:space="preserve">New York : Haskell House Publishers, 1974.</t>
  </si>
  <si>
    <t xml:space="preserve">4928324625:eng</t>
  </si>
  <si>
    <t xml:space="preserve">1119652</t>
  </si>
  <si>
    <t xml:space="preserve">991003551469702656</t>
  </si>
  <si>
    <t xml:space="preserve">2255739890002656</t>
  </si>
  <si>
    <t xml:space="preserve">9780838317945</t>
  </si>
  <si>
    <t xml:space="preserve">32285000230911</t>
  </si>
  <si>
    <t xml:space="preserve">893428915</t>
  </si>
  <si>
    <t xml:space="preserve">B1657 .K4</t>
  </si>
  <si>
    <t xml:space="preserve">0                      B  1657000K  4</t>
  </si>
  <si>
    <t xml:space="preserve">Herbert Spencer / James G. Kennedy. --</t>
  </si>
  <si>
    <t xml:space="preserve">Kennedy, James G. (James Gettier), 1932-</t>
  </si>
  <si>
    <t xml:space="preserve">Boston : Twayne Publishers, c1978.</t>
  </si>
  <si>
    <t xml:space="preserve">Twayne's English authors series ; TEAS 219</t>
  </si>
  <si>
    <t xml:space="preserve">11028903:eng</t>
  </si>
  <si>
    <t xml:space="preserve">3650123</t>
  </si>
  <si>
    <t xml:space="preserve">991004488209702656</t>
  </si>
  <si>
    <t xml:space="preserve">2260936500002656</t>
  </si>
  <si>
    <t xml:space="preserve">9780805766882</t>
  </si>
  <si>
    <t xml:space="preserve">32285000230929</t>
  </si>
  <si>
    <t xml:space="preserve">893343889</t>
  </si>
  <si>
    <t xml:space="preserve">B1674.W354 C5</t>
  </si>
  <si>
    <t xml:space="preserve">0                      B  1674000W  354                C  5</t>
  </si>
  <si>
    <t xml:space="preserve">An interpretation of Whitehead's metaphysics / by William A. Christian.</t>
  </si>
  <si>
    <t xml:space="preserve">Christian, William A., 1905-</t>
  </si>
  <si>
    <t xml:space="preserve">New Haven : Yale University Press, 1959.</t>
  </si>
  <si>
    <t xml:space="preserve">1997-05-01</t>
  </si>
  <si>
    <t xml:space="preserve">1377208:eng</t>
  </si>
  <si>
    <t xml:space="preserve">1327025</t>
  </si>
  <si>
    <t xml:space="preserve">991003695089702656</t>
  </si>
  <si>
    <t xml:space="preserve">2258745510002656</t>
  </si>
  <si>
    <t xml:space="preserve">32285000231034</t>
  </si>
  <si>
    <t xml:space="preserve">893686830</t>
  </si>
  <si>
    <t xml:space="preserve">B1674.W354 E5 1966</t>
  </si>
  <si>
    <t xml:space="preserve">0                      B  1674000W  354                E  5           1966</t>
  </si>
  <si>
    <t xml:space="preserve">Whitehead's philosophy of organism.</t>
  </si>
  <si>
    <t xml:space="preserve">Emmet, Dorothy M.</t>
  </si>
  <si>
    <t xml:space="preserve">London ; Melbourne : Macmillan ; New York : St. Martin's P., 1966.</t>
  </si>
  <si>
    <t xml:space="preserve">1994-09-07</t>
  </si>
  <si>
    <t xml:space="preserve">1453628:eng</t>
  </si>
  <si>
    <t xml:space="preserve">372784</t>
  </si>
  <si>
    <t xml:space="preserve">991002566939702656</t>
  </si>
  <si>
    <t xml:space="preserve">2261515100002656</t>
  </si>
  <si>
    <t xml:space="preserve">32285000231067</t>
  </si>
  <si>
    <t xml:space="preserve">893316988</t>
  </si>
  <si>
    <t xml:space="preserve">B1674.W354 J6 1962</t>
  </si>
  <si>
    <t xml:space="preserve">0                      B  1674000W  354                J  6           1962</t>
  </si>
  <si>
    <t xml:space="preserve">Whitehead's theory of reality / by A.H. Johnson.</t>
  </si>
  <si>
    <t xml:space="preserve">Johnson, A. H. (Allison Heartz), 1910-</t>
  </si>
  <si>
    <t xml:space="preserve">New York : Dover Publications, [1962]</t>
  </si>
  <si>
    <t xml:space="preserve">1453354:eng</t>
  </si>
  <si>
    <t xml:space="preserve">372709</t>
  </si>
  <si>
    <t xml:space="preserve">991002566199702656</t>
  </si>
  <si>
    <t xml:space="preserve">2261524610002656</t>
  </si>
  <si>
    <t xml:space="preserve">32285000231125</t>
  </si>
  <si>
    <t xml:space="preserve">893415358</t>
  </si>
  <si>
    <t xml:space="preserve">B1674.W354 K5</t>
  </si>
  <si>
    <t xml:space="preserve">0                      B  1674000W  354                K  5</t>
  </si>
  <si>
    <t xml:space="preserve">Alfred North Whitehead : essays on his philosophy.</t>
  </si>
  <si>
    <t xml:space="preserve">Kline, George L. (George Louis), 1921-2014, editor.</t>
  </si>
  <si>
    <t xml:space="preserve">Englewood Cliffs, N.J. : Prentice-Hall, [1963]</t>
  </si>
  <si>
    <t xml:space="preserve">A Spectrum book</t>
  </si>
  <si>
    <t xml:space="preserve">1996-12-12</t>
  </si>
  <si>
    <t xml:space="preserve">1453365:eng</t>
  </si>
  <si>
    <t xml:space="preserve">372711</t>
  </si>
  <si>
    <t xml:space="preserve">991002566259702656</t>
  </si>
  <si>
    <t xml:space="preserve">2261523730002656</t>
  </si>
  <si>
    <t xml:space="preserve">32285000231141</t>
  </si>
  <si>
    <t xml:space="preserve">893445245</t>
  </si>
  <si>
    <t xml:space="preserve">B1674.W354 L4</t>
  </si>
  <si>
    <t xml:space="preserve">0                      B  1674000W  354                L  4</t>
  </si>
  <si>
    <t xml:space="preserve">Whitehead's metaphysics : an introductory exposition.</t>
  </si>
  <si>
    <t xml:space="preserve">Leclerc, Ivor.</t>
  </si>
  <si>
    <t xml:space="preserve">New York : Humanities Press, 1965, [c1958]</t>
  </si>
  <si>
    <t xml:space="preserve">1996-12-08</t>
  </si>
  <si>
    <t xml:space="preserve">1353721:eng</t>
  </si>
  <si>
    <t xml:space="preserve">1493990</t>
  </si>
  <si>
    <t xml:space="preserve">991003780699702656</t>
  </si>
  <si>
    <t xml:space="preserve">2271633210002656</t>
  </si>
  <si>
    <t xml:space="preserve">32285000231620</t>
  </si>
  <si>
    <t xml:space="preserve">893611444</t>
  </si>
  <si>
    <t xml:space="preserve">B1674.W354 L6</t>
  </si>
  <si>
    <t xml:space="preserve">0                      B  1674000W  354                L  6</t>
  </si>
  <si>
    <t xml:space="preserve">Understanding Whitehead.</t>
  </si>
  <si>
    <t xml:space="preserve">Lowe, Victor, 1907-1988.</t>
  </si>
  <si>
    <t xml:space="preserve">Baltimore : Johns Hopkins Press, 1962.</t>
  </si>
  <si>
    <t xml:space="preserve">149334804:eng</t>
  </si>
  <si>
    <t xml:space="preserve">237187</t>
  </si>
  <si>
    <t xml:space="preserve">991001820359702656</t>
  </si>
  <si>
    <t xml:space="preserve">2254937420002656</t>
  </si>
  <si>
    <t xml:space="preserve">32285000231638</t>
  </si>
  <si>
    <t xml:space="preserve">893340729</t>
  </si>
  <si>
    <t xml:space="preserve">B1674.W354 O34 1982</t>
  </si>
  <si>
    <t xml:space="preserve">0                      B  1674000W  354                O  34          1982</t>
  </si>
  <si>
    <t xml:space="preserve">Process metaphysics and Hua-yen Buddhism : a critical study of cumulative penetration vs. interpenetration / Steve Odin.</t>
  </si>
  <si>
    <t xml:space="preserve">Odin, Steve, 1953-</t>
  </si>
  <si>
    <t xml:space="preserve">Albany : State University of New York Press, c1982.</t>
  </si>
  <si>
    <t xml:space="preserve">SUNY series in systematic philosophy</t>
  </si>
  <si>
    <t xml:space="preserve">521567:eng</t>
  </si>
  <si>
    <t xml:space="preserve">7672200</t>
  </si>
  <si>
    <t xml:space="preserve">991005147369702656</t>
  </si>
  <si>
    <t xml:space="preserve">2271505220002656</t>
  </si>
  <si>
    <t xml:space="preserve">9780873955683</t>
  </si>
  <si>
    <t xml:space="preserve">32285000231661</t>
  </si>
  <si>
    <t xml:space="preserve">893613203</t>
  </si>
  <si>
    <t xml:space="preserve">B1674.W354 P6</t>
  </si>
  <si>
    <t xml:space="preserve">0                      B  1674000W  354                P  6</t>
  </si>
  <si>
    <t xml:space="preserve">Whitehead's metaphysics : a critical examination of Process and reality.</t>
  </si>
  <si>
    <t xml:space="preserve">Pols, Edward.</t>
  </si>
  <si>
    <t xml:space="preserve">2005-04-27</t>
  </si>
  <si>
    <t xml:space="preserve">352322019:eng</t>
  </si>
  <si>
    <t xml:space="preserve">789528</t>
  </si>
  <si>
    <t xml:space="preserve">991003263359702656</t>
  </si>
  <si>
    <t xml:space="preserve">2267839840002656</t>
  </si>
  <si>
    <t xml:space="preserve">32285000231679</t>
  </si>
  <si>
    <t xml:space="preserve">893627520</t>
  </si>
  <si>
    <t xml:space="preserve">B1674.W354 S45 1970</t>
  </si>
  <si>
    <t xml:space="preserve">0                      B  1674000W  354                S  45          1970</t>
  </si>
  <si>
    <t xml:space="preserve">A Whiteheadian aesthetic : some implications of Whitehead's metaphysical speculation / by Donald W. Sherburne. With a foreword by F. S. C. Northrop.</t>
  </si>
  <si>
    <t xml:space="preserve">Sherburne, Donald W.</t>
  </si>
  <si>
    <t xml:space="preserve">[Hamden, Conn.] : Archon Books, 1970 [c1961]</t>
  </si>
  <si>
    <t xml:space="preserve">1231609:eng</t>
  </si>
  <si>
    <t xml:space="preserve">66115</t>
  </si>
  <si>
    <t xml:space="preserve">991000209559702656</t>
  </si>
  <si>
    <t xml:space="preserve">2258863380002656</t>
  </si>
  <si>
    <t xml:space="preserve">9780208008190</t>
  </si>
  <si>
    <t xml:space="preserve">32285000231703</t>
  </si>
  <si>
    <t xml:space="preserve">893351464</t>
  </si>
  <si>
    <t xml:space="preserve">B1674.W354 W4</t>
  </si>
  <si>
    <t xml:space="preserve">0                      B  1674000W  354                W  4</t>
  </si>
  <si>
    <t xml:space="preserve">Alfred North Whitehead's philosophy of values / by Jude D. Weisenbeck.</t>
  </si>
  <si>
    <t xml:space="preserve">Weisenbeck, Jude D., 1931-</t>
  </si>
  <si>
    <t xml:space="preserve">Waukesha, Wis. : Mount St. Paul College, [1969]</t>
  </si>
  <si>
    <t xml:space="preserve">1192320:eng</t>
  </si>
  <si>
    <t xml:space="preserve">107184</t>
  </si>
  <si>
    <t xml:space="preserve">991000634629702656</t>
  </si>
  <si>
    <t xml:space="preserve">2261942840002656</t>
  </si>
  <si>
    <t xml:space="preserve">32285000231729</t>
  </si>
  <si>
    <t xml:space="preserve">893528235</t>
  </si>
  <si>
    <t xml:space="preserve">B1674.W37 M6</t>
  </si>
  <si>
    <t xml:space="preserve">0                      B  1674000W  37                 M  6</t>
  </si>
  <si>
    <t xml:space="preserve">Modes of thought / by Alfred North Whitehead. Six lectures delivered in Wellesley college, Massachusetts, and two lectures in the University of Chicago.</t>
  </si>
  <si>
    <t xml:space="preserve">Whitehead, Alfred North, 1861-1947.</t>
  </si>
  <si>
    <t xml:space="preserve">New York : The Macmillan company, 1938.</t>
  </si>
  <si>
    <t xml:space="preserve">1938</t>
  </si>
  <si>
    <t xml:space="preserve">"First printing."</t>
  </si>
  <si>
    <t xml:space="preserve">1992-09-23</t>
  </si>
  <si>
    <t xml:space="preserve">4714461594:eng</t>
  </si>
  <si>
    <t xml:space="preserve">1213328</t>
  </si>
  <si>
    <t xml:space="preserve">991003623749702656</t>
  </si>
  <si>
    <t xml:space="preserve">2262928230002656</t>
  </si>
  <si>
    <t xml:space="preserve">32285000231745</t>
  </si>
  <si>
    <t xml:space="preserve">893246553</t>
  </si>
  <si>
    <t xml:space="preserve">B1674.W38 E9 1983</t>
  </si>
  <si>
    <t xml:space="preserve">0                      B  1674000W  38                 E  9           1983</t>
  </si>
  <si>
    <t xml:space="preserve">Explorations in Whitehead's philosophy / edited by Lewis S. Ford &amp; George L. Kline.</t>
  </si>
  <si>
    <t xml:space="preserve">New York : Fordham University Press, 1983.</t>
  </si>
  <si>
    <t xml:space="preserve">1997-02-25</t>
  </si>
  <si>
    <t xml:space="preserve">350912501:eng</t>
  </si>
  <si>
    <t xml:space="preserve">10345367</t>
  </si>
  <si>
    <t xml:space="preserve">991000357359702656</t>
  </si>
  <si>
    <t xml:space="preserve">2260580380002656</t>
  </si>
  <si>
    <t xml:space="preserve">9780823211036</t>
  </si>
  <si>
    <t xml:space="preserve">32285000231760</t>
  </si>
  <si>
    <t xml:space="preserve">893890595</t>
  </si>
  <si>
    <t xml:space="preserve">B1674.W38 S35 1951</t>
  </si>
  <si>
    <t xml:space="preserve">0                      B  1674000W  38                 S  35          1951</t>
  </si>
  <si>
    <t xml:space="preserve">The philosophy of Alfred North Whitehead.</t>
  </si>
  <si>
    <t xml:space="preserve">2002-07-24</t>
  </si>
  <si>
    <t xml:space="preserve">3769406119:eng</t>
  </si>
  <si>
    <t xml:space="preserve">274159</t>
  </si>
  <si>
    <t xml:space="preserve">991002162229702656</t>
  </si>
  <si>
    <t xml:space="preserve">2260860000002656</t>
  </si>
  <si>
    <t xml:space="preserve">32285000231778</t>
  </si>
  <si>
    <t xml:space="preserve">893322623</t>
  </si>
  <si>
    <t xml:space="preserve">B1674.W494 E87 1996</t>
  </si>
  <si>
    <t xml:space="preserve">0                      B  1674000W  494                E  87          1996</t>
  </si>
  <si>
    <t xml:space="preserve">Essays for David Wiggins : identity, truth, and value / edited by Sabina Lovibond and S.G. Williams.</t>
  </si>
  <si>
    <t xml:space="preserve">Oxford ; Cambridge, Mass : Blackwell, 1996.</t>
  </si>
  <si>
    <t xml:space="preserve">Aristotelian Society series ; v. 16</t>
  </si>
  <si>
    <t xml:space="preserve">1996-12-13</t>
  </si>
  <si>
    <t xml:space="preserve">5612444014:eng</t>
  </si>
  <si>
    <t xml:space="preserve">33667633</t>
  </si>
  <si>
    <t xml:space="preserve">991002578369702656</t>
  </si>
  <si>
    <t xml:space="preserve">2254823090002656</t>
  </si>
  <si>
    <t xml:space="preserve">9780631191346</t>
  </si>
  <si>
    <t xml:space="preserve">32285002385432</t>
  </si>
  <si>
    <t xml:space="preserve">893415374</t>
  </si>
  <si>
    <t xml:space="preserve">B171 .B68</t>
  </si>
  <si>
    <t xml:space="preserve">0                      B  0171000B  68</t>
  </si>
  <si>
    <t xml:space="preserve">Rationalism in Greek philosophy.</t>
  </si>
  <si>
    <t xml:space="preserve">Boas, George, 1891-1980.</t>
  </si>
  <si>
    <t xml:space="preserve">Baltimore : Johns Hopkins Press, [1961]</t>
  </si>
  <si>
    <t xml:space="preserve">1995-09-27</t>
  </si>
  <si>
    <t xml:space="preserve">115913033:eng</t>
  </si>
  <si>
    <t xml:space="preserve">368889</t>
  </si>
  <si>
    <t xml:space="preserve">991002545939702656</t>
  </si>
  <si>
    <t xml:space="preserve">2267762020002656</t>
  </si>
  <si>
    <t xml:space="preserve">32285000140854</t>
  </si>
  <si>
    <t xml:space="preserve">893445229</t>
  </si>
  <si>
    <t xml:space="preserve">B171 .C7</t>
  </si>
  <si>
    <t xml:space="preserve">0                      B  0171000C  7</t>
  </si>
  <si>
    <t xml:space="preserve">Before and after Socrates.</t>
  </si>
  <si>
    <t xml:space="preserve">Cornford, Francis Macdonald, 1874-1943.</t>
  </si>
  <si>
    <t xml:space="preserve">Cambridge [Eng.] : University Press, 1965.</t>
  </si>
  <si>
    <t xml:space="preserve">1996-04-04</t>
  </si>
  <si>
    <t xml:space="preserve">503116:eng</t>
  </si>
  <si>
    <t xml:space="preserve">2680266</t>
  </si>
  <si>
    <t xml:space="preserve">991004209609702656</t>
  </si>
  <si>
    <t xml:space="preserve">2266107350002656</t>
  </si>
  <si>
    <t xml:space="preserve">32285000140904</t>
  </si>
  <si>
    <t xml:space="preserve">893599563</t>
  </si>
  <si>
    <t xml:space="preserve">B171 .C72 1965</t>
  </si>
  <si>
    <t xml:space="preserve">0                      B  0171000C  72          1965</t>
  </si>
  <si>
    <t xml:space="preserve">Principium sapientiae : the origins of Greek philosophical thought.</t>
  </si>
  <si>
    <t xml:space="preserve">Harper torchbooks ; TB1213L</t>
  </si>
  <si>
    <t xml:space="preserve">2009-04-15</t>
  </si>
  <si>
    <t xml:space="preserve">1356233:eng</t>
  </si>
  <si>
    <t xml:space="preserve">2510432</t>
  </si>
  <si>
    <t xml:space="preserve">991002545009702656</t>
  </si>
  <si>
    <t xml:space="preserve">2267636480002656</t>
  </si>
  <si>
    <t xml:space="preserve">32285000140920</t>
  </si>
  <si>
    <t xml:space="preserve">893440257</t>
  </si>
  <si>
    <t xml:space="preserve">B171 .J65 1987</t>
  </si>
  <si>
    <t xml:space="preserve">0                      B  0171000J  65          1987</t>
  </si>
  <si>
    <t xml:space="preserve">Western philosophy : from antiquity to the Middle Ages / James N. Jordan.</t>
  </si>
  <si>
    <t xml:space="preserve">Jordan, James N. (James Nicholas), 1938-</t>
  </si>
  <si>
    <t xml:space="preserve">New York : Macmillan, c1987.</t>
  </si>
  <si>
    <t xml:space="preserve">2000-08-28</t>
  </si>
  <si>
    <t xml:space="preserve">6932230:eng</t>
  </si>
  <si>
    <t xml:space="preserve">13559642</t>
  </si>
  <si>
    <t xml:space="preserve">991005406539702656</t>
  </si>
  <si>
    <t xml:space="preserve">2271069540002656</t>
  </si>
  <si>
    <t xml:space="preserve">9780023614507</t>
  </si>
  <si>
    <t xml:space="preserve">32285000141068</t>
  </si>
  <si>
    <t xml:space="preserve">893619944</t>
  </si>
  <si>
    <t xml:space="preserve">B171 .K7</t>
  </si>
  <si>
    <t xml:space="preserve">0                      B  0171000K  7</t>
  </si>
  <si>
    <t xml:space="preserve">Speculation in pre-Christian philosophy.</t>
  </si>
  <si>
    <t xml:space="preserve">Kroner, Richard, 1884-1974.</t>
  </si>
  <si>
    <t xml:space="preserve">Philadelphia : Westminster Press, [1956]</t>
  </si>
  <si>
    <t xml:space="preserve">His speculation and revelation in the history of philosophy.</t>
  </si>
  <si>
    <t xml:space="preserve">2006-03-21</t>
  </si>
  <si>
    <t xml:space="preserve">1792008:eng</t>
  </si>
  <si>
    <t xml:space="preserve">928893</t>
  </si>
  <si>
    <t xml:space="preserve">991003391029702656</t>
  </si>
  <si>
    <t xml:space="preserve">2268709550002656</t>
  </si>
  <si>
    <t xml:space="preserve">32285000141076</t>
  </si>
  <si>
    <t xml:space="preserve">893692687</t>
  </si>
  <si>
    <t xml:space="preserve">B171 .M75 1969</t>
  </si>
  <si>
    <t xml:space="preserve">0                      B  0171000M  75          1969</t>
  </si>
  <si>
    <t xml:space="preserve">Hellenistic philosophies.</t>
  </si>
  <si>
    <t xml:space="preserve">More, Paul Elmer, 1864-1937.</t>
  </si>
  <si>
    <t xml:space="preserve">New York : Greenwood Press, [1969, c1923]</t>
  </si>
  <si>
    <t xml:space="preserve">His The Greek tradition, v. 2</t>
  </si>
  <si>
    <t xml:space="preserve">2000-03-16</t>
  </si>
  <si>
    <t xml:space="preserve">1173288:eng</t>
  </si>
  <si>
    <t xml:space="preserve">52056</t>
  </si>
  <si>
    <t xml:space="preserve">991000125889702656</t>
  </si>
  <si>
    <t xml:space="preserve">2259496980002656</t>
  </si>
  <si>
    <t xml:space="preserve">9780837118819</t>
  </si>
  <si>
    <t xml:space="preserve">32285000141100</t>
  </si>
  <si>
    <t xml:space="preserve">893243016</t>
  </si>
  <si>
    <t xml:space="preserve">B171 .O9</t>
  </si>
  <si>
    <t xml:space="preserve">0                      B  0171000O  9</t>
  </si>
  <si>
    <t xml:space="preserve">A history of ancient Western philosophy.</t>
  </si>
  <si>
    <t xml:space="preserve">Owens, Joseph, 1908-2005</t>
  </si>
  <si>
    <t xml:space="preserve">New York : Appleton-Century-Crofts, [c1959]</t>
  </si>
  <si>
    <t xml:space="preserve">2000-08-16</t>
  </si>
  <si>
    <t xml:space="preserve">1509242:eng</t>
  </si>
  <si>
    <t xml:space="preserve">518601</t>
  </si>
  <si>
    <t xml:space="preserve">991002904009702656</t>
  </si>
  <si>
    <t xml:space="preserve">2255703650002656</t>
  </si>
  <si>
    <t xml:space="preserve">32285000141126</t>
  </si>
  <si>
    <t xml:space="preserve">893335877</t>
  </si>
  <si>
    <t xml:space="preserve">B171 .P3 1967a</t>
  </si>
  <si>
    <t xml:space="preserve">0                      B  0171000P  3           1967a</t>
  </si>
  <si>
    <t xml:space="preserve">A short account of Greek philosophy from Thales to Epicurus / [by] G. F. Parker.</t>
  </si>
  <si>
    <t xml:space="preserve">Parker, G. F. (Graham Frederick), 1956-</t>
  </si>
  <si>
    <t xml:space="preserve">New York : Barnes &amp; Noble, [1967]</t>
  </si>
  <si>
    <t xml:space="preserve">57635848:eng</t>
  </si>
  <si>
    <t xml:space="preserve">608132</t>
  </si>
  <si>
    <t xml:space="preserve">991003047539702656</t>
  </si>
  <si>
    <t xml:space="preserve">2262460370002656</t>
  </si>
  <si>
    <t xml:space="preserve">32285000141142</t>
  </si>
  <si>
    <t xml:space="preserve">893774345</t>
  </si>
  <si>
    <t xml:space="preserve">B171 .S8</t>
  </si>
  <si>
    <t xml:space="preserve">0                      B  0171000S  8</t>
  </si>
  <si>
    <t xml:space="preserve">A critical history of Greek philosophy / by W.T. Stace.</t>
  </si>
  <si>
    <t xml:space="preserve">Stace, W. T. (Walter Terence), 1886-1967.</t>
  </si>
  <si>
    <t xml:space="preserve">London : Macmillan, 1920.</t>
  </si>
  <si>
    <t xml:space="preserve">2005-04-26</t>
  </si>
  <si>
    <t xml:space="preserve">2423586:eng</t>
  </si>
  <si>
    <t xml:space="preserve">13571329</t>
  </si>
  <si>
    <t xml:space="preserve">991000847429702656</t>
  </si>
  <si>
    <t xml:space="preserve">2260877380002656</t>
  </si>
  <si>
    <t xml:space="preserve">32285000141191</t>
  </si>
  <si>
    <t xml:space="preserve">893426095</t>
  </si>
  <si>
    <t xml:space="preserve">B172 .W34 1976</t>
  </si>
  <si>
    <t xml:space="preserve">0                      B  0172000W  34          1976</t>
  </si>
  <si>
    <t xml:space="preserve">Intimations of Christianity among the ancient Greeks / Simone Weil ; edited and translated [from the French] by Elisabeth Chase Geissbuhler.</t>
  </si>
  <si>
    <t xml:space="preserve">Weil, Simone, 1909-1943.</t>
  </si>
  <si>
    <t xml:space="preserve">London : Routledge and Kegan Paul, c1957, 1976 printing.</t>
  </si>
  <si>
    <t xml:space="preserve">543083:eng</t>
  </si>
  <si>
    <t xml:space="preserve">2994282</t>
  </si>
  <si>
    <t xml:space="preserve">991004310959702656</t>
  </si>
  <si>
    <t xml:space="preserve">2257238370002656</t>
  </si>
  <si>
    <t xml:space="preserve">9780710085245</t>
  </si>
  <si>
    <t xml:space="preserve">32285000141266</t>
  </si>
  <si>
    <t xml:space="preserve">893706236</t>
  </si>
  <si>
    <t xml:space="preserve">B173 .F73 1998</t>
  </si>
  <si>
    <t xml:space="preserve">0                      B  0173000F  73          1998</t>
  </si>
  <si>
    <t xml:space="preserve">Fragmentsammlungen philosophischer Texte der Antike = Le raccolte dei frammenti di filosofi antichi : atti del seminario internazionale, Ascona, Centro Stefano Franscini 22-27 settembre 1996 / herausgegeben von Walter Burkert ... [et al.].</t>
  </si>
  <si>
    <t xml:space="preserve">Göttingen : Vandenhoeck &amp; Ruprecht, 1998.</t>
  </si>
  <si>
    <t xml:space="preserve">ger</t>
  </si>
  <si>
    <t xml:space="preserve">gw </t>
  </si>
  <si>
    <t xml:space="preserve">Aporemata ; Bd. 3</t>
  </si>
  <si>
    <t xml:space="preserve">2007-07-09</t>
  </si>
  <si>
    <t xml:space="preserve">2000-01-13</t>
  </si>
  <si>
    <t xml:space="preserve">3980277907:ger</t>
  </si>
  <si>
    <t xml:space="preserve">40259184</t>
  </si>
  <si>
    <t xml:space="preserve">991002987139702656</t>
  </si>
  <si>
    <t xml:space="preserve">2260591370002656</t>
  </si>
  <si>
    <t xml:space="preserve">9783525259023</t>
  </si>
  <si>
    <t xml:space="preserve">32285003642120</t>
  </si>
  <si>
    <t xml:space="preserve">893498808</t>
  </si>
  <si>
    <t xml:space="preserve">B173 .G7</t>
  </si>
  <si>
    <t xml:space="preserve">0                      B  0173000G  7</t>
  </si>
  <si>
    <t xml:space="preserve">Greek thinkers : a history of ancient philosophy / by Theodor Gomperz.</t>
  </si>
  <si>
    <t xml:space="preserve">Gomperz, Theodor, 1832-1912.</t>
  </si>
  <si>
    <t xml:space="preserve">London : J. Murray, 1901-12.</t>
  </si>
  <si>
    <t xml:space="preserve">1901</t>
  </si>
  <si>
    <t xml:space="preserve">Authorized ed.</t>
  </si>
  <si>
    <t xml:space="preserve">1994-09-24</t>
  </si>
  <si>
    <t xml:space="preserve">9093538142:eng</t>
  </si>
  <si>
    <t xml:space="preserve">6843862</t>
  </si>
  <si>
    <t xml:space="preserve">991005046589702656</t>
  </si>
  <si>
    <t xml:space="preserve">2271542610002656</t>
  </si>
  <si>
    <t xml:space="preserve">32285000141282</t>
  </si>
  <si>
    <t xml:space="preserve">893412240</t>
  </si>
  <si>
    <t xml:space="preserve">32285000141308</t>
  </si>
  <si>
    <t xml:space="preserve">893412239</t>
  </si>
  <si>
    <t xml:space="preserve">32285000141274</t>
  </si>
  <si>
    <t xml:space="preserve">893430758</t>
  </si>
  <si>
    <t xml:space="preserve">32285000141290</t>
  </si>
  <si>
    <t xml:space="preserve">893412238</t>
  </si>
  <si>
    <t xml:space="preserve">B179 .A35</t>
  </si>
  <si>
    <t xml:space="preserve">0                      B  0179000A  35</t>
  </si>
  <si>
    <t xml:space="preserve">Zoroaster's influence on Greek thought.</t>
  </si>
  <si>
    <t xml:space="preserve">Afnán, Ruhi Muhsen.</t>
  </si>
  <si>
    <t xml:space="preserve">New York : Philosophical Library, [1965]</t>
  </si>
  <si>
    <t xml:space="preserve">2007-02-13</t>
  </si>
  <si>
    <t xml:space="preserve">1888719:eng</t>
  </si>
  <si>
    <t xml:space="preserve">899224</t>
  </si>
  <si>
    <t xml:space="preserve">991003363259702656</t>
  </si>
  <si>
    <t xml:space="preserve">2257724970002656</t>
  </si>
  <si>
    <t xml:space="preserve">32285000141332</t>
  </si>
  <si>
    <t xml:space="preserve">893899922</t>
  </si>
  <si>
    <t xml:space="preserve">B179 .W48</t>
  </si>
  <si>
    <t xml:space="preserve">0                      B  0179000W  48</t>
  </si>
  <si>
    <t xml:space="preserve">Early Greek philosophy and the Orient / [by] M. L. West.</t>
  </si>
  <si>
    <t xml:space="preserve">West, M. L. (Martin Litchfield), 1937-2015.</t>
  </si>
  <si>
    <t xml:space="preserve">Oxford : Clarendon Press, 1971.</t>
  </si>
  <si>
    <t xml:space="preserve">2009-09-03</t>
  </si>
  <si>
    <t xml:space="preserve">1358768:eng</t>
  </si>
  <si>
    <t xml:space="preserve">232484</t>
  </si>
  <si>
    <t xml:space="preserve">991001542849702656</t>
  </si>
  <si>
    <t xml:space="preserve">2258596710002656</t>
  </si>
  <si>
    <t xml:space="preserve">9780198142898</t>
  </si>
  <si>
    <t xml:space="preserve">32285000141340</t>
  </si>
  <si>
    <t xml:space="preserve">893696816</t>
  </si>
  <si>
    <t xml:space="preserve">B1801 .M3</t>
  </si>
  <si>
    <t xml:space="preserve">0                      B  1801000M  3</t>
  </si>
  <si>
    <t xml:space="preserve">French philosophers from Descartes to Sartre.</t>
  </si>
  <si>
    <t xml:space="preserve">Marsak, Leonard Mendes, 1924- editor.</t>
  </si>
  <si>
    <t xml:space="preserve">Cleveland : World Pub. Co., [1961]</t>
  </si>
  <si>
    <t xml:space="preserve">Meridian books ; MG40</t>
  </si>
  <si>
    <t xml:space="preserve">1997-11-22</t>
  </si>
  <si>
    <t xml:space="preserve">1453506:eng</t>
  </si>
  <si>
    <t xml:space="preserve">372747</t>
  </si>
  <si>
    <t xml:space="preserve">991002566659702656</t>
  </si>
  <si>
    <t xml:space="preserve">2261527650002656</t>
  </si>
  <si>
    <t xml:space="preserve">32285000231828</t>
  </si>
  <si>
    <t xml:space="preserve">893510908</t>
  </si>
  <si>
    <t xml:space="preserve">B1825.Z7 S2</t>
  </si>
  <si>
    <t xml:space="preserve">0                      B  1825000Z  7                  S  2</t>
  </si>
  <si>
    <t xml:space="preserve">At the the crossroads of faith and reason : an essay on Pierre Bayle / by Karl C. Sandberg.</t>
  </si>
  <si>
    <t xml:space="preserve">Sandberg, Karl C.</t>
  </si>
  <si>
    <t xml:space="preserve">Tucson : University of Arizona Press, [1966]</t>
  </si>
  <si>
    <t xml:space="preserve">1994-11-13</t>
  </si>
  <si>
    <t xml:space="preserve">292339584:eng</t>
  </si>
  <si>
    <t xml:space="preserve">301864</t>
  </si>
  <si>
    <t xml:space="preserve">991002256199702656</t>
  </si>
  <si>
    <t xml:space="preserve">2269954770002656</t>
  </si>
  <si>
    <t xml:space="preserve">32285000231901</t>
  </si>
  <si>
    <t xml:space="preserve">893238836</t>
  </si>
  <si>
    <t xml:space="preserve">B1868.R4 J6 1957</t>
  </si>
  <si>
    <t xml:space="preserve">0                      B  1868000R  4                  J  6           1957</t>
  </si>
  <si>
    <t xml:space="preserve">Descartes's Rules for the direction of the mind / by Harold H. Joachim ; reconstructed from notes taken by his pupils. Edited by Errol E. Harris. Foreword by David Ross.</t>
  </si>
  <si>
    <t xml:space="preserve">Joachim, Harold H. (Harold Henry), 1868-1938.</t>
  </si>
  <si>
    <t xml:space="preserve">London : Allen &amp; Unwin, [1957]</t>
  </si>
  <si>
    <t xml:space="preserve">1994-04-10</t>
  </si>
  <si>
    <t xml:space="preserve">1990-06-22</t>
  </si>
  <si>
    <t xml:space="preserve">445756:eng</t>
  </si>
  <si>
    <t xml:space="preserve">965681</t>
  </si>
  <si>
    <t xml:space="preserve">991003431129702656</t>
  </si>
  <si>
    <t xml:space="preserve">2261149210002656</t>
  </si>
  <si>
    <t xml:space="preserve">32285000212885</t>
  </si>
  <si>
    <t xml:space="preserve">893330291</t>
  </si>
  <si>
    <t xml:space="preserve">B187.5 .N38 1993</t>
  </si>
  <si>
    <t xml:space="preserve">0                      B  0187500N  38          1993</t>
  </si>
  <si>
    <t xml:space="preserve">The presocratic philosophers : an annotated bibliography / Luis E. Navia.</t>
  </si>
  <si>
    <t xml:space="preserve">Navia, Luis E.</t>
  </si>
  <si>
    <t xml:space="preserve">New York : Garland, 1993.</t>
  </si>
  <si>
    <t xml:space="preserve">Garland reference library of social science ; v. 704</t>
  </si>
  <si>
    <t xml:space="preserve">1998-07-23</t>
  </si>
  <si>
    <t xml:space="preserve">1996-03-18</t>
  </si>
  <si>
    <t xml:space="preserve">836726728:eng</t>
  </si>
  <si>
    <t xml:space="preserve">27727252</t>
  </si>
  <si>
    <t xml:space="preserve">991002151899702656</t>
  </si>
  <si>
    <t xml:space="preserve">2264335040002656</t>
  </si>
  <si>
    <t xml:space="preserve">9780824097769</t>
  </si>
  <si>
    <t xml:space="preserve">32285002143518</t>
  </si>
  <si>
    <t xml:space="preserve">893256934</t>
  </si>
  <si>
    <t xml:space="preserve">B187.M25 B3</t>
  </si>
  <si>
    <t xml:space="preserve">0                      B  0187000M  25                 B  3</t>
  </si>
  <si>
    <t xml:space="preserve">The unity of mankind in Greek thought / by H.C. Baldry.</t>
  </si>
  <si>
    <t xml:space="preserve">Baldry, H. C.</t>
  </si>
  <si>
    <t xml:space="preserve">1992-01-10</t>
  </si>
  <si>
    <t xml:space="preserve">1724945:eng</t>
  </si>
  <si>
    <t xml:space="preserve">674500</t>
  </si>
  <si>
    <t xml:space="preserve">991003131359702656</t>
  </si>
  <si>
    <t xml:space="preserve">2269391420002656</t>
  </si>
  <si>
    <t xml:space="preserve">32285000141431</t>
  </si>
  <si>
    <t xml:space="preserve">893604463</t>
  </si>
  <si>
    <t xml:space="preserve">B187.M28 N6</t>
  </si>
  <si>
    <t xml:space="preserve">0                      B  0187000M  28                 N  6</t>
  </si>
  <si>
    <t xml:space="preserve">The origins of materialism / by George Novack.</t>
  </si>
  <si>
    <t xml:space="preserve">Novack, George, 1905-1992.</t>
  </si>
  <si>
    <t xml:space="preserve">New York : Merit, 1965.</t>
  </si>
  <si>
    <t xml:space="preserve">1993-04-10</t>
  </si>
  <si>
    <t xml:space="preserve">1705487:eng</t>
  </si>
  <si>
    <t xml:space="preserve">671680</t>
  </si>
  <si>
    <t xml:space="preserve">991003127839702656</t>
  </si>
  <si>
    <t xml:space="preserve">2265200840002656</t>
  </si>
  <si>
    <t xml:space="preserve">32285000141449</t>
  </si>
  <si>
    <t xml:space="preserve">893774424</t>
  </si>
  <si>
    <t xml:space="preserve">B187.N66 P45 1990</t>
  </si>
  <si>
    <t xml:space="preserve">0                      B  0187000N  66                 P  45          1990</t>
  </si>
  <si>
    <t xml:space="preserve">Parmenides, Plato, and the semantics of not-being / Francis Jeffry Pelletier.</t>
  </si>
  <si>
    <t xml:space="preserve">Pelletier, Francis Jeffry, 1944-</t>
  </si>
  <si>
    <t xml:space="preserve">Chicago : University of Chicago Press, c1990.</t>
  </si>
  <si>
    <t xml:space="preserve">2004-02-06</t>
  </si>
  <si>
    <t xml:space="preserve">22010493:eng</t>
  </si>
  <si>
    <t xml:space="preserve">20453572</t>
  </si>
  <si>
    <t xml:space="preserve">991001577789702656</t>
  </si>
  <si>
    <t xml:space="preserve">2255694500002656</t>
  </si>
  <si>
    <t xml:space="preserve">9780226653907</t>
  </si>
  <si>
    <t xml:space="preserve">32285001116259</t>
  </si>
  <si>
    <t xml:space="preserve">893225930</t>
  </si>
  <si>
    <t xml:space="preserve">B187.T5 J3</t>
  </si>
  <si>
    <t xml:space="preserve">0                      B  0187000T  5                  J  3</t>
  </si>
  <si>
    <t xml:space="preserve">The theology of the early Greek philosophers / [Tr. from the German ms. by Edward S. Robinson]</t>
  </si>
  <si>
    <t xml:space="preserve">Jaeger, Werner, 1888-1961.</t>
  </si>
  <si>
    <t xml:space="preserve">Oxford : Clarendon Press, 1947]</t>
  </si>
  <si>
    <t xml:space="preserve">The Gifford lectures, 1936</t>
  </si>
  <si>
    <t xml:space="preserve">1996-11-11</t>
  </si>
  <si>
    <t xml:space="preserve">5573758788:eng</t>
  </si>
  <si>
    <t xml:space="preserve">1507961</t>
  </si>
  <si>
    <t xml:space="preserve">991003789829702656</t>
  </si>
  <si>
    <t xml:space="preserve">2257114530002656</t>
  </si>
  <si>
    <t xml:space="preserve">32285001074177</t>
  </si>
  <si>
    <t xml:space="preserve">893718074</t>
  </si>
  <si>
    <t xml:space="preserve">B1871 .G5</t>
  </si>
  <si>
    <t xml:space="preserve">0                      B  1871000G  5</t>
  </si>
  <si>
    <t xml:space="preserve">Index scolastico-cartésien / par Étienne Gilson.</t>
  </si>
  <si>
    <t xml:space="preserve">Paris : F. Alcan, 1913.</t>
  </si>
  <si>
    <t xml:space="preserve">1913</t>
  </si>
  <si>
    <t xml:space="preserve">1995-09-26</t>
  </si>
  <si>
    <t xml:space="preserve">1654154:fre</t>
  </si>
  <si>
    <t xml:space="preserve">8676094</t>
  </si>
  <si>
    <t xml:space="preserve">991000049009702656</t>
  </si>
  <si>
    <t xml:space="preserve">2272347160002656</t>
  </si>
  <si>
    <t xml:space="preserve">32285000212893</t>
  </si>
  <si>
    <t xml:space="preserve">893708048</t>
  </si>
  <si>
    <t xml:space="preserve">B1873 .H3</t>
  </si>
  <si>
    <t xml:space="preserve">0                      B  1873000H  3</t>
  </si>
  <si>
    <t xml:space="preserve">Descartes, his life and times / by Elizabeth S. Haldane.</t>
  </si>
  <si>
    <t xml:space="preserve">Haldane, Elizabeth Sanderson, 1862-1937.</t>
  </si>
  <si>
    <t xml:space="preserve">London : J. Murray, 1905.</t>
  </si>
  <si>
    <t xml:space="preserve">1905</t>
  </si>
  <si>
    <t xml:space="preserve">1996-03-30</t>
  </si>
  <si>
    <t xml:space="preserve">7629864:eng</t>
  </si>
  <si>
    <t xml:space="preserve">13834555</t>
  </si>
  <si>
    <t xml:space="preserve">991000881469702656</t>
  </si>
  <si>
    <t xml:space="preserve">2265213290002656</t>
  </si>
  <si>
    <t xml:space="preserve">32285000212919</t>
  </si>
  <si>
    <t xml:space="preserve">893407616</t>
  </si>
  <si>
    <t xml:space="preserve">B1873 .V7 1970</t>
  </si>
  <si>
    <t xml:space="preserve">0                      B  1873000V  7           1970</t>
  </si>
  <si>
    <t xml:space="preserve">René Descartes : a biography.</t>
  </si>
  <si>
    <t xml:space="preserve">Vrooman, Jack Rochford.</t>
  </si>
  <si>
    <t xml:space="preserve">New York : Putnam, [1970]</t>
  </si>
  <si>
    <t xml:space="preserve">1239056:eng</t>
  </si>
  <si>
    <t xml:space="preserve">70276</t>
  </si>
  <si>
    <t xml:space="preserve">991000339859702656</t>
  </si>
  <si>
    <t xml:space="preserve">2270314620002656</t>
  </si>
  <si>
    <t xml:space="preserve">32285000212950</t>
  </si>
  <si>
    <t xml:space="preserve">893865272</t>
  </si>
  <si>
    <t xml:space="preserve">B1875 .D58 1987</t>
  </si>
  <si>
    <t xml:space="preserve">0                      B  1875000D  58          1987</t>
  </si>
  <si>
    <t xml:space="preserve">In defense of cognitive realism : cutting the Cartesian knot / James Conroy Doig.</t>
  </si>
  <si>
    <t xml:space="preserve">Doig, James Conroy, 1929-</t>
  </si>
  <si>
    <t xml:space="preserve">Lanham, MD : University Press of America, c1987.</t>
  </si>
  <si>
    <t xml:space="preserve">2006-04-17</t>
  </si>
  <si>
    <t xml:space="preserve">836716845:eng</t>
  </si>
  <si>
    <t xml:space="preserve">15518880</t>
  </si>
  <si>
    <t xml:space="preserve">991004400409702656</t>
  </si>
  <si>
    <t xml:space="preserve">2264674870002656</t>
  </si>
  <si>
    <t xml:space="preserve">9780819163585</t>
  </si>
  <si>
    <t xml:space="preserve">32285005005482</t>
  </si>
  <si>
    <t xml:space="preserve">893593644</t>
  </si>
  <si>
    <t xml:space="preserve">B1875 .M3</t>
  </si>
  <si>
    <t xml:space="preserve">0                      B  1875000M  3</t>
  </si>
  <si>
    <t xml:space="preserve">Cartesianism / by Michael J. Mahony.</t>
  </si>
  <si>
    <t xml:space="preserve">Mahony, Michael J. (Michael Joseph), 1860-1936.</t>
  </si>
  <si>
    <t xml:space="preserve">New York : Fordham University, [c1925]</t>
  </si>
  <si>
    <t xml:space="preserve">1925</t>
  </si>
  <si>
    <t xml:space="preserve">3060486:eng</t>
  </si>
  <si>
    <t xml:space="preserve">10113893</t>
  </si>
  <si>
    <t xml:space="preserve">991000314989702656</t>
  </si>
  <si>
    <t xml:space="preserve">2257212000002656</t>
  </si>
  <si>
    <t xml:space="preserve">32285000213081</t>
  </si>
  <si>
    <t xml:space="preserve">893796554</t>
  </si>
  <si>
    <t xml:space="preserve">32285000213099</t>
  </si>
  <si>
    <t xml:space="preserve">893790405</t>
  </si>
  <si>
    <t xml:space="preserve">32285000213115</t>
  </si>
  <si>
    <t xml:space="preserve">893790406</t>
  </si>
  <si>
    <t xml:space="preserve">1994-04-05</t>
  </si>
  <si>
    <t xml:space="preserve">32285000213107</t>
  </si>
  <si>
    <t xml:space="preserve">893771540</t>
  </si>
  <si>
    <t xml:space="preserve">B1875 .M342</t>
  </si>
  <si>
    <t xml:space="preserve">0                      B  1875000M  342</t>
  </si>
  <si>
    <t xml:space="preserve">The dream of Descartes : together with some other essays / translated by Mabelle L. Andison.</t>
  </si>
  <si>
    <t xml:space="preserve">New York : Philosophical library, [c1944]</t>
  </si>
  <si>
    <t xml:space="preserve">1944</t>
  </si>
  <si>
    <t xml:space="preserve">2005-07-13</t>
  </si>
  <si>
    <t xml:space="preserve">2908456907:eng</t>
  </si>
  <si>
    <t xml:space="preserve">595048</t>
  </si>
  <si>
    <t xml:space="preserve">991003032159702656</t>
  </si>
  <si>
    <t xml:space="preserve">2272348660002656</t>
  </si>
  <si>
    <t xml:space="preserve">9780804603003</t>
  </si>
  <si>
    <t xml:space="preserve">32285000213123</t>
  </si>
  <si>
    <t xml:space="preserve">893592111</t>
  </si>
  <si>
    <t xml:space="preserve">B1875 .M345 1986</t>
  </si>
  <si>
    <t xml:space="preserve">0                      B  1875000M  345         1986</t>
  </si>
  <si>
    <t xml:space="preserve">Descartes's gambit / Peter J. Markie.</t>
  </si>
  <si>
    <t xml:space="preserve">Markie, Peter J., 1950-</t>
  </si>
  <si>
    <t xml:space="preserve">1995-08-29</t>
  </si>
  <si>
    <t xml:space="preserve">6911887:eng</t>
  </si>
  <si>
    <t xml:space="preserve">13359934</t>
  </si>
  <si>
    <t xml:space="preserve">991000817379702656</t>
  </si>
  <si>
    <t xml:space="preserve">2261499890002656</t>
  </si>
  <si>
    <t xml:space="preserve">9780801419065</t>
  </si>
  <si>
    <t xml:space="preserve">32285000213131</t>
  </si>
  <si>
    <t xml:space="preserve">893315261</t>
  </si>
  <si>
    <t xml:space="preserve">B1875 .R43 1975</t>
  </si>
  <si>
    <t xml:space="preserve">0                      B  1875000R  43          1975</t>
  </si>
  <si>
    <t xml:space="preserve">Descartes / Jonathan Rée.</t>
  </si>
  <si>
    <t xml:space="preserve">Rée, Jonathan, 1948-</t>
  </si>
  <si>
    <t xml:space="preserve">New York : Pica Press : distributed by Universe Books, 1975, c1974.</t>
  </si>
  <si>
    <t xml:space="preserve">1995-11-08</t>
  </si>
  <si>
    <t xml:space="preserve">1995-01-25</t>
  </si>
  <si>
    <t xml:space="preserve">1346260:eng</t>
  </si>
  <si>
    <t xml:space="preserve">1397713</t>
  </si>
  <si>
    <t xml:space="preserve">991003738079702656</t>
  </si>
  <si>
    <t xml:space="preserve">2260860090002656</t>
  </si>
  <si>
    <t xml:space="preserve">9780876637173</t>
  </si>
  <si>
    <t xml:space="preserve">32285001779221</t>
  </si>
  <si>
    <t xml:space="preserve">893611380</t>
  </si>
  <si>
    <t xml:space="preserve">B1875 .R44 1986</t>
  </si>
  <si>
    <t xml:space="preserve">0                      B  1875000R  44          1986</t>
  </si>
  <si>
    <t xml:space="preserve">Rene Descartes : the story of a soul / Herman R. Reith.</t>
  </si>
  <si>
    <t xml:space="preserve">Reith, Herman R.</t>
  </si>
  <si>
    <t xml:space="preserve">1997-03-17</t>
  </si>
  <si>
    <t xml:space="preserve">7241169:eng</t>
  </si>
  <si>
    <t xml:space="preserve">14167928</t>
  </si>
  <si>
    <t xml:space="preserve">991000915689702656</t>
  </si>
  <si>
    <t xml:space="preserve">2271201450002656</t>
  </si>
  <si>
    <t xml:space="preserve">9780819156709</t>
  </si>
  <si>
    <t xml:space="preserve">32285000213164</t>
  </si>
  <si>
    <t xml:space="preserve">893432422</t>
  </si>
  <si>
    <t xml:space="preserve">B1875 .S37</t>
  </si>
  <si>
    <t xml:space="preserve">0                      B  1875000S  37</t>
  </si>
  <si>
    <t xml:space="preserve">The imposition of method : a study of Descartes and Locke / by Peter A. Schouls.</t>
  </si>
  <si>
    <t xml:space="preserve">Schouls, Peter A.</t>
  </si>
  <si>
    <t xml:space="preserve">1999-02-04</t>
  </si>
  <si>
    <t xml:space="preserve">895441266:eng</t>
  </si>
  <si>
    <t xml:space="preserve">5492264</t>
  </si>
  <si>
    <t xml:space="preserve">991004838839702656</t>
  </si>
  <si>
    <t xml:space="preserve">2266927250002656</t>
  </si>
  <si>
    <t xml:space="preserve">9780198246138</t>
  </si>
  <si>
    <t xml:space="preserve">32285000213172</t>
  </si>
  <si>
    <t xml:space="preserve">893260233</t>
  </si>
  <si>
    <t xml:space="preserve">B1875 .S38</t>
  </si>
  <si>
    <t xml:space="preserve">0                      B  1875000S  38</t>
  </si>
  <si>
    <t xml:space="preserve">Bibliographia Cartesiana : a critical guide to the Descartes literature, 1880-1960.</t>
  </si>
  <si>
    <t xml:space="preserve">Sebba, Gregor.</t>
  </si>
  <si>
    <t xml:space="preserve">The Hague : M. Nijhoff, 1964.</t>
  </si>
  <si>
    <t xml:space="preserve">Archives internationales d'histoire des idées ; 5</t>
  </si>
  <si>
    <t xml:space="preserve">377176403:eng</t>
  </si>
  <si>
    <t xml:space="preserve">779735</t>
  </si>
  <si>
    <t xml:space="preserve">991003254949702656</t>
  </si>
  <si>
    <t xml:space="preserve">2265512530002656</t>
  </si>
  <si>
    <t xml:space="preserve">32285000213180</t>
  </si>
  <si>
    <t xml:space="preserve">893252200</t>
  </si>
  <si>
    <t xml:space="preserve">B1875 .S713 1961a</t>
  </si>
  <si>
    <t xml:space="preserve">0                      B  1875000S  713         1961a</t>
  </si>
  <si>
    <t xml:space="preserve">The principles of Descartes' philosophy / translated from the Latin with an introd. by Halbert Hains Britan.</t>
  </si>
  <si>
    <t xml:space="preserve">Spinoza, Benedictus de, 1632-1677.</t>
  </si>
  <si>
    <t xml:space="preserve">La Salle, Ill. : Open Court Pub. Co., 1961 [c1905]</t>
  </si>
  <si>
    <t xml:space="preserve">Open Court classics ; P59</t>
  </si>
  <si>
    <t xml:space="preserve">1993-10-31</t>
  </si>
  <si>
    <t xml:space="preserve">1472207:eng</t>
  </si>
  <si>
    <t xml:space="preserve">377132</t>
  </si>
  <si>
    <t xml:space="preserve">991002600319702656</t>
  </si>
  <si>
    <t xml:space="preserve">2260772380002656</t>
  </si>
  <si>
    <t xml:space="preserve">32285000213222</t>
  </si>
  <si>
    <t xml:space="preserve">893498305</t>
  </si>
  <si>
    <t xml:space="preserve">B1875 .V53 1998</t>
  </si>
  <si>
    <t xml:space="preserve">0                      B  1875000V  53          1998</t>
  </si>
  <si>
    <t xml:space="preserve">Cartesian truth / Thomas C. Vinci.</t>
  </si>
  <si>
    <t xml:space="preserve">Vinci, Thomas C., 1949-</t>
  </si>
  <si>
    <t xml:space="preserve">New York : Oxford University Press, 1998.</t>
  </si>
  <si>
    <t xml:space="preserve">1998-05-11</t>
  </si>
  <si>
    <t xml:space="preserve">35759695:eng</t>
  </si>
  <si>
    <t xml:space="preserve">35849119</t>
  </si>
  <si>
    <t xml:space="preserve">991002733139702656</t>
  </si>
  <si>
    <t xml:space="preserve">2261260480002656</t>
  </si>
  <si>
    <t xml:space="preserve">9780195113297</t>
  </si>
  <si>
    <t xml:space="preserve">32285003407375</t>
  </si>
  <si>
    <t xml:space="preserve">893233351</t>
  </si>
  <si>
    <t xml:space="preserve">B1878.K6 W53</t>
  </si>
  <si>
    <t xml:space="preserve">0                      B  1878000K  6                  W  53</t>
  </si>
  <si>
    <t xml:space="preserve">Induction and justification : an investigation of Cartesian procedure in the philosophy of knowledge / [by] Frederick L. Will.</t>
  </si>
  <si>
    <t xml:space="preserve">Will, Frederick L.</t>
  </si>
  <si>
    <t xml:space="preserve">Ithaca, [N.Y.] : Cornell University Press, [1974]</t>
  </si>
  <si>
    <t xml:space="preserve">200167631:eng</t>
  </si>
  <si>
    <t xml:space="preserve">980005</t>
  </si>
  <si>
    <t xml:space="preserve">991003444019702656</t>
  </si>
  <si>
    <t xml:space="preserve">2271344600002656</t>
  </si>
  <si>
    <t xml:space="preserve">9780801408236</t>
  </si>
  <si>
    <t xml:space="preserve">32285000213271</t>
  </si>
  <si>
    <t xml:space="preserve">893717651</t>
  </si>
  <si>
    <t xml:space="preserve">B1878.N3 C65</t>
  </si>
  <si>
    <t xml:space="preserve">0                      B  1878000N  3                  C  65</t>
  </si>
  <si>
    <t xml:space="preserve">Descartes' philosophy of nature / [by] James Collins.</t>
  </si>
  <si>
    <t xml:space="preserve">Oxford : Blackwell, 1971.</t>
  </si>
  <si>
    <t xml:space="preserve">American philosophical quarterly monograph series ; no. 5</t>
  </si>
  <si>
    <t xml:space="preserve">1997-03-25</t>
  </si>
  <si>
    <t xml:space="preserve">117938678:eng</t>
  </si>
  <si>
    <t xml:space="preserve">843036</t>
  </si>
  <si>
    <t xml:space="preserve">991003317489702656</t>
  </si>
  <si>
    <t xml:space="preserve">2265731750002656</t>
  </si>
  <si>
    <t xml:space="preserve">9780631114901</t>
  </si>
  <si>
    <t xml:space="preserve">32285000213297</t>
  </si>
  <si>
    <t xml:space="preserve">893323973</t>
  </si>
  <si>
    <t xml:space="preserve">B1878.S78 J82 1988</t>
  </si>
  <si>
    <t xml:space="preserve">0                      B  1878000S  78                 J  82          1988</t>
  </si>
  <si>
    <t xml:space="preserve">Subjectivity and representation in Descartes : the origins of modernity / Dalia Judovitz.</t>
  </si>
  <si>
    <t xml:space="preserve">Judovitz, Dalia.</t>
  </si>
  <si>
    <t xml:space="preserve">Cambridge studies in French</t>
  </si>
  <si>
    <t xml:space="preserve">2004-03-10</t>
  </si>
  <si>
    <t xml:space="preserve">1990-03-28</t>
  </si>
  <si>
    <t xml:space="preserve">836634509:eng</t>
  </si>
  <si>
    <t xml:space="preserve">16352830</t>
  </si>
  <si>
    <t xml:space="preserve">991001100739702656</t>
  </si>
  <si>
    <t xml:space="preserve">2270310570002656</t>
  </si>
  <si>
    <t xml:space="preserve">9780521326483</t>
  </si>
  <si>
    <t xml:space="preserve">32285000091206</t>
  </si>
  <si>
    <t xml:space="preserve">893522290</t>
  </si>
  <si>
    <t xml:space="preserve">B188 .C6 1957</t>
  </si>
  <si>
    <t xml:space="preserve">0                      B  0188000C  6           1957</t>
  </si>
  <si>
    <t xml:space="preserve">From religion to philosophy : a study in the origins of western speculation.</t>
  </si>
  <si>
    <t xml:space="preserve">New York : Harper, [1957]</t>
  </si>
  <si>
    <t xml:space="preserve">Harper torchbooks ; TB20</t>
  </si>
  <si>
    <t xml:space="preserve">2007-10-30</t>
  </si>
  <si>
    <t xml:space="preserve">1082051274:eng</t>
  </si>
  <si>
    <t xml:space="preserve">367552</t>
  </si>
  <si>
    <t xml:space="preserve">991002536249702656</t>
  </si>
  <si>
    <t xml:space="preserve">2264888790002656</t>
  </si>
  <si>
    <t xml:space="preserve">32285000141522</t>
  </si>
  <si>
    <t xml:space="preserve">893786266</t>
  </si>
  <si>
    <t xml:space="preserve">B188 .K5</t>
  </si>
  <si>
    <t xml:space="preserve">0                      B  0188000K  5</t>
  </si>
  <si>
    <t xml:space="preserve">The presocratic philosophers : a critical history with a selection of texts / by G. S. Kirk &amp; J. E. Raven.</t>
  </si>
  <si>
    <t xml:space="preserve">Kirk, G. S. (Geoffrey Stephen), 1921-2003.</t>
  </si>
  <si>
    <t xml:space="preserve">Cambridge [Eng.] : University Press, 1957.</t>
  </si>
  <si>
    <t xml:space="preserve">1993-05-11</t>
  </si>
  <si>
    <t xml:space="preserve">1391766:eng</t>
  </si>
  <si>
    <t xml:space="preserve">870519</t>
  </si>
  <si>
    <t xml:space="preserve">991003339809702656</t>
  </si>
  <si>
    <t xml:space="preserve">2261800210002656</t>
  </si>
  <si>
    <t xml:space="preserve">32285000141571</t>
  </si>
  <si>
    <t xml:space="preserve">893592430</t>
  </si>
  <si>
    <t xml:space="preserve">B188 .K5 1963</t>
  </si>
  <si>
    <t xml:space="preserve">0                      B  0188000K  5           1963</t>
  </si>
  <si>
    <t xml:space="preserve">The presocratic philosophers : a critical history with a selection of texts / by G. S. Kirk &amp; J .E. Raven.</t>
  </si>
  <si>
    <t xml:space="preserve">Cambridge [Eng.] : University Press, 1963.</t>
  </si>
  <si>
    <t xml:space="preserve">1990-02-15</t>
  </si>
  <si>
    <t xml:space="preserve">3222269</t>
  </si>
  <si>
    <t xml:space="preserve">991005370849702656</t>
  </si>
  <si>
    <t xml:space="preserve">2257253790002656</t>
  </si>
  <si>
    <t xml:space="preserve">9780521058919</t>
  </si>
  <si>
    <t xml:space="preserve">32285000053867</t>
  </si>
  <si>
    <t xml:space="preserve">893431383</t>
  </si>
  <si>
    <t xml:space="preserve">B188 .L36 1983</t>
  </si>
  <si>
    <t xml:space="preserve">0                      B  0188000L  36          1983</t>
  </si>
  <si>
    <t xml:space="preserve">Language and thought in early Greek philosophy / edited by Kevin Robb.</t>
  </si>
  <si>
    <t xml:space="preserve">La Salle, Ill. : Hegeler Institute, 1983.</t>
  </si>
  <si>
    <t xml:space="preserve">Monist library of philosophy</t>
  </si>
  <si>
    <t xml:space="preserve">2005-10-12</t>
  </si>
  <si>
    <t xml:space="preserve">1990-05-29</t>
  </si>
  <si>
    <t xml:space="preserve">3513650:eng</t>
  </si>
  <si>
    <t xml:space="preserve">10333739</t>
  </si>
  <si>
    <t xml:space="preserve">991000356389702656</t>
  </si>
  <si>
    <t xml:space="preserve">2260193530002656</t>
  </si>
  <si>
    <t xml:space="preserve">9780914417019</t>
  </si>
  <si>
    <t xml:space="preserve">32285000156306</t>
  </si>
  <si>
    <t xml:space="preserve">893620402</t>
  </si>
  <si>
    <t xml:space="preserve">B188 .W5</t>
  </si>
  <si>
    <t xml:space="preserve">0                      B  0188000W  5</t>
  </si>
  <si>
    <t xml:space="preserve">The Presocratics / edited by Philip Wheelwright.</t>
  </si>
  <si>
    <t xml:space="preserve">Wheelwright, Philip, 1901-1970 editor.</t>
  </si>
  <si>
    <t xml:space="preserve">New York : Odyssey Press, [1966]</t>
  </si>
  <si>
    <t xml:space="preserve">2008-01-09</t>
  </si>
  <si>
    <t xml:space="preserve">3855927006:eng</t>
  </si>
  <si>
    <t xml:space="preserve">759362</t>
  </si>
  <si>
    <t xml:space="preserve">991003234809702656</t>
  </si>
  <si>
    <t xml:space="preserve">2271794710002656</t>
  </si>
  <si>
    <t xml:space="preserve">32285000141647</t>
  </si>
  <si>
    <t xml:space="preserve">893416186</t>
  </si>
  <si>
    <t xml:space="preserve">B188 .W54</t>
  </si>
  <si>
    <t xml:space="preserve">0                      B  0188000W  54</t>
  </si>
  <si>
    <t xml:space="preserve">The worlds of the early Greek philosophers / James B. Wilbur, Harold J. Allen.</t>
  </si>
  <si>
    <t xml:space="preserve">Wilbur, James Benjamin editor.</t>
  </si>
  <si>
    <t xml:space="preserve">Buffalo, N.Y. : Prometheus Books, 1979.</t>
  </si>
  <si>
    <t xml:space="preserve">2006-09-26</t>
  </si>
  <si>
    <t xml:space="preserve">540285:eng</t>
  </si>
  <si>
    <t xml:space="preserve">5866443</t>
  </si>
  <si>
    <t xml:space="preserve">991004890349702656</t>
  </si>
  <si>
    <t xml:space="preserve">2263536080002656</t>
  </si>
  <si>
    <t xml:space="preserve">9780879751159</t>
  </si>
  <si>
    <t xml:space="preserve">32285005240576</t>
  </si>
  <si>
    <t xml:space="preserve">893532900</t>
  </si>
  <si>
    <t xml:space="preserve">B1897 .C6 1967b</t>
  </si>
  <si>
    <t xml:space="preserve">0                      B  1897000C  6           1967b</t>
  </si>
  <si>
    <t xml:space="preserve">The vision in God : Malebranche's Scholastic sources.</t>
  </si>
  <si>
    <t xml:space="preserve">Connell, Desmond.</t>
  </si>
  <si>
    <t xml:space="preserve">Louvain : Éditions Nauwelaerts; Paris, Béatrice- Nauwelaerts, 1967.</t>
  </si>
  <si>
    <t xml:space="preserve">1999-09-23</t>
  </si>
  <si>
    <t xml:space="preserve">290867070:eng</t>
  </si>
  <si>
    <t xml:space="preserve">463919</t>
  </si>
  <si>
    <t xml:space="preserve">991002818329702656</t>
  </si>
  <si>
    <t xml:space="preserve">2261192510002656</t>
  </si>
  <si>
    <t xml:space="preserve">32285000214055</t>
  </si>
  <si>
    <t xml:space="preserve">893627319</t>
  </si>
  <si>
    <t xml:space="preserve">B1897 .M35 1983</t>
  </si>
  <si>
    <t xml:space="preserve">0                      B  1897000M  35          1983</t>
  </si>
  <si>
    <t xml:space="preserve">Malebranche and British philosophy / Charles J. McCracken.</t>
  </si>
  <si>
    <t xml:space="preserve">McCracken, Charles J. (Charles James), 1933-</t>
  </si>
  <si>
    <t xml:space="preserve">Oxford [Oxfordshire] : Clarendon Press ; New York : Oxford University Press, 1983.</t>
  </si>
  <si>
    <t xml:space="preserve">2007-04-05</t>
  </si>
  <si>
    <t xml:space="preserve">416132:eng</t>
  </si>
  <si>
    <t xml:space="preserve">8552968</t>
  </si>
  <si>
    <t xml:space="preserve">991000015989702656</t>
  </si>
  <si>
    <t xml:space="preserve">2257516890002656</t>
  </si>
  <si>
    <t xml:space="preserve">9780198246640</t>
  </si>
  <si>
    <t xml:space="preserve">32285000214071</t>
  </si>
  <si>
    <t xml:space="preserve">893890326</t>
  </si>
  <si>
    <t xml:space="preserve">B1898.G6 M3413</t>
  </si>
  <si>
    <t xml:space="preserve">0                      B  1898000G  6                  M  3413</t>
  </si>
  <si>
    <t xml:space="preserve">Nicolas Malebranche, Dialogue between a Christian philosopher and a Chinese philosopher on the existence and nature of God / translation and introd. by Dominick A. Iorio.</t>
  </si>
  <si>
    <t xml:space="preserve">Malebranche, Nicolas, 1638-1715.</t>
  </si>
  <si>
    <t xml:space="preserve">Washington, D.C. : University Press of America, c1980.</t>
  </si>
  <si>
    <t xml:space="preserve">2003-04-23</t>
  </si>
  <si>
    <t xml:space="preserve">889253825:eng</t>
  </si>
  <si>
    <t xml:space="preserve">6091975</t>
  </si>
  <si>
    <t xml:space="preserve">991004929209702656</t>
  </si>
  <si>
    <t xml:space="preserve">2263811980002656</t>
  </si>
  <si>
    <t xml:space="preserve">9780819110275</t>
  </si>
  <si>
    <t xml:space="preserve">32285000214105</t>
  </si>
  <si>
    <t xml:space="preserve">893606601</t>
  </si>
  <si>
    <t xml:space="preserve">B1901.P43 W47</t>
  </si>
  <si>
    <t xml:space="preserve">0                      B  1901000P  43                 W  47</t>
  </si>
  <si>
    <t xml:space="preserve">L'Écriture et le reste : the Pensées of Pascal in the exegetical tradition of Port-Royal / David Wetsel ; with a foreword by Philippe Sellier.</t>
  </si>
  <si>
    <t xml:space="preserve">Wetsel, David, 1949-</t>
  </si>
  <si>
    <t xml:space="preserve">Columbus, Ohio : Ohio State University Press, c1981.</t>
  </si>
  <si>
    <t xml:space="preserve">2000-10-06</t>
  </si>
  <si>
    <t xml:space="preserve">1357028184:eng</t>
  </si>
  <si>
    <t xml:space="preserve">7577485</t>
  </si>
  <si>
    <t xml:space="preserve">991005136389702656</t>
  </si>
  <si>
    <t xml:space="preserve">2265569160002656</t>
  </si>
  <si>
    <t xml:space="preserve">9780814203248</t>
  </si>
  <si>
    <t xml:space="preserve">32285000214204</t>
  </si>
  <si>
    <t xml:space="preserve">893883391</t>
  </si>
  <si>
    <t xml:space="preserve">B1903 .B43 1968</t>
  </si>
  <si>
    <t xml:space="preserve">0                      B  1903000B  43          1968</t>
  </si>
  <si>
    <t xml:space="preserve">Pascal : the life of genius.</t>
  </si>
  <si>
    <t xml:space="preserve">Bishop, Morris, 1893-1973.</t>
  </si>
  <si>
    <t xml:space="preserve">New York : Greenwood Press, 1968 [c1964]</t>
  </si>
  <si>
    <t xml:space="preserve">1553712:eng</t>
  </si>
  <si>
    <t xml:space="preserve">435733</t>
  </si>
  <si>
    <t xml:space="preserve">991002768019702656</t>
  </si>
  <si>
    <t xml:space="preserve">2269276190002656</t>
  </si>
  <si>
    <t xml:space="preserve">32285000214246</t>
  </si>
  <si>
    <t xml:space="preserve">893434268</t>
  </si>
  <si>
    <t xml:space="preserve">B1903 .B69</t>
  </si>
  <si>
    <t xml:space="preserve">0                      B  1903000B  69</t>
  </si>
  <si>
    <t xml:space="preserve">Pascal / by J.H. Broome.</t>
  </si>
  <si>
    <t xml:space="preserve">Broome, J. H. (Jack Howard)</t>
  </si>
  <si>
    <t xml:space="preserve">New York : Barnes &amp; Noble, [1966, c1965]</t>
  </si>
  <si>
    <t xml:space="preserve">3769008485:eng</t>
  </si>
  <si>
    <t xml:space="preserve">400400</t>
  </si>
  <si>
    <t xml:space="preserve">991002687459702656</t>
  </si>
  <si>
    <t xml:space="preserve">2268751200002656</t>
  </si>
  <si>
    <t xml:space="preserve">32285000214253</t>
  </si>
  <si>
    <t xml:space="preserve">893704380</t>
  </si>
  <si>
    <t xml:space="preserve">B1903 .M63 1959a</t>
  </si>
  <si>
    <t xml:space="preserve">0                      B  1903000M  63          1959a</t>
  </si>
  <si>
    <t xml:space="preserve">Blaise Pascal : the life and work of a realist.</t>
  </si>
  <si>
    <t xml:space="preserve">Mortimer, Ernest.</t>
  </si>
  <si>
    <t xml:space="preserve">New York : Harper, [1959]</t>
  </si>
  <si>
    <t xml:space="preserve">1451854:eng</t>
  </si>
  <si>
    <t xml:space="preserve">595164</t>
  </si>
  <si>
    <t xml:space="preserve">991003032249702656</t>
  </si>
  <si>
    <t xml:space="preserve">2272297310002656</t>
  </si>
  <si>
    <t xml:space="preserve">32285000214303</t>
  </si>
  <si>
    <t xml:space="preserve">893805359</t>
  </si>
  <si>
    <t xml:space="preserve">B1903 .N46</t>
  </si>
  <si>
    <t xml:space="preserve">0                      B  1903000N  46</t>
  </si>
  <si>
    <t xml:space="preserve">Pascal, adversary and advocate / by Robert J. Nelson.</t>
  </si>
  <si>
    <t xml:space="preserve">Nelson, Robert James, 1925-</t>
  </si>
  <si>
    <t xml:space="preserve">2002-04-15</t>
  </si>
  <si>
    <t xml:space="preserve">430204:eng</t>
  </si>
  <si>
    <t xml:space="preserve">7574490</t>
  </si>
  <si>
    <t xml:space="preserve">991005133519702656</t>
  </si>
  <si>
    <t xml:space="preserve">2270884850002656</t>
  </si>
  <si>
    <t xml:space="preserve">9780674005778</t>
  </si>
  <si>
    <t xml:space="preserve">32285000167279</t>
  </si>
  <si>
    <t xml:space="preserve">893905248</t>
  </si>
  <si>
    <t xml:space="preserve">B1925.E5 G69</t>
  </si>
  <si>
    <t xml:space="preserve">0                      B  1925000E  5                  G  69</t>
  </si>
  <si>
    <t xml:space="preserve">From Montesquieu to Laclos : studies on the French Enlightenment / Ronald Grimsley.</t>
  </si>
  <si>
    <t xml:space="preserve">Grimsley, Ronald.</t>
  </si>
  <si>
    <t xml:space="preserve">Genève : Droz, 1974.</t>
  </si>
  <si>
    <t xml:space="preserve">sz </t>
  </si>
  <si>
    <t xml:space="preserve">Histoire des idées et critique littéraire ; v. 141</t>
  </si>
  <si>
    <t xml:space="preserve">1995-09-29</t>
  </si>
  <si>
    <t xml:space="preserve">366249676:eng</t>
  </si>
  <si>
    <t xml:space="preserve">3090584</t>
  </si>
  <si>
    <t xml:space="preserve">991004343009702656</t>
  </si>
  <si>
    <t xml:space="preserve">2260401070002656</t>
  </si>
  <si>
    <t xml:space="preserve">32285000214428</t>
  </si>
  <si>
    <t xml:space="preserve">893700113</t>
  </si>
  <si>
    <t xml:space="preserve">B1936 .G7 1963</t>
  </si>
  <si>
    <t xml:space="preserve">0                      B  1936000G  7           1963</t>
  </si>
  <si>
    <t xml:space="preserve">Jean d'Alembert, 1717-83.</t>
  </si>
  <si>
    <t xml:space="preserve">Oxford : Clarendon Press, 1963.</t>
  </si>
  <si>
    <t xml:space="preserve">2005-07-05</t>
  </si>
  <si>
    <t xml:space="preserve">2130783:eng</t>
  </si>
  <si>
    <t xml:space="preserve">1180717</t>
  </si>
  <si>
    <t xml:space="preserve">991003602349702656</t>
  </si>
  <si>
    <t xml:space="preserve">2256278530002656</t>
  </si>
  <si>
    <t xml:space="preserve">32285000214477</t>
  </si>
  <si>
    <t xml:space="preserve">893435167</t>
  </si>
  <si>
    <t xml:space="preserve">B20 .W3 1962</t>
  </si>
  <si>
    <t xml:space="preserve">0                      B  0020000W  3           1962</t>
  </si>
  <si>
    <t xml:space="preserve">Intentionality, minds, and perception : discussions on contemporary philosophy, a symposium / compiled with an introd. by Hector- Neri Castañeda.</t>
  </si>
  <si>
    <t xml:space="preserve">Wayne State University Symposium in the Philosophy of Mind (1962)</t>
  </si>
  <si>
    <t xml:space="preserve">Detroit : Wayne State University Press, 1967 [c1966]</t>
  </si>
  <si>
    <t xml:space="preserve">1990-04-09</t>
  </si>
  <si>
    <t xml:space="preserve">364005748:eng</t>
  </si>
  <si>
    <t xml:space="preserve">263269</t>
  </si>
  <si>
    <t xml:space="preserve">991002067689702656</t>
  </si>
  <si>
    <t xml:space="preserve">2268644460002656</t>
  </si>
  <si>
    <t xml:space="preserve">32285000066679</t>
  </si>
  <si>
    <t xml:space="preserve">893244724</t>
  </si>
  <si>
    <t xml:space="preserve">B2016 .C68 1966</t>
  </si>
  <si>
    <t xml:space="preserve">0                      B  2016000C  68          1966</t>
  </si>
  <si>
    <t xml:space="preserve">Diderot, the embattled philosopher / [by] Lester G. Crocker.</t>
  </si>
  <si>
    <t xml:space="preserve">New York : Free Press, [1966]</t>
  </si>
  <si>
    <t xml:space="preserve">1996-09-20</t>
  </si>
  <si>
    <t xml:space="preserve">3856203603:eng</t>
  </si>
  <si>
    <t xml:space="preserve">872368</t>
  </si>
  <si>
    <t xml:space="preserve">991003341219702656</t>
  </si>
  <si>
    <t xml:space="preserve">2258473270002656</t>
  </si>
  <si>
    <t xml:space="preserve">32285000214568</t>
  </si>
  <si>
    <t xml:space="preserve">893787242</t>
  </si>
  <si>
    <t xml:space="preserve">B2056 .W5 1968</t>
  </si>
  <si>
    <t xml:space="preserve">0                      B  2056000W  5           1968</t>
  </si>
  <si>
    <t xml:space="preserve">Baron d'Holbach : a prelude to the French Revolution / by W. H. Wickwar.</t>
  </si>
  <si>
    <t xml:space="preserve">Wickwar, W. Hardy (William Hardy), 1903-1999.</t>
  </si>
  <si>
    <t xml:space="preserve">New York : A. M. Kelley, 1968.</t>
  </si>
  <si>
    <t xml:space="preserve">Reprints of economic classics</t>
  </si>
  <si>
    <t xml:space="preserve">1995-05-08</t>
  </si>
  <si>
    <t xml:space="preserve">1571729:eng</t>
  </si>
  <si>
    <t xml:space="preserve">442426</t>
  </si>
  <si>
    <t xml:space="preserve">991002788209702656</t>
  </si>
  <si>
    <t xml:space="preserve">2256031820002656</t>
  </si>
  <si>
    <t xml:space="preserve">32285000214626</t>
  </si>
  <si>
    <t xml:space="preserve">893780222</t>
  </si>
  <si>
    <t xml:space="preserve">B208.Z7 S4 1962</t>
  </si>
  <si>
    <t xml:space="preserve">0                      B  0208000Z  7                  S  4           1962</t>
  </si>
  <si>
    <t xml:space="preserve">The apeiron of Anaximander : a study in the origin and function of metaphysical ideas.</t>
  </si>
  <si>
    <t xml:space="preserve">Seligman, Paul.</t>
  </si>
  <si>
    <t xml:space="preserve">[London] : University of London, Althone Press, 1962.</t>
  </si>
  <si>
    <t xml:space="preserve">2001-04-14</t>
  </si>
  <si>
    <t xml:space="preserve">1990-05-09</t>
  </si>
  <si>
    <t xml:space="preserve">500594:eng</t>
  </si>
  <si>
    <t xml:space="preserve">375358</t>
  </si>
  <si>
    <t xml:space="preserve">991002587959702656</t>
  </si>
  <si>
    <t xml:space="preserve">2264024400002656</t>
  </si>
  <si>
    <t xml:space="preserve">32285000141753</t>
  </si>
  <si>
    <t xml:space="preserve">893704245</t>
  </si>
  <si>
    <t xml:space="preserve">B21 .B57</t>
  </si>
  <si>
    <t xml:space="preserve">0                      B  0021000B  57</t>
  </si>
  <si>
    <t xml:space="preserve">Meaning and existence : introductory readings in philosophy / edited by William T. Blackstone.</t>
  </si>
  <si>
    <t xml:space="preserve">Blackstone, William T. compiler.</t>
  </si>
  <si>
    <t xml:space="preserve">New York : Holt, Rinehart and Winston, [1971]</t>
  </si>
  <si>
    <t xml:space="preserve">1992-09-08</t>
  </si>
  <si>
    <t xml:space="preserve">1296737:eng</t>
  </si>
  <si>
    <t xml:space="preserve">139055</t>
  </si>
  <si>
    <t xml:space="preserve">991000801449702656</t>
  </si>
  <si>
    <t xml:space="preserve">2261009090002656</t>
  </si>
  <si>
    <t xml:space="preserve">9780030832543</t>
  </si>
  <si>
    <t xml:space="preserve">32285000066703</t>
  </si>
  <si>
    <t xml:space="preserve">893803081</t>
  </si>
  <si>
    <t xml:space="preserve">B21 .C78</t>
  </si>
  <si>
    <t xml:space="preserve">0                      B  0021000C  78</t>
  </si>
  <si>
    <t xml:space="preserve">The world's great thinkers / ed. by Saxe Commins &amp; Robert N. Linscott.</t>
  </si>
  <si>
    <t xml:space="preserve">Commins, Saxe editor.</t>
  </si>
  <si>
    <t xml:space="preserve">New York : Random House, [1947]</t>
  </si>
  <si>
    <t xml:space="preserve">2005-01-19</t>
  </si>
  <si>
    <t xml:space="preserve">1990-04-10</t>
  </si>
  <si>
    <t xml:space="preserve">8961568012:eng</t>
  </si>
  <si>
    <t xml:space="preserve">964348</t>
  </si>
  <si>
    <t xml:space="preserve">991003424429702656</t>
  </si>
  <si>
    <t xml:space="preserve">2261802050002656</t>
  </si>
  <si>
    <t xml:space="preserve">32285000066786</t>
  </si>
  <si>
    <t xml:space="preserve">893410265</t>
  </si>
  <si>
    <t xml:space="preserve">32285000066760</t>
  </si>
  <si>
    <t xml:space="preserve">893428771</t>
  </si>
  <si>
    <t xml:space="preserve">2004-06-23</t>
  </si>
  <si>
    <t xml:space="preserve">32285000066752</t>
  </si>
  <si>
    <t xml:space="preserve">893416362</t>
  </si>
  <si>
    <t xml:space="preserve">32285000066778</t>
  </si>
  <si>
    <t xml:space="preserve">893422558</t>
  </si>
  <si>
    <t xml:space="preserve">B21 .O5 1959</t>
  </si>
  <si>
    <t xml:space="preserve">0                      B  0021000O  5           1959</t>
  </si>
  <si>
    <t xml:space="preserve">An Etienne Gilson tribute / presented by North American students with a response by Etienne Gilson.</t>
  </si>
  <si>
    <t xml:space="preserve">O'Neil, Charles J., 1908- editor.</t>
  </si>
  <si>
    <t xml:space="preserve">Milwaukee : Marquette Univ. Press, [1959]</t>
  </si>
  <si>
    <t xml:space="preserve">2005-11-18</t>
  </si>
  <si>
    <t xml:space="preserve">181165122:eng</t>
  </si>
  <si>
    <t xml:space="preserve">325547</t>
  </si>
  <si>
    <t xml:space="preserve">991002356549702656</t>
  </si>
  <si>
    <t xml:space="preserve">2269851280002656</t>
  </si>
  <si>
    <t xml:space="preserve">32285000066943</t>
  </si>
  <si>
    <t xml:space="preserve">893603488</t>
  </si>
  <si>
    <t xml:space="preserve">B2136 .W5</t>
  </si>
  <si>
    <t xml:space="preserve">0                      B  2136000W  5</t>
  </si>
  <si>
    <t xml:space="preserve">Jean-Jacques Rousseau : conscience of an era.</t>
  </si>
  <si>
    <t xml:space="preserve">Winwar, Frances, 1900-1985.</t>
  </si>
  <si>
    <t xml:space="preserve">New York : Random House, [1961]</t>
  </si>
  <si>
    <t xml:space="preserve">2004-02-22</t>
  </si>
  <si>
    <t xml:space="preserve">3855425386:eng</t>
  </si>
  <si>
    <t xml:space="preserve">372275</t>
  </si>
  <si>
    <t xml:space="preserve">991002564009702656</t>
  </si>
  <si>
    <t xml:space="preserve">2261822550002656</t>
  </si>
  <si>
    <t xml:space="preserve">32285000214642</t>
  </si>
  <si>
    <t xml:space="preserve">893335451</t>
  </si>
  <si>
    <t xml:space="preserve">B2136.C4 R6</t>
  </si>
  <si>
    <t xml:space="preserve">0                      B  2136000C  4                  R  6</t>
  </si>
  <si>
    <t xml:space="preserve">Rousseau--totalitarian or liberal? / by John W. Chapman.</t>
  </si>
  <si>
    <t xml:space="preserve">Chapman, John W. (John William), 1923-2008.</t>
  </si>
  <si>
    <t xml:space="preserve">New York : AMS Press, [1968]</t>
  </si>
  <si>
    <t xml:space="preserve">Columbia studies in the social sciences ; no. 589</t>
  </si>
  <si>
    <t xml:space="preserve">319273465:eng</t>
  </si>
  <si>
    <t xml:space="preserve">248083</t>
  </si>
  <si>
    <t xml:space="preserve">991001928809702656</t>
  </si>
  <si>
    <t xml:space="preserve">2257762480002656</t>
  </si>
  <si>
    <t xml:space="preserve">32285000214634</t>
  </si>
  <si>
    <t xml:space="preserve">893779209</t>
  </si>
  <si>
    <t xml:space="preserve">B2137 .C28 1973b</t>
  </si>
  <si>
    <t xml:space="preserve">0                      B  2137000C  28          1973b</t>
  </si>
  <si>
    <t xml:space="preserve">The social thought of Rousseau and Burke : a comparative study / [by] David Cameron.</t>
  </si>
  <si>
    <t xml:space="preserve">Cameron, David R.</t>
  </si>
  <si>
    <t xml:space="preserve">Toronto : University of Toronto Press, 1973.</t>
  </si>
  <si>
    <t xml:space="preserve">1733428:eng</t>
  </si>
  <si>
    <t xml:space="preserve">831204</t>
  </si>
  <si>
    <t xml:space="preserve">991003307649702656</t>
  </si>
  <si>
    <t xml:space="preserve">2271958270002656</t>
  </si>
  <si>
    <t xml:space="preserve">9780802019929</t>
  </si>
  <si>
    <t xml:space="preserve">32285000214667</t>
  </si>
  <si>
    <t xml:space="preserve">893531066</t>
  </si>
  <si>
    <t xml:space="preserve">B2137 .W7 1963</t>
  </si>
  <si>
    <t xml:space="preserve">0                      B  2137000W  7           1963</t>
  </si>
  <si>
    <t xml:space="preserve">The meaning of Rousseau.</t>
  </si>
  <si>
    <t xml:space="preserve">Wright, Ernest Hunter, 1882-1968.</t>
  </si>
  <si>
    <t xml:space="preserve">New York : Russell &amp; Russell, 1963.</t>
  </si>
  <si>
    <t xml:space="preserve">2008-04-10</t>
  </si>
  <si>
    <t xml:space="preserve">1358253:eng</t>
  </si>
  <si>
    <t xml:space="preserve">306285</t>
  </si>
  <si>
    <t xml:space="preserve">991002264179702656</t>
  </si>
  <si>
    <t xml:space="preserve">2266016640002656</t>
  </si>
  <si>
    <t xml:space="preserve">32285000214725</t>
  </si>
  <si>
    <t xml:space="preserve">893615908</t>
  </si>
  <si>
    <t xml:space="preserve">B218.Z7 L35</t>
  </si>
  <si>
    <t xml:space="preserve">0                      B  0218000Z  7                  L  35</t>
  </si>
  <si>
    <t xml:space="preserve">Empedocles : [a philosophical investigation] / Helle Lambridis ; with a prefatory essay, Empedocles and T. S. Eliot, by Marshall McLuhan.</t>
  </si>
  <si>
    <t xml:space="preserve">Lambridis, Helle.</t>
  </si>
  <si>
    <t xml:space="preserve">University, Ala. : University of Alabama Press, c1976.</t>
  </si>
  <si>
    <t xml:space="preserve">alu</t>
  </si>
  <si>
    <t xml:space="preserve">Studies in the humanities ; no. 15 : Philosophy</t>
  </si>
  <si>
    <t xml:space="preserve">1999-11-19</t>
  </si>
  <si>
    <t xml:space="preserve">5206886:eng</t>
  </si>
  <si>
    <t xml:space="preserve">2509731</t>
  </si>
  <si>
    <t xml:space="preserve">991004145809702656</t>
  </si>
  <si>
    <t xml:space="preserve">2262439510002656</t>
  </si>
  <si>
    <t xml:space="preserve">9780817366155</t>
  </si>
  <si>
    <t xml:space="preserve">32285000141787</t>
  </si>
  <si>
    <t xml:space="preserve">893788333</t>
  </si>
  <si>
    <t xml:space="preserve">B2185 .B6</t>
  </si>
  <si>
    <t xml:space="preserve">0                      B  2185000B  6</t>
  </si>
  <si>
    <t xml:space="preserve">French philosophies of the romantic period / by George Boas.</t>
  </si>
  <si>
    <t xml:space="preserve">Baltimore : The Johns Hopkins Press, 1925.</t>
  </si>
  <si>
    <t xml:space="preserve">2007-02-03</t>
  </si>
  <si>
    <t xml:space="preserve">62025298:eng</t>
  </si>
  <si>
    <t xml:space="preserve">1495130</t>
  </si>
  <si>
    <t xml:space="preserve">991003781369702656</t>
  </si>
  <si>
    <t xml:space="preserve">2272613900002656</t>
  </si>
  <si>
    <t xml:space="preserve">32285000214790</t>
  </si>
  <si>
    <t xml:space="preserve">893705628</t>
  </si>
  <si>
    <t xml:space="preserve">B2185 .R23 1989</t>
  </si>
  <si>
    <t xml:space="preserve">0                      B  2185000R  23          1989</t>
  </si>
  <si>
    <t xml:space="preserve">French modern : norms and forms of the social environment / Paul Rabinow.</t>
  </si>
  <si>
    <t xml:space="preserve">Rabinow, Paul.</t>
  </si>
  <si>
    <t xml:space="preserve">Cambridge, Mass. : MIT Press, c1989.</t>
  </si>
  <si>
    <t xml:space="preserve">1997-10-07</t>
  </si>
  <si>
    <t xml:space="preserve">1990-04-07</t>
  </si>
  <si>
    <t xml:space="preserve">802814837:eng</t>
  </si>
  <si>
    <t xml:space="preserve">18715124</t>
  </si>
  <si>
    <t xml:space="preserve">991001384459702656</t>
  </si>
  <si>
    <t xml:space="preserve">2262994440002656</t>
  </si>
  <si>
    <t xml:space="preserve">9780262181341</t>
  </si>
  <si>
    <t xml:space="preserve">32285000094614</t>
  </si>
  <si>
    <t xml:space="preserve">893791411</t>
  </si>
  <si>
    <t xml:space="preserve">B2223.E5 F42</t>
  </si>
  <si>
    <t xml:space="preserve">0                      B  2223000E  5                  F  42</t>
  </si>
  <si>
    <t xml:space="preserve">Introduction to positive philosophy / edited, with introd. and rev. translation, by Frederick Ferré.</t>
  </si>
  <si>
    <t xml:space="preserve">Comte, Auguste, 1798-1857.</t>
  </si>
  <si>
    <t xml:space="preserve">Indianapolis : Bobbs-Merrill, [1970]</t>
  </si>
  <si>
    <t xml:space="preserve">The Library of liberal arts</t>
  </si>
  <si>
    <t xml:space="preserve">2008-10-12</t>
  </si>
  <si>
    <t xml:space="preserve">8911000555:eng</t>
  </si>
  <si>
    <t xml:space="preserve">75020</t>
  </si>
  <si>
    <t xml:space="preserve">991000425669702656</t>
  </si>
  <si>
    <t xml:space="preserve">2256080330002656</t>
  </si>
  <si>
    <t xml:space="preserve">32285000192780</t>
  </si>
  <si>
    <t xml:space="preserve">893425688</t>
  </si>
  <si>
    <t xml:space="preserve">B2223.E5 M3 1880</t>
  </si>
  <si>
    <t xml:space="preserve">0                      B  2223000E  5                  M  3           1880</t>
  </si>
  <si>
    <t xml:space="preserve">The positive philosophy of Auguste Comte / Tr. by Harriet Martineau.</t>
  </si>
  <si>
    <t xml:space="preserve">Chicago ; New York [etc.] : Belford, Clarke &amp; co., [188-]</t>
  </si>
  <si>
    <t xml:space="preserve">1880</t>
  </si>
  <si>
    <t xml:space="preserve">1992-05-27</t>
  </si>
  <si>
    <t xml:space="preserve">5453765703:eng</t>
  </si>
  <si>
    <t xml:space="preserve">4456071</t>
  </si>
  <si>
    <t xml:space="preserve">991004640509702656</t>
  </si>
  <si>
    <t xml:space="preserve">2271462970002656</t>
  </si>
  <si>
    <t xml:space="preserve">32285000192806</t>
  </si>
  <si>
    <t xml:space="preserve">893241676</t>
  </si>
  <si>
    <t xml:space="preserve">B2228.E5 B7 1957</t>
  </si>
  <si>
    <t xml:space="preserve">0                      B  2228000E  5                  B  7           1957</t>
  </si>
  <si>
    <t xml:space="preserve">A general view of positivism.</t>
  </si>
  <si>
    <t xml:space="preserve">New York : R. Speller, 1957.</t>
  </si>
  <si>
    <t xml:space="preserve">Official centenary ed. of the International Auguste Comte Centenary Committee. [Translated from the French by J. H. Bridges]</t>
  </si>
  <si>
    <t xml:space="preserve">4160553431:eng</t>
  </si>
  <si>
    <t xml:space="preserve">964591</t>
  </si>
  <si>
    <t xml:space="preserve">991003425849702656</t>
  </si>
  <si>
    <t xml:space="preserve">2261698580002656</t>
  </si>
  <si>
    <t xml:space="preserve">32285000192814</t>
  </si>
  <si>
    <t xml:space="preserve">893445653</t>
  </si>
  <si>
    <t xml:space="preserve">32285000192822</t>
  </si>
  <si>
    <t xml:space="preserve">893422560</t>
  </si>
  <si>
    <t xml:space="preserve">B223 .H4314</t>
  </si>
  <si>
    <t xml:space="preserve">0                      B  0223000H  4314</t>
  </si>
  <si>
    <t xml:space="preserve">Heraclitean fragments : a companion volume to the Heidegger/Fink seminar on Heraclitus / edited by John Sallis and Kenneth Maly.</t>
  </si>
  <si>
    <t xml:space="preserve">University : University of Alabama Press, c1980.</t>
  </si>
  <si>
    <t xml:space="preserve">1999-08-09</t>
  </si>
  <si>
    <t xml:space="preserve">1992-01-28</t>
  </si>
  <si>
    <t xml:space="preserve">481620:eng</t>
  </si>
  <si>
    <t xml:space="preserve">5170849</t>
  </si>
  <si>
    <t xml:space="preserve">991004790199702656</t>
  </si>
  <si>
    <t xml:space="preserve">2256973980002656</t>
  </si>
  <si>
    <t xml:space="preserve">9780817300272</t>
  </si>
  <si>
    <t xml:space="preserve">32285000866813</t>
  </si>
  <si>
    <t xml:space="preserve">893700668</t>
  </si>
  <si>
    <t xml:space="preserve">B223 .J63 1984</t>
  </si>
  <si>
    <t xml:space="preserve">0                      B  0223000J  63          1984</t>
  </si>
  <si>
    <t xml:space="preserve">Heraclitus' [Peri Physeos] / Henry W. Johnstone, Jr.</t>
  </si>
  <si>
    <t xml:space="preserve">Bryn Mawr, Pa. : Bryn Mawr College Department of Greek, c1984.</t>
  </si>
  <si>
    <t xml:space="preserve">gre</t>
  </si>
  <si>
    <t xml:space="preserve">1998-05-20</t>
  </si>
  <si>
    <t xml:space="preserve">4244495:gre</t>
  </si>
  <si>
    <t xml:space="preserve">11541397</t>
  </si>
  <si>
    <t xml:space="preserve">991000552189702656</t>
  </si>
  <si>
    <t xml:space="preserve">2255049820002656</t>
  </si>
  <si>
    <t xml:space="preserve">32285003410783</t>
  </si>
  <si>
    <t xml:space="preserve">893871777</t>
  </si>
  <si>
    <t xml:space="preserve">B223 .W5</t>
  </si>
  <si>
    <t xml:space="preserve">0                      B  0223000W  5</t>
  </si>
  <si>
    <t xml:space="preserve">Heraclitus.</t>
  </si>
  <si>
    <t xml:space="preserve">Wheelwright, Philip, 1901-1970.</t>
  </si>
  <si>
    <t xml:space="preserve">Princeton, N.J. : Princeton University Press, 1959.</t>
  </si>
  <si>
    <t xml:space="preserve">2006-02-11</t>
  </si>
  <si>
    <t xml:space="preserve">1990-02-13</t>
  </si>
  <si>
    <t xml:space="preserve">4921460437:eng</t>
  </si>
  <si>
    <t xml:space="preserve">929220</t>
  </si>
  <si>
    <t xml:space="preserve">991003391169702656</t>
  </si>
  <si>
    <t xml:space="preserve">2267905700002656</t>
  </si>
  <si>
    <t xml:space="preserve">32285000050061</t>
  </si>
  <si>
    <t xml:space="preserve">893330265</t>
  </si>
  <si>
    <t xml:space="preserve">B2424.D5 P68</t>
  </si>
  <si>
    <t xml:space="preserve">0                      B  2424000D  5                  P  68</t>
  </si>
  <si>
    <t xml:space="preserve">Existential Marxism in postwar France : from Sartre to Althusser / Mark Poster.</t>
  </si>
  <si>
    <t xml:space="preserve">Poster, Mark.</t>
  </si>
  <si>
    <t xml:space="preserve">Princeton, N.J. : Princeton University Press, c1975.</t>
  </si>
  <si>
    <t xml:space="preserve">1992-04-10</t>
  </si>
  <si>
    <t xml:space="preserve">2383318:eng</t>
  </si>
  <si>
    <t xml:space="preserve">1527419</t>
  </si>
  <si>
    <t xml:space="preserve">991003800859702656</t>
  </si>
  <si>
    <t xml:space="preserve">2258010880002656</t>
  </si>
  <si>
    <t xml:space="preserve">9780691072128</t>
  </si>
  <si>
    <t xml:space="preserve">32285000192939</t>
  </si>
  <si>
    <t xml:space="preserve">893775211</t>
  </si>
  <si>
    <t xml:space="preserve">B243 .I2613 1989</t>
  </si>
  <si>
    <t xml:space="preserve">0                      B  0243000I  2613        1989</t>
  </si>
  <si>
    <t xml:space="preserve">On the Pythagorean life / Iamblichus ; translated, with notes and introduction by Gillian Clark.</t>
  </si>
  <si>
    <t xml:space="preserve">Iamblichus, approximately 250-approximately 330.</t>
  </si>
  <si>
    <t xml:space="preserve">Liverpool : Liverpool University Press, 1989.</t>
  </si>
  <si>
    <t xml:space="preserve">Translated text for historians. Greek series ; v. 8</t>
  </si>
  <si>
    <t xml:space="preserve">1994-01-06</t>
  </si>
  <si>
    <t xml:space="preserve">3901272762:eng</t>
  </si>
  <si>
    <t xml:space="preserve">20564515</t>
  </si>
  <si>
    <t xml:space="preserve">991001589689702656</t>
  </si>
  <si>
    <t xml:space="preserve">2261656130002656</t>
  </si>
  <si>
    <t xml:space="preserve">9780853233268</t>
  </si>
  <si>
    <t xml:space="preserve">32285001830073</t>
  </si>
  <si>
    <t xml:space="preserve">893238193</t>
  </si>
  <si>
    <t xml:space="preserve">B2430 .C63 A83 V2</t>
  </si>
  <si>
    <t xml:space="preserve">0                      B  2430000C  63                 A  83                 V  2</t>
  </si>
  <si>
    <t xml:space="preserve">In the evening of my thought / by Georges Clemenceau; translated by Charles Miner Thompson and John Heard, jr.</t>
  </si>
  <si>
    <t xml:space="preserve">Clemenceau, Georges, 1841-1929.</t>
  </si>
  <si>
    <t xml:space="preserve">Boston ; New York : Houghton Mifflin company, 1929.</t>
  </si>
  <si>
    <t xml:space="preserve">1994-08-28</t>
  </si>
  <si>
    <t xml:space="preserve">1350905:eng</t>
  </si>
  <si>
    <t xml:space="preserve">254957</t>
  </si>
  <si>
    <t xml:space="preserve">991001989549702656</t>
  </si>
  <si>
    <t xml:space="preserve">2269323060002656</t>
  </si>
  <si>
    <t xml:space="preserve">32285000193325</t>
  </si>
  <si>
    <t xml:space="preserve">893516760</t>
  </si>
  <si>
    <t xml:space="preserve">B2430 .M24 P7 V2</t>
  </si>
  <si>
    <t xml:space="preserve">0                      B  2430000M  24                 P  7                  V  2</t>
  </si>
  <si>
    <t xml:space="preserve">Psychologie réflexive.</t>
  </si>
  <si>
    <t xml:space="preserve">Marc, André, 1892-1961.</t>
  </si>
  <si>
    <t xml:space="preserve">Paris : Desclée de Brouwer, 1948-49.</t>
  </si>
  <si>
    <t xml:space="preserve">Museum Lessianum. Section philosophique ; 29</t>
  </si>
  <si>
    <t xml:space="preserve">2003-03-11</t>
  </si>
  <si>
    <t xml:space="preserve">1990-06-27</t>
  </si>
  <si>
    <t xml:space="preserve">3373112431:fre</t>
  </si>
  <si>
    <t xml:space="preserve">2357413</t>
  </si>
  <si>
    <t xml:space="preserve">991004095049702656</t>
  </si>
  <si>
    <t xml:space="preserve">2268319110002656</t>
  </si>
  <si>
    <t xml:space="preserve">32285000193572</t>
  </si>
  <si>
    <t xml:space="preserve">893900787</t>
  </si>
  <si>
    <t xml:space="preserve">B2430 .M253 E8 V2</t>
  </si>
  <si>
    <t xml:space="preserve">0                      B  2430000M  253                E  8                  V  2</t>
  </si>
  <si>
    <t xml:space="preserve">Être et avoir / Gabriel Marcel.</t>
  </si>
  <si>
    <t xml:space="preserve">Marcel, Gabriel, 1889-1973.</t>
  </si>
  <si>
    <t xml:space="preserve">Paris : Aubier, 1968.</t>
  </si>
  <si>
    <t xml:space="preserve">Éditions Montaigne</t>
  </si>
  <si>
    <t xml:space="preserve">2009-01-09</t>
  </si>
  <si>
    <t xml:space="preserve">4433118:fre</t>
  </si>
  <si>
    <t xml:space="preserve">2392087</t>
  </si>
  <si>
    <t xml:space="preserve">991004109469702656</t>
  </si>
  <si>
    <t xml:space="preserve">2268859390002656</t>
  </si>
  <si>
    <t xml:space="preserve">32285000208073</t>
  </si>
  <si>
    <t xml:space="preserve">893800590</t>
  </si>
  <si>
    <t xml:space="preserve">B2430 .T374T43 1970</t>
  </si>
  <si>
    <t xml:space="preserve">0                      B  2430000T  374                T  43          1970</t>
  </si>
  <si>
    <t xml:space="preserve">Teilhard reassessed : a symposium of critical studies in the thought of Père Teilhard de Chardin attempting an evaluation of his place in contemporary Christian thinking / edited by Anthony Hanson.</t>
  </si>
  <si>
    <t xml:space="preserve">London : Darton, Longman &amp; Todd, 1970.</t>
  </si>
  <si>
    <t xml:space="preserve">2001-12-20</t>
  </si>
  <si>
    <t xml:space="preserve">1990-12-07</t>
  </si>
  <si>
    <t xml:space="preserve">836662525:eng</t>
  </si>
  <si>
    <t xml:space="preserve">104418</t>
  </si>
  <si>
    <t xml:space="preserve">991000626479702656</t>
  </si>
  <si>
    <t xml:space="preserve">2260681270002656</t>
  </si>
  <si>
    <t xml:space="preserve">9780232511086</t>
  </si>
  <si>
    <t xml:space="preserve">32285000297530</t>
  </si>
  <si>
    <t xml:space="preserve">893601913</t>
  </si>
  <si>
    <t xml:space="preserve">B2430.B43 B42 1987</t>
  </si>
  <si>
    <t xml:space="preserve">0                      B  2430000B  43                 B  42          1987</t>
  </si>
  <si>
    <t xml:space="preserve">Bergson and modern thought : towards a unified science / edited by Andrew C. Papanicolaou, Pete A.Y. Gunter.</t>
  </si>
  <si>
    <t xml:space="preserve">Chur ; New York : Harwood Academic Publishers, c1987.</t>
  </si>
  <si>
    <t xml:space="preserve">Models of scientific thought, 0736-5268 ; v. 3</t>
  </si>
  <si>
    <t xml:space="preserve">2002-12-09</t>
  </si>
  <si>
    <t xml:space="preserve">795425369:eng</t>
  </si>
  <si>
    <t xml:space="preserve">15163286</t>
  </si>
  <si>
    <t xml:space="preserve">991000997159702656</t>
  </si>
  <si>
    <t xml:space="preserve">2261386930002656</t>
  </si>
  <si>
    <t xml:space="preserve">9783718603800</t>
  </si>
  <si>
    <t xml:space="preserve">32285000193093</t>
  </si>
  <si>
    <t xml:space="preserve">893620992</t>
  </si>
  <si>
    <t xml:space="preserve">B2430.B43 C8</t>
  </si>
  <si>
    <t xml:space="preserve">0                      B  2430000B  43                 C  8</t>
  </si>
  <si>
    <t xml:space="preserve">A study in the philosophy of Bergson.</t>
  </si>
  <si>
    <t xml:space="preserve">Cunningham, Gustavus Watts, 1881-1968.</t>
  </si>
  <si>
    <t xml:space="preserve">New York : Longmans, Green and co., 1916.</t>
  </si>
  <si>
    <t xml:space="preserve">1916</t>
  </si>
  <si>
    <t xml:space="preserve">2282714:eng</t>
  </si>
  <si>
    <t xml:space="preserve">1370641</t>
  </si>
  <si>
    <t xml:space="preserve">991003724699702656</t>
  </si>
  <si>
    <t xml:space="preserve">2261730990002656</t>
  </si>
  <si>
    <t xml:space="preserve">32285000193135</t>
  </si>
  <si>
    <t xml:space="preserve">893349057</t>
  </si>
  <si>
    <t xml:space="preserve">B2430.B43 K64 1985</t>
  </si>
  <si>
    <t xml:space="preserve">0                      B  2430000B  43                 K  64          1985</t>
  </si>
  <si>
    <t xml:space="preserve">Bergson / Leszek Kolakowski.</t>
  </si>
  <si>
    <t xml:space="preserve">Kołakowski, Leszek.</t>
  </si>
  <si>
    <t xml:space="preserve">1999-03-24</t>
  </si>
  <si>
    <t xml:space="preserve">4470840:eng</t>
  </si>
  <si>
    <t xml:space="preserve">11623594</t>
  </si>
  <si>
    <t xml:space="preserve">991000567869702656</t>
  </si>
  <si>
    <t xml:space="preserve">2262198730002656</t>
  </si>
  <si>
    <t xml:space="preserve">9780192876447</t>
  </si>
  <si>
    <t xml:space="preserve">32285000193200</t>
  </si>
  <si>
    <t xml:space="preserve">893802897</t>
  </si>
  <si>
    <t xml:space="preserve">B2430.B43 M373</t>
  </si>
  <si>
    <t xml:space="preserve">0                      B  2430000B  43                 M  373</t>
  </si>
  <si>
    <t xml:space="preserve">Bergsonian philosophy and Thomism / by Jacques Maritain ; translated by Mabelle L. Andison ; in collaboration with J. Gordon Andison.</t>
  </si>
  <si>
    <t xml:space="preserve">New York : Philosophical Library, c1955.</t>
  </si>
  <si>
    <t xml:space="preserve">3943290705:eng</t>
  </si>
  <si>
    <t xml:space="preserve">1327478</t>
  </si>
  <si>
    <t xml:space="preserve">991003695479702656</t>
  </si>
  <si>
    <t xml:space="preserve">2258557620002656</t>
  </si>
  <si>
    <t xml:space="preserve">32285000193218</t>
  </si>
  <si>
    <t xml:space="preserve">893627713</t>
  </si>
  <si>
    <t xml:space="preserve">B2430.B585 L313</t>
  </si>
  <si>
    <t xml:space="preserve">0                      B  2430000B  585                L  313</t>
  </si>
  <si>
    <t xml:space="preserve">Maurice Blondel : an introduction to the man and his philosophy / Translated by John C. Guinness.</t>
  </si>
  <si>
    <t xml:space="preserve">Lacroix, Jean, 1900-1986.</t>
  </si>
  <si>
    <t xml:space="preserve">New York : Sheed and Ward, [1968]</t>
  </si>
  <si>
    <t xml:space="preserve">1992-12-15</t>
  </si>
  <si>
    <t xml:space="preserve">3901242582:eng</t>
  </si>
  <si>
    <t xml:space="preserve">712473</t>
  </si>
  <si>
    <t xml:space="preserve">991003184289702656</t>
  </si>
  <si>
    <t xml:space="preserve">2256741760002656</t>
  </si>
  <si>
    <t xml:space="preserve">32285000193275</t>
  </si>
  <si>
    <t xml:space="preserve">893617075</t>
  </si>
  <si>
    <t xml:space="preserve">B2430.C354 H3</t>
  </si>
  <si>
    <t xml:space="preserve">0                      B  2430000C  354                H  3</t>
  </si>
  <si>
    <t xml:space="preserve">The thought and art of Albert Camus.</t>
  </si>
  <si>
    <t xml:space="preserve">Hanna, Thomas, 1928-1990.</t>
  </si>
  <si>
    <t xml:space="preserve">Chicago : H. Regnery Co., 1958.</t>
  </si>
  <si>
    <t xml:space="preserve">1992-11-11</t>
  </si>
  <si>
    <t xml:space="preserve">1453406:eng</t>
  </si>
  <si>
    <t xml:space="preserve">1042982</t>
  </si>
  <si>
    <t xml:space="preserve">991003492889702656</t>
  </si>
  <si>
    <t xml:space="preserve">2269497950002656</t>
  </si>
  <si>
    <t xml:space="preserve">32285001073559</t>
  </si>
  <si>
    <t xml:space="preserve">893246401</t>
  </si>
  <si>
    <t xml:space="preserve">B2430.C63 A83</t>
  </si>
  <si>
    <t xml:space="preserve">0                      B  2430000C  63                 A  83</t>
  </si>
  <si>
    <t xml:space="preserve">32285000193317</t>
  </si>
  <si>
    <t xml:space="preserve">893529407</t>
  </si>
  <si>
    <t xml:space="preserve">B2430.D484 D48 1988</t>
  </si>
  <si>
    <t xml:space="preserve">0                      B  2430000D  484                D  48          1988</t>
  </si>
  <si>
    <t xml:space="preserve">Derrida and différance / edited by David Wood, Robert Bernasconi.</t>
  </si>
  <si>
    <t xml:space="preserve">Evanston, IL : Northwestern University Press, c1988.</t>
  </si>
  <si>
    <t xml:space="preserve">2002-04-09</t>
  </si>
  <si>
    <t xml:space="preserve">1990-04-17</t>
  </si>
  <si>
    <t xml:space="preserve">350292629:eng</t>
  </si>
  <si>
    <t xml:space="preserve">17841910</t>
  </si>
  <si>
    <t xml:space="preserve">991001272259702656</t>
  </si>
  <si>
    <t xml:space="preserve">2269073020002656</t>
  </si>
  <si>
    <t xml:space="preserve">9780810107861</t>
  </si>
  <si>
    <t xml:space="preserve">32285000102664</t>
  </si>
  <si>
    <t xml:space="preserve">893897664</t>
  </si>
  <si>
    <t xml:space="preserve">B2430.G472 E56 1957a</t>
  </si>
  <si>
    <t xml:space="preserve">0                      B  2430000G  472                E  56          1957a</t>
  </si>
  <si>
    <t xml:space="preserve">A Gilson reader : selected writings / edited, with an introd., by Anton C. Pegis.</t>
  </si>
  <si>
    <t xml:space="preserve">Garden City, N. Y. : Hanover House, [1957]</t>
  </si>
  <si>
    <t xml:space="preserve">2009-12-10</t>
  </si>
  <si>
    <t xml:space="preserve">480756904:eng</t>
  </si>
  <si>
    <t xml:space="preserve">665111</t>
  </si>
  <si>
    <t xml:space="preserve">991003119299702656</t>
  </si>
  <si>
    <t xml:space="preserve">2272595840002656</t>
  </si>
  <si>
    <t xml:space="preserve">32285000193481</t>
  </si>
  <si>
    <t xml:space="preserve">893899642</t>
  </si>
  <si>
    <t xml:space="preserve">B2430.G474 S56 1984</t>
  </si>
  <si>
    <t xml:space="preserve">0                      B  2430000G  474                S  56          1984</t>
  </si>
  <si>
    <t xml:space="preserve">Etienne Gilson / by Laurence K. Shook.</t>
  </si>
  <si>
    <t xml:space="preserve">Shook, Laurence K.</t>
  </si>
  <si>
    <t xml:space="preserve">Toronto, Ont., Canada : Pontifical Institute of Mediaeval Studies, c1984.</t>
  </si>
  <si>
    <t xml:space="preserve">The Etienne Gilson series, 0708-319X ; 6</t>
  </si>
  <si>
    <t xml:space="preserve">2005-07-22</t>
  </si>
  <si>
    <t xml:space="preserve">3347712:eng</t>
  </si>
  <si>
    <t xml:space="preserve">10988824</t>
  </si>
  <si>
    <t xml:space="preserve">991000467859702656</t>
  </si>
  <si>
    <t xml:space="preserve">2257982640002656</t>
  </si>
  <si>
    <t xml:space="preserve">9780888447067</t>
  </si>
  <si>
    <t xml:space="preserve">32285000193515</t>
  </si>
  <si>
    <t xml:space="preserve">893620502</t>
  </si>
  <si>
    <t xml:space="preserve">B2430.G494 M34 1992</t>
  </si>
  <si>
    <t xml:space="preserve">0                      B  2430000G  494                M  34          1992</t>
  </si>
  <si>
    <t xml:space="preserve">Violence and difference : Girard, Derrida, and deconstruction / Andrew J. McKenna.</t>
  </si>
  <si>
    <t xml:space="preserve">McKenna, Andrew J.</t>
  </si>
  <si>
    <t xml:space="preserve">Urbana : University of Illinois Press, c1992.</t>
  </si>
  <si>
    <t xml:space="preserve">Illini Books ed.</t>
  </si>
  <si>
    <t xml:space="preserve">2010-01-07</t>
  </si>
  <si>
    <t xml:space="preserve">25054342:eng</t>
  </si>
  <si>
    <t xml:space="preserve">36837020</t>
  </si>
  <si>
    <t xml:space="preserve">991004498739702656</t>
  </si>
  <si>
    <t xml:space="preserve">2270001400002656</t>
  </si>
  <si>
    <t xml:space="preserve">9780252062025</t>
  </si>
  <si>
    <t xml:space="preserve">32285005041479</t>
  </si>
  <si>
    <t xml:space="preserve">893526149</t>
  </si>
  <si>
    <t xml:space="preserve">B2430.G494 V562513 1988</t>
  </si>
  <si>
    <t xml:space="preserve">0                      B  2430000G  494                V  562513      1988</t>
  </si>
  <si>
    <t xml:space="preserve">Violence and truth : on the work of René Girard / edited by Paul Dumouchel.</t>
  </si>
  <si>
    <t xml:space="preserve">Violence et verite autour de Rene Girard. Selections. English.</t>
  </si>
  <si>
    <t xml:space="preserve">Stanford, Calif. : Stanford University Press, 1988.</t>
  </si>
  <si>
    <t xml:space="preserve">2006-04-11</t>
  </si>
  <si>
    <t xml:space="preserve">1989-12-29</t>
  </si>
  <si>
    <t xml:space="preserve">836722594:eng</t>
  </si>
  <si>
    <t xml:space="preserve">17834798</t>
  </si>
  <si>
    <t xml:space="preserve">991001268269702656</t>
  </si>
  <si>
    <t xml:space="preserve">2256723340002656</t>
  </si>
  <si>
    <t xml:space="preserve">9780804713382</t>
  </si>
  <si>
    <t xml:space="preserve">32285000025725</t>
  </si>
  <si>
    <t xml:space="preserve">893878778</t>
  </si>
  <si>
    <t xml:space="preserve">B2430.K754 E84 1993</t>
  </si>
  <si>
    <t xml:space="preserve">0                      B  2430000K  754                E  84          1993</t>
  </si>
  <si>
    <t xml:space="preserve">Ethics, politics, and difference in Julia Kristeva's writing / edited by Kelly Oliver.</t>
  </si>
  <si>
    <t xml:space="preserve">New York : Routledge, 1993.</t>
  </si>
  <si>
    <t xml:space="preserve">1996-11-07</t>
  </si>
  <si>
    <t xml:space="preserve">118203257:eng</t>
  </si>
  <si>
    <t xml:space="preserve">27266124</t>
  </si>
  <si>
    <t xml:space="preserve">991002129249702656</t>
  </si>
  <si>
    <t xml:space="preserve">2269418980002656</t>
  </si>
  <si>
    <t xml:space="preserve">9780415907033</t>
  </si>
  <si>
    <t xml:space="preserve">32285001879245</t>
  </si>
  <si>
    <t xml:space="preserve">893334969</t>
  </si>
  <si>
    <t xml:space="preserve">B2430.L964 B46 1988</t>
  </si>
  <si>
    <t xml:space="preserve">0                      B  2430000L  964                B  46          1988</t>
  </si>
  <si>
    <t xml:space="preserve">Lyotard : writing the event / Geoffrey Bennington.</t>
  </si>
  <si>
    <t xml:space="preserve">Bennington, Geoffrey.</t>
  </si>
  <si>
    <t xml:space="preserve">New York : Columbia University Press, 1988.</t>
  </si>
  <si>
    <t xml:space="preserve">2003-05-05</t>
  </si>
  <si>
    <t xml:space="preserve">1990-12-04</t>
  </si>
  <si>
    <t xml:space="preserve">12171811:eng</t>
  </si>
  <si>
    <t xml:space="preserve">16980873</t>
  </si>
  <si>
    <t xml:space="preserve">991001172529702656</t>
  </si>
  <si>
    <t xml:space="preserve">2255322370002656</t>
  </si>
  <si>
    <t xml:space="preserve">9780231067584</t>
  </si>
  <si>
    <t xml:space="preserve">32285000357854</t>
  </si>
  <si>
    <t xml:space="preserve">893709048</t>
  </si>
  <si>
    <t xml:space="preserve">B2430.M24 P7</t>
  </si>
  <si>
    <t xml:space="preserve">0                      B  2430000M  24                 P  7</t>
  </si>
  <si>
    <t xml:space="preserve">32285000193549</t>
  </si>
  <si>
    <t xml:space="preserve">893900786</t>
  </si>
  <si>
    <t xml:space="preserve">B2430.M253 A93</t>
  </si>
  <si>
    <t xml:space="preserve">0                      B  2430000M  253                A  93</t>
  </si>
  <si>
    <t xml:space="preserve">Searchings.</t>
  </si>
  <si>
    <t xml:space="preserve">New York : Newman Press, [1967]</t>
  </si>
  <si>
    <t xml:space="preserve">2009-06-17</t>
  </si>
  <si>
    <t xml:space="preserve">2909152658:eng</t>
  </si>
  <si>
    <t xml:space="preserve">561248</t>
  </si>
  <si>
    <t xml:space="preserve">991002991999702656</t>
  </si>
  <si>
    <t xml:space="preserve">2255401930002656</t>
  </si>
  <si>
    <t xml:space="preserve">32285000193598</t>
  </si>
  <si>
    <t xml:space="preserve">893511452</t>
  </si>
  <si>
    <t xml:space="preserve">B2430.M253 E8</t>
  </si>
  <si>
    <t xml:space="preserve">0                      B  2430000M  253                E  8</t>
  </si>
  <si>
    <t xml:space="preserve">1990-05-01</t>
  </si>
  <si>
    <t xml:space="preserve">32285000129253</t>
  </si>
  <si>
    <t xml:space="preserve">893794482</t>
  </si>
  <si>
    <t xml:space="preserve">B2430.M254 C66 1989</t>
  </si>
  <si>
    <t xml:space="preserve">0                      B  2430000M  254                C  66          1989</t>
  </si>
  <si>
    <t xml:space="preserve">Contributions of Gabriel Marcel to philosophy : a collection of essays / edited by William Cooney.</t>
  </si>
  <si>
    <t xml:space="preserve">Lewiston, N.Y., U.S.A. : E. Mellen Press, c1989.</t>
  </si>
  <si>
    <t xml:space="preserve">Problems in contemporary philosophy ; v. 18</t>
  </si>
  <si>
    <t xml:space="preserve">1993-08-26</t>
  </si>
  <si>
    <t xml:space="preserve">1990-09-24</t>
  </si>
  <si>
    <t xml:space="preserve">836738063:eng</t>
  </si>
  <si>
    <t xml:space="preserve">20013223</t>
  </si>
  <si>
    <t xml:space="preserve">991001526589702656</t>
  </si>
  <si>
    <t xml:space="preserve">2262121170002656</t>
  </si>
  <si>
    <t xml:space="preserve">9780889463462</t>
  </si>
  <si>
    <t xml:space="preserve">32285000278290</t>
  </si>
  <si>
    <t xml:space="preserve">893426649</t>
  </si>
  <si>
    <t xml:space="preserve">B2430.M314 T84</t>
  </si>
  <si>
    <t xml:space="preserve">0                      B  2430000M  314                T  84</t>
  </si>
  <si>
    <t xml:space="preserve">De l'existence à l'être : la philosophie de Gabriel Marcel / Lettre-preface de Gabriel Marcel.</t>
  </si>
  <si>
    <t xml:space="preserve">Troisfontaines, Roger.</t>
  </si>
  <si>
    <t xml:space="preserve">Bibliothèque de la Faculté de philosophie et lettres de Namur, fasc. 16-17</t>
  </si>
  <si>
    <t xml:space="preserve">365381857:fre</t>
  </si>
  <si>
    <t xml:space="preserve">2760298</t>
  </si>
  <si>
    <t xml:space="preserve">991004890629702656</t>
  </si>
  <si>
    <t xml:space="preserve">2262998720002656</t>
  </si>
  <si>
    <t xml:space="preserve">32285000256155</t>
  </si>
  <si>
    <t xml:space="preserve">893795362</t>
  </si>
  <si>
    <t xml:space="preserve">B2430.M34 E9</t>
  </si>
  <si>
    <t xml:space="preserve">0                      B  2430000M  34                 E  9</t>
  </si>
  <si>
    <t xml:space="preserve">Jacques Maritain : the man and his achievement / edited with an introduction by Joseph W. Evans.</t>
  </si>
  <si>
    <t xml:space="preserve">Evans, Joseph W.</t>
  </si>
  <si>
    <t xml:space="preserve">New York : Sheed and Ward, c1963.</t>
  </si>
  <si>
    <t xml:space="preserve">1996-02-26</t>
  </si>
  <si>
    <t xml:space="preserve">1990-06-29</t>
  </si>
  <si>
    <t xml:space="preserve">2006-10-30</t>
  </si>
  <si>
    <t xml:space="preserve">1317015:eng</t>
  </si>
  <si>
    <t xml:space="preserve">178581</t>
  </si>
  <si>
    <t xml:space="preserve">991001069839702656</t>
  </si>
  <si>
    <t xml:space="preserve">2264372380002656</t>
  </si>
  <si>
    <t xml:space="preserve">32285000193804</t>
  </si>
  <si>
    <t xml:space="preserve">893503074</t>
  </si>
  <si>
    <t xml:space="preserve">B2430.M34 G35</t>
  </si>
  <si>
    <t xml:space="preserve">0                      B  2430000M  34                 G  35</t>
  </si>
  <si>
    <t xml:space="preserve">The achievement of Jacques and Raïssa Maritain : a bibliography, 1906-1961 / [by] Donald &amp; Idella Gallagher.</t>
  </si>
  <si>
    <t xml:space="preserve">Gallagher, Donald Arthur.</t>
  </si>
  <si>
    <t xml:space="preserve">Garden City, N.Y. : Doubleday, 1962.</t>
  </si>
  <si>
    <t xml:space="preserve">1996-03-05</t>
  </si>
  <si>
    <t xml:space="preserve">1961287:eng</t>
  </si>
  <si>
    <t xml:space="preserve">1026735</t>
  </si>
  <si>
    <t xml:space="preserve">991003479969702656</t>
  </si>
  <si>
    <t xml:space="preserve">2257062290002656</t>
  </si>
  <si>
    <t xml:space="preserve">32285000193838</t>
  </si>
  <si>
    <t xml:space="preserve">893246388</t>
  </si>
  <si>
    <t xml:space="preserve">B2430.M3764 G54 1991</t>
  </si>
  <si>
    <t xml:space="preserve">0                      B  2430000M  3764               G  54          1991</t>
  </si>
  <si>
    <t xml:space="preserve">Merleau-Ponty and metaphor / Jerry H. Gill.</t>
  </si>
  <si>
    <t xml:space="preserve">Gill, Jerry H.</t>
  </si>
  <si>
    <t xml:space="preserve">Atlantic Highlands, N. J. : Humanities Press, 1991.</t>
  </si>
  <si>
    <t xml:space="preserve">2003-12-19</t>
  </si>
  <si>
    <t xml:space="preserve">1992-02-21</t>
  </si>
  <si>
    <t xml:space="preserve">23939838:eng</t>
  </si>
  <si>
    <t xml:space="preserve">22703239</t>
  </si>
  <si>
    <t xml:space="preserve">991001804989702656</t>
  </si>
  <si>
    <t xml:space="preserve">2255324080002656</t>
  </si>
  <si>
    <t xml:space="preserve">9780391037137</t>
  </si>
  <si>
    <t xml:space="preserve">32285000935832</t>
  </si>
  <si>
    <t xml:space="preserve">893522871</t>
  </si>
  <si>
    <t xml:space="preserve">B2430.M3764 M3213</t>
  </si>
  <si>
    <t xml:space="preserve">0                      B  2430000M  3764               M  3213</t>
  </si>
  <si>
    <t xml:space="preserve">The phenomenology of Merleau-Ponty : a search for the limits of consciousness / by Gary Brent Madison ; foreword by Paul Ricoeur ; translated from the French by the author.</t>
  </si>
  <si>
    <t xml:space="preserve">Madison, Gary Brent.</t>
  </si>
  <si>
    <t xml:space="preserve">Athens : Ohio University Press, c1981.</t>
  </si>
  <si>
    <t xml:space="preserve">Series in Continental thought ; 3</t>
  </si>
  <si>
    <t xml:space="preserve">1994-03-18</t>
  </si>
  <si>
    <t xml:space="preserve">3944182183:eng</t>
  </si>
  <si>
    <t xml:space="preserve">7553501</t>
  </si>
  <si>
    <t xml:space="preserve">991005125849702656</t>
  </si>
  <si>
    <t xml:space="preserve">2262637880002656</t>
  </si>
  <si>
    <t xml:space="preserve">9780821404485</t>
  </si>
  <si>
    <t xml:space="preserve">32285000193861</t>
  </si>
  <si>
    <t xml:space="preserve">893437200</t>
  </si>
  <si>
    <t xml:space="preserve">B2430.M3764 M47</t>
  </si>
  <si>
    <t xml:space="preserve">0                      B  2430000M  3764               M  47</t>
  </si>
  <si>
    <t xml:space="preserve">Merleau-Ponty, perception, structure, language : a collection of essays / edited by John Sallis.</t>
  </si>
  <si>
    <t xml:space="preserve">Atlantic Highlands, N.J. : Humanities Press, c1981.</t>
  </si>
  <si>
    <t xml:space="preserve">894519982:eng</t>
  </si>
  <si>
    <t xml:space="preserve">7596250</t>
  </si>
  <si>
    <t xml:space="preserve">991005138539702656</t>
  </si>
  <si>
    <t xml:space="preserve">2255838220002656</t>
  </si>
  <si>
    <t xml:space="preserve">9780391023826</t>
  </si>
  <si>
    <t xml:space="preserve">32285000193879</t>
  </si>
  <si>
    <t xml:space="preserve">893776892</t>
  </si>
  <si>
    <t xml:space="preserve">B2430.M378 F53</t>
  </si>
  <si>
    <t xml:space="preserve">0                      B  2430000M  378                F  53</t>
  </si>
  <si>
    <t xml:space="preserve">The essential writings of Merleau-Ponty / edited by Alden L. Fisher.</t>
  </si>
  <si>
    <t xml:space="preserve">Merleau-Ponty, Maurice, 1908-1961.</t>
  </si>
  <si>
    <t xml:space="preserve">New York : Harcourt, Brace &amp; World, [1969]</t>
  </si>
  <si>
    <t xml:space="preserve">2005-11-09</t>
  </si>
  <si>
    <t xml:space="preserve">131459179:eng</t>
  </si>
  <si>
    <t xml:space="preserve">12773</t>
  </si>
  <si>
    <t xml:space="preserve">991000004769702656</t>
  </si>
  <si>
    <t xml:space="preserve">2264928650002656</t>
  </si>
  <si>
    <t xml:space="preserve">32285000193895</t>
  </si>
  <si>
    <t xml:space="preserve">893314584</t>
  </si>
  <si>
    <t xml:space="preserve">B2430.M38 M34</t>
  </si>
  <si>
    <t xml:space="preserve">0                      B  2430000M  38                 M  34</t>
  </si>
  <si>
    <t xml:space="preserve">Merleau-Ponty's philosophy / Samuel B. Mallin.</t>
  </si>
  <si>
    <t xml:space="preserve">Mallin, Samuel B.</t>
  </si>
  <si>
    <t xml:space="preserve">New Haven : Yale University Press, 1979.</t>
  </si>
  <si>
    <t xml:space="preserve">1994-04-28</t>
  </si>
  <si>
    <t xml:space="preserve">15146172:eng</t>
  </si>
  <si>
    <t xml:space="preserve">5008003</t>
  </si>
  <si>
    <t xml:space="preserve">991004762559702656</t>
  </si>
  <si>
    <t xml:space="preserve">2269341310002656</t>
  </si>
  <si>
    <t xml:space="preserve">9780300022759</t>
  </si>
  <si>
    <t xml:space="preserve">32285000217595</t>
  </si>
  <si>
    <t xml:space="preserve">893600204</t>
  </si>
  <si>
    <t xml:space="preserve">B2430.M38 R3</t>
  </si>
  <si>
    <t xml:space="preserve">0                      B  2430000M  38                 R  3</t>
  </si>
  <si>
    <t xml:space="preserve">Merleau-Ponty, existentialist of the social world.</t>
  </si>
  <si>
    <t xml:space="preserve">Rabil, Albert, Jr.</t>
  </si>
  <si>
    <t xml:space="preserve">1999-11-18</t>
  </si>
  <si>
    <t xml:space="preserve">13561428:eng</t>
  </si>
  <si>
    <t xml:space="preserve">372774</t>
  </si>
  <si>
    <t xml:space="preserve">991002566879702656</t>
  </si>
  <si>
    <t xml:space="preserve">2261517560002656</t>
  </si>
  <si>
    <t xml:space="preserve">32285000217611</t>
  </si>
  <si>
    <t xml:space="preserve">893323094</t>
  </si>
  <si>
    <t xml:space="preserve">B2430.M38 R9</t>
  </si>
  <si>
    <t xml:space="preserve">0                      B  2430000M  38                 R  9</t>
  </si>
  <si>
    <t xml:space="preserve">The body as symbol : Merleau-Ponty and incarnational theology.</t>
  </si>
  <si>
    <t xml:space="preserve">Ryan, Francis.</t>
  </si>
  <si>
    <t xml:space="preserve">Washington : Corpus Books, [c1970]</t>
  </si>
  <si>
    <t xml:space="preserve">Corpus papers</t>
  </si>
  <si>
    <t xml:space="preserve">2005-06-30</t>
  </si>
  <si>
    <t xml:space="preserve">497648050:eng</t>
  </si>
  <si>
    <t xml:space="preserve">428529</t>
  </si>
  <si>
    <t xml:space="preserve">991002760609702656</t>
  </si>
  <si>
    <t xml:space="preserve">2266218870002656</t>
  </si>
  <si>
    <t xml:space="preserve">32285000217629</t>
  </si>
  <si>
    <t xml:space="preserve">893335678</t>
  </si>
  <si>
    <t xml:space="preserve">B2430.R554 B68</t>
  </si>
  <si>
    <t xml:space="preserve">0                      B  2430000R  554                B  68</t>
  </si>
  <si>
    <t xml:space="preserve">Extension of Ricoeur's hermeneutic / by Patrick L. Bourgeois.</t>
  </si>
  <si>
    <t xml:space="preserve">Bourgeois, Patrick L.</t>
  </si>
  <si>
    <t xml:space="preserve">The Hague : Martinus Nijhoff, 1975.</t>
  </si>
  <si>
    <t xml:space="preserve">837905:eng</t>
  </si>
  <si>
    <t xml:space="preserve">1622681</t>
  </si>
  <si>
    <t xml:space="preserve">991003843949702656</t>
  </si>
  <si>
    <t xml:space="preserve">2270570760002656</t>
  </si>
  <si>
    <t xml:space="preserve">9789024717194</t>
  </si>
  <si>
    <t xml:space="preserve">32285000217777</t>
  </si>
  <si>
    <t xml:space="preserve">893592965</t>
  </si>
  <si>
    <t xml:space="preserve">B2430.R554 K46 1983</t>
  </si>
  <si>
    <t xml:space="preserve">0                      B  2430000R  554                K  46          1983</t>
  </si>
  <si>
    <t xml:space="preserve">The hermeneutical theory of Paul Ricoeur : a constructive analysis / David E. Klemm.</t>
  </si>
  <si>
    <t xml:space="preserve">Klemm, David E., 1947-</t>
  </si>
  <si>
    <t xml:space="preserve">Lewisburg : Bucknell University Press ; London : Associated University Presses, c1983.</t>
  </si>
  <si>
    <t xml:space="preserve">2001-05-02</t>
  </si>
  <si>
    <t xml:space="preserve">1991-09-03</t>
  </si>
  <si>
    <t xml:space="preserve">375383979:eng</t>
  </si>
  <si>
    <t xml:space="preserve">9043868</t>
  </si>
  <si>
    <t xml:space="preserve">991000117679702656</t>
  </si>
  <si>
    <t xml:space="preserve">2266477340002656</t>
  </si>
  <si>
    <t xml:space="preserve">9780838750414</t>
  </si>
  <si>
    <t xml:space="preserve">32285000734185</t>
  </si>
  <si>
    <t xml:space="preserve">893589143</t>
  </si>
  <si>
    <t xml:space="preserve">B2430.R554 L68</t>
  </si>
  <si>
    <t xml:space="preserve">0                      B  2430000R  554                L  68</t>
  </si>
  <si>
    <t xml:space="preserve">Mystery &amp; the unconscious : a study in the thought of Paul Ricoeur / by Walter James Lowe. --</t>
  </si>
  <si>
    <t xml:space="preserve">Lowe, Walter James, 1940-</t>
  </si>
  <si>
    <t xml:space="preserve">Metuchen, N.J. : Scarecrow Press, 1977.</t>
  </si>
  <si>
    <t xml:space="preserve">ATLA monograph series ; no. 9</t>
  </si>
  <si>
    <t xml:space="preserve">1995-11-26</t>
  </si>
  <si>
    <t xml:space="preserve">815136017:eng</t>
  </si>
  <si>
    <t xml:space="preserve">2508109</t>
  </si>
  <si>
    <t xml:space="preserve">991004145099702656</t>
  </si>
  <si>
    <t xml:space="preserve">2255098320002656</t>
  </si>
  <si>
    <t xml:space="preserve">9780810809895</t>
  </si>
  <si>
    <t xml:space="preserve">32285000217801</t>
  </si>
  <si>
    <t xml:space="preserve">893512864</t>
  </si>
  <si>
    <t xml:space="preserve">B2430.R554 R43 1996</t>
  </si>
  <si>
    <t xml:space="preserve">0                      B  2430000R  554                R  43          1996</t>
  </si>
  <si>
    <t xml:space="preserve">Paul Ricoeur : his life and his work / Charles E. Reagan.</t>
  </si>
  <si>
    <t xml:space="preserve">Chicago : University of Chicago Press, 1996.</t>
  </si>
  <si>
    <t xml:space="preserve">2010-03-25</t>
  </si>
  <si>
    <t xml:space="preserve">1996-11-01</t>
  </si>
  <si>
    <t xml:space="preserve">601976:eng</t>
  </si>
  <si>
    <t xml:space="preserve">33983812</t>
  </si>
  <si>
    <t xml:space="preserve">991002595379702656</t>
  </si>
  <si>
    <t xml:space="preserve">2262488130002656</t>
  </si>
  <si>
    <t xml:space="preserve">9780226706023</t>
  </si>
  <si>
    <t xml:space="preserve">32285002370822</t>
  </si>
  <si>
    <t xml:space="preserve">893792654</t>
  </si>
  <si>
    <t xml:space="preserve">B2430.R554 S78</t>
  </si>
  <si>
    <t xml:space="preserve">0                      B  2430000R  554                S  78</t>
  </si>
  <si>
    <t xml:space="preserve">Studies in the philosophy of Paul Ricoeur / edited by Charles E. Reagan.</t>
  </si>
  <si>
    <t xml:space="preserve">Athens : Ohio University Press, c1979.</t>
  </si>
  <si>
    <t xml:space="preserve">15033603:eng</t>
  </si>
  <si>
    <t xml:space="preserve">4775203</t>
  </si>
  <si>
    <t xml:space="preserve">991004713389702656</t>
  </si>
  <si>
    <t xml:space="preserve">2256455700002656</t>
  </si>
  <si>
    <t xml:space="preserve">9780821402238</t>
  </si>
  <si>
    <t xml:space="preserve">32285000734193</t>
  </si>
  <si>
    <t xml:space="preserve">893417933</t>
  </si>
  <si>
    <t xml:space="preserve">B2430.R554 V36 1982</t>
  </si>
  <si>
    <t xml:space="preserve">0                      B  2430000R  554                V  36          1982</t>
  </si>
  <si>
    <t xml:space="preserve">The home of meaning : the hermeneutics of the subject of Paul Ricoeur / John W. Van Den Hengel.</t>
  </si>
  <si>
    <t xml:space="preserve">Van Den Hengel, John W., 1939-</t>
  </si>
  <si>
    <t xml:space="preserve">Washington, D.C. : University Press of America, c1982.</t>
  </si>
  <si>
    <t xml:space="preserve">1998-11-06</t>
  </si>
  <si>
    <t xml:space="preserve">232967275:eng</t>
  </si>
  <si>
    <t xml:space="preserve">8554257</t>
  </si>
  <si>
    <t xml:space="preserve">991000019189702656</t>
  </si>
  <si>
    <t xml:space="preserve">2258502870002656</t>
  </si>
  <si>
    <t xml:space="preserve">9780819126030</t>
  </si>
  <si>
    <t xml:space="preserve">32285000734201</t>
  </si>
  <si>
    <t xml:space="preserve">893790178</t>
  </si>
  <si>
    <t xml:space="preserve">B2430.S32 E55 1975</t>
  </si>
  <si>
    <t xml:space="preserve">0                      B  2430000S  32                 E  55          1975</t>
  </si>
  <si>
    <t xml:space="preserve">Between existentialism and Marxism / Jean-Paul Sartre ; translated from the French by John Mathews.</t>
  </si>
  <si>
    <t xml:space="preserve">Sartre, Jean-Paul, 1905-1980.</t>
  </si>
  <si>
    <t xml:space="preserve">New York : Pantheon Books, [1975] c1974.</t>
  </si>
  <si>
    <t xml:space="preserve">2643356158:eng</t>
  </si>
  <si>
    <t xml:space="preserve">1104038</t>
  </si>
  <si>
    <t xml:space="preserve">991003539069702656</t>
  </si>
  <si>
    <t xml:space="preserve">2258485780002656</t>
  </si>
  <si>
    <t xml:space="preserve">9780394485195</t>
  </si>
  <si>
    <t xml:space="preserve">32285000217843</t>
  </si>
  <si>
    <t xml:space="preserve">893246453</t>
  </si>
  <si>
    <t xml:space="preserve">B2430.S33 C776 1982</t>
  </si>
  <si>
    <t xml:space="preserve">0                      B  2430000S  33                 C  776         1982</t>
  </si>
  <si>
    <t xml:space="preserve">Sartre's Marxism / Mark Poster.</t>
  </si>
  <si>
    <t xml:space="preserve">Cambridge [Cambridgeshire] ; New York : Cambridge University Press, 1982.</t>
  </si>
  <si>
    <t xml:space="preserve">505318:eng</t>
  </si>
  <si>
    <t xml:space="preserve">7948047</t>
  </si>
  <si>
    <t xml:space="preserve">991005183569702656</t>
  </si>
  <si>
    <t xml:space="preserve">2270532230002656</t>
  </si>
  <si>
    <t xml:space="preserve">9780521245593</t>
  </si>
  <si>
    <t xml:space="preserve">32285000217850</t>
  </si>
  <si>
    <t xml:space="preserve">893443544</t>
  </si>
  <si>
    <t xml:space="preserve">B2430.S34 A75</t>
  </si>
  <si>
    <t xml:space="preserve">0                      B  2430000S  34                 A  75</t>
  </si>
  <si>
    <t xml:space="preserve">The foundation and structure of Sartrean ethics / Thomas C. Anderson.</t>
  </si>
  <si>
    <t xml:space="preserve">Anderson, Thomas C., 1935-</t>
  </si>
  <si>
    <t xml:space="preserve">Lawrence : Regents Press of Kansas, c1979.</t>
  </si>
  <si>
    <t xml:space="preserve">ksu</t>
  </si>
  <si>
    <t xml:space="preserve">1994-02-07</t>
  </si>
  <si>
    <t xml:space="preserve">15060367:eng</t>
  </si>
  <si>
    <t xml:space="preserve">4832350</t>
  </si>
  <si>
    <t xml:space="preserve">991004729089702656</t>
  </si>
  <si>
    <t xml:space="preserve">2268730650002656</t>
  </si>
  <si>
    <t xml:space="preserve">9780700601912</t>
  </si>
  <si>
    <t xml:space="preserve">32285000217868</t>
  </si>
  <si>
    <t xml:space="preserve">893870035</t>
  </si>
  <si>
    <t xml:space="preserve">B2430.S34 A753 1993</t>
  </si>
  <si>
    <t xml:space="preserve">0                      B  2430000S  34                 A  753         1993</t>
  </si>
  <si>
    <t xml:space="preserve">Sartre's two ethics : from authenticity to integral humanity / Thomas C. Anderson.</t>
  </si>
  <si>
    <t xml:space="preserve">Chicago, Ill. : Open Court, c1993.</t>
  </si>
  <si>
    <t xml:space="preserve">2004-12-15</t>
  </si>
  <si>
    <t xml:space="preserve">1996-03-20</t>
  </si>
  <si>
    <t xml:space="preserve">365832276:eng</t>
  </si>
  <si>
    <t xml:space="preserve">28711591</t>
  </si>
  <si>
    <t xml:space="preserve">991002229459702656</t>
  </si>
  <si>
    <t xml:space="preserve">2262776580002656</t>
  </si>
  <si>
    <t xml:space="preserve">9780812692327</t>
  </si>
  <si>
    <t xml:space="preserve">32285002145190</t>
  </si>
  <si>
    <t xml:space="preserve">893504161</t>
  </si>
  <si>
    <t xml:space="preserve">B2430.S34 A76</t>
  </si>
  <si>
    <t xml:space="preserve">0                      B  2430000S  34                 A  76</t>
  </si>
  <si>
    <t xml:space="preserve">Jean-Paul Sartre - philosophy in the world / by Ronald Aronson.</t>
  </si>
  <si>
    <t xml:space="preserve">Aronson, Ronald, 1938-</t>
  </si>
  <si>
    <t xml:space="preserve">[London : NLB, 1980]</t>
  </si>
  <si>
    <t xml:space="preserve">1996-09-21</t>
  </si>
  <si>
    <t xml:space="preserve">24990247:eng</t>
  </si>
  <si>
    <t xml:space="preserve">7081540</t>
  </si>
  <si>
    <t xml:space="preserve">991005074119702656</t>
  </si>
  <si>
    <t xml:space="preserve">2270417410002656</t>
  </si>
  <si>
    <t xml:space="preserve">32285000217876</t>
  </si>
  <si>
    <t xml:space="preserve">893242158</t>
  </si>
  <si>
    <t xml:space="preserve">B2430.S34 A8 1969</t>
  </si>
  <si>
    <t xml:space="preserve">0                      B  2430000S  34                 A  8           1969</t>
  </si>
  <si>
    <t xml:space="preserve">Marxism and the existentialists.</t>
  </si>
  <si>
    <t xml:space="preserve">Aron, Raymond, 1905-1983.</t>
  </si>
  <si>
    <t xml:space="preserve">New York : Harper &amp; Row, [1969]</t>
  </si>
  <si>
    <t xml:space="preserve">World perspectives ; v. 40</t>
  </si>
  <si>
    <t xml:space="preserve">57740488:eng</t>
  </si>
  <si>
    <t xml:space="preserve">12333</t>
  </si>
  <si>
    <t xml:space="preserve">991000003769702656</t>
  </si>
  <si>
    <t xml:space="preserve">2264970190002656</t>
  </si>
  <si>
    <t xml:space="preserve">32285000194620</t>
  </si>
  <si>
    <t xml:space="preserve">893701749</t>
  </si>
  <si>
    <t xml:space="preserve">B2430.S34 B43</t>
  </si>
  <si>
    <t xml:space="preserve">0                      B  2430000S  34                 B  43</t>
  </si>
  <si>
    <t xml:space="preserve">Jean-Paul Sartre : Sartre and existentialism in English : a bibliographical guide / compiled and annotated by Allen Belkind. With a foreword by Oreste F. Pucciani.</t>
  </si>
  <si>
    <t xml:space="preserve">Belkind, Allen.</t>
  </si>
  <si>
    <t xml:space="preserve">Kent, Ohio] : Kent State University Press, [1970]</t>
  </si>
  <si>
    <t xml:space="preserve">[1st ed.</t>
  </si>
  <si>
    <t xml:space="preserve">The Serif series: bibliographies and checklists, no. 10</t>
  </si>
  <si>
    <t xml:space="preserve">1998-10-23</t>
  </si>
  <si>
    <t xml:space="preserve">1909508856:eng</t>
  </si>
  <si>
    <t xml:space="preserve">65425</t>
  </si>
  <si>
    <t xml:space="preserve">991000206759702656</t>
  </si>
  <si>
    <t xml:space="preserve">2259290230002656</t>
  </si>
  <si>
    <t xml:space="preserve">9780873380492</t>
  </si>
  <si>
    <t xml:space="preserve">32285000194638</t>
  </si>
  <si>
    <t xml:space="preserve">893714409</t>
  </si>
  <si>
    <t xml:space="preserve">B2430.S34 B65 1982</t>
  </si>
  <si>
    <t xml:space="preserve">0                      B  2430000S  34                 B  65          1982</t>
  </si>
  <si>
    <t xml:space="preserve">The self and the other in the ontologies of Sartre and Buber / Sylvain Boni.</t>
  </si>
  <si>
    <t xml:space="preserve">Boni, Sylvain.</t>
  </si>
  <si>
    <t xml:space="preserve">1992-12-17</t>
  </si>
  <si>
    <t xml:space="preserve">1990-07-19</t>
  </si>
  <si>
    <t xml:space="preserve">3280468:eng</t>
  </si>
  <si>
    <t xml:space="preserve">8927742</t>
  </si>
  <si>
    <t xml:space="preserve">991000094189702656</t>
  </si>
  <si>
    <t xml:space="preserve">2265075540002656</t>
  </si>
  <si>
    <t xml:space="preserve">9780819128539</t>
  </si>
  <si>
    <t xml:space="preserve">32285000239433</t>
  </si>
  <si>
    <t xml:space="preserve">893683153</t>
  </si>
  <si>
    <t xml:space="preserve">B2430.S34 C48</t>
  </si>
  <si>
    <t xml:space="preserve">0                      B  2430000S  34                 C  48</t>
  </si>
  <si>
    <t xml:space="preserve">Humanism and human racism : A critical study of essays by Sartre and Camus.</t>
  </si>
  <si>
    <t xml:space="preserve">Champigny, Robert, 1922-1984.</t>
  </si>
  <si>
    <t xml:space="preserve">The Hague : Mouton, 1972.</t>
  </si>
  <si>
    <t xml:space="preserve">De proprietatibus litterarum. Series practica ; 41</t>
  </si>
  <si>
    <t xml:space="preserve">1992-05-07</t>
  </si>
  <si>
    <t xml:space="preserve">147058337:eng</t>
  </si>
  <si>
    <t xml:space="preserve">678491</t>
  </si>
  <si>
    <t xml:space="preserve">991003136659702656</t>
  </si>
  <si>
    <t xml:space="preserve">2271230870002656</t>
  </si>
  <si>
    <t xml:space="preserve">32285001106219</t>
  </si>
  <si>
    <t xml:space="preserve">893518172</t>
  </si>
  <si>
    <t xml:space="preserve">B2430.S34 C5413 1987</t>
  </si>
  <si>
    <t xml:space="preserve">0                      B  2430000S  34                 C  5413        1987</t>
  </si>
  <si>
    <t xml:space="preserve">Sartre : a life / Annie Cohen-Solal ; translated by Anna Cancogni ; edited by Norman MacAfee.</t>
  </si>
  <si>
    <t xml:space="preserve">Cohen-Solal, Annie, 1948-</t>
  </si>
  <si>
    <t xml:space="preserve">New York : Pantheon Books, c1987.</t>
  </si>
  <si>
    <t xml:space="preserve">285076294:eng</t>
  </si>
  <si>
    <t xml:space="preserve">14933377</t>
  </si>
  <si>
    <t xml:space="preserve">991000970259702656</t>
  </si>
  <si>
    <t xml:space="preserve">2263024990002656</t>
  </si>
  <si>
    <t xml:space="preserve">9780394525259</t>
  </si>
  <si>
    <t xml:space="preserve">32285000239441</t>
  </si>
  <si>
    <t xml:space="preserve">893690205</t>
  </si>
  <si>
    <t xml:space="preserve">B2430.S34 C713 1971b</t>
  </si>
  <si>
    <t xml:space="preserve">0                      B  2430000S  34                 C  713         1971b</t>
  </si>
  <si>
    <t xml:space="preserve">The quintessence of Sartrism.</t>
  </si>
  <si>
    <t xml:space="preserve">New York : Harper &amp; Row, [1971, c1969]</t>
  </si>
  <si>
    <t xml:space="preserve">Harper torchbooks</t>
  </si>
  <si>
    <t xml:space="preserve">2007-04-23</t>
  </si>
  <si>
    <t xml:space="preserve">1312178:eng</t>
  </si>
  <si>
    <t xml:space="preserve">328659</t>
  </si>
  <si>
    <t xml:space="preserve">991002382459702656</t>
  </si>
  <si>
    <t xml:space="preserve">2271459400002656</t>
  </si>
  <si>
    <t xml:space="preserve">32285000194687</t>
  </si>
  <si>
    <t xml:space="preserve">893328996</t>
  </si>
  <si>
    <t xml:space="preserve">B2430.S34 D32</t>
  </si>
  <si>
    <t xml:space="preserve">0                      B  2430000S  34                 D  32</t>
  </si>
  <si>
    <t xml:space="preserve">Jean-Paul Sartre / Arthur C. Danto.</t>
  </si>
  <si>
    <t xml:space="preserve">Danto, Arthur C., 1924-2013.</t>
  </si>
  <si>
    <t xml:space="preserve">New York : Viking Press, 1975.</t>
  </si>
  <si>
    <t xml:space="preserve">Modern masters</t>
  </si>
  <si>
    <t xml:space="preserve">2008-05-30</t>
  </si>
  <si>
    <t xml:space="preserve">2311958:eng</t>
  </si>
  <si>
    <t xml:space="preserve">1504877</t>
  </si>
  <si>
    <t xml:space="preserve">991003788509702656</t>
  </si>
  <si>
    <t xml:space="preserve">2261996760002656</t>
  </si>
  <si>
    <t xml:space="preserve">9780670406302</t>
  </si>
  <si>
    <t xml:space="preserve">32285000194695</t>
  </si>
  <si>
    <t xml:space="preserve">893343016</t>
  </si>
  <si>
    <t xml:space="preserve">B2430.S34 D44</t>
  </si>
  <si>
    <t xml:space="preserve">0                      B  2430000S  34                 D  44</t>
  </si>
  <si>
    <t xml:space="preserve">The Marxism of Jean-Paul Sartre.</t>
  </si>
  <si>
    <t xml:space="preserve">Desan, Wilfrid.</t>
  </si>
  <si>
    <t xml:space="preserve">Garden City, N.Y. : Doubleday, 1965.</t>
  </si>
  <si>
    <t xml:space="preserve">1572921:eng</t>
  </si>
  <si>
    <t xml:space="preserve">1422308</t>
  </si>
  <si>
    <t xml:space="preserve">991003748779702656</t>
  </si>
  <si>
    <t xml:space="preserve">2269250680002656</t>
  </si>
  <si>
    <t xml:space="preserve">32285000194703</t>
  </si>
  <si>
    <t xml:space="preserve">893868800</t>
  </si>
  <si>
    <t xml:space="preserve">32285000194711</t>
  </si>
  <si>
    <t xml:space="preserve">893887842</t>
  </si>
  <si>
    <t xml:space="preserve">B2430.S34 D63 1993</t>
  </si>
  <si>
    <t xml:space="preserve">0                      B  2430000S  34                 D  63          1993</t>
  </si>
  <si>
    <t xml:space="preserve">Jean-Paul Sartre and the politics of reason : a theory of history / Andrew Dobson.</t>
  </si>
  <si>
    <t xml:space="preserve">Dobson, Andrew.</t>
  </si>
  <si>
    <t xml:space="preserve">Cambridge [England] ; New York, NY, USA : Cambridge University Press, 1993.</t>
  </si>
  <si>
    <t xml:space="preserve">1994-09-01</t>
  </si>
  <si>
    <t xml:space="preserve">201774811:eng</t>
  </si>
  <si>
    <t xml:space="preserve">27172051</t>
  </si>
  <si>
    <t xml:space="preserve">991002119569702656</t>
  </si>
  <si>
    <t xml:space="preserve">2271216070002656</t>
  </si>
  <si>
    <t xml:space="preserve">9780521434492</t>
  </si>
  <si>
    <t xml:space="preserve">32285001941730</t>
  </si>
  <si>
    <t xml:space="preserve">893420957</t>
  </si>
  <si>
    <t xml:space="preserve">B2430.S34 F4</t>
  </si>
  <si>
    <t xml:space="preserve">0                      B  2430000S  34                 F  4</t>
  </si>
  <si>
    <t xml:space="preserve">Emotion in the thought of Sartre / [by] Joseph P. Fell, III.</t>
  </si>
  <si>
    <t xml:space="preserve">Fell, Joseph P.</t>
  </si>
  <si>
    <t xml:space="preserve">New York : Columbia University Press, 1965.</t>
  </si>
  <si>
    <t xml:space="preserve">1995-04-18</t>
  </si>
  <si>
    <t xml:space="preserve">571593:eng</t>
  </si>
  <si>
    <t xml:space="preserve">372778</t>
  </si>
  <si>
    <t xml:space="preserve">991002566909702656</t>
  </si>
  <si>
    <t xml:space="preserve">2261517250002656</t>
  </si>
  <si>
    <t xml:space="preserve">32285000194745</t>
  </si>
  <si>
    <t xml:space="preserve">893251384</t>
  </si>
  <si>
    <t xml:space="preserve">B2430.S34 G47 1989</t>
  </si>
  <si>
    <t xml:space="preserve">0                      B  2430000S  34                 G  47          1989</t>
  </si>
  <si>
    <t xml:space="preserve">Jean-Paul Sartre : hated conscience of his century / John Gerassi.</t>
  </si>
  <si>
    <t xml:space="preserve">Gerassi, John.</t>
  </si>
  <si>
    <t xml:space="preserve">Chicago : University of Chicago Press, 1989-</t>
  </si>
  <si>
    <t xml:space="preserve">1993-10-01</t>
  </si>
  <si>
    <t xml:space="preserve">18006193:eng</t>
  </si>
  <si>
    <t xml:space="preserve">18589078</t>
  </si>
  <si>
    <t xml:space="preserve">991001373149702656</t>
  </si>
  <si>
    <t xml:space="preserve">2264397570002656</t>
  </si>
  <si>
    <t xml:space="preserve">9780226287973</t>
  </si>
  <si>
    <t xml:space="preserve">32285000094598</t>
  </si>
  <si>
    <t xml:space="preserve">893346446</t>
  </si>
  <si>
    <t xml:space="preserve">B2430.S34 H353</t>
  </si>
  <si>
    <t xml:space="preserve">0                      B  2430000S  34                 H  353</t>
  </si>
  <si>
    <t xml:space="preserve">Sartre's ontology : a study of Being and nothingness in the light of Hegel's logic.</t>
  </si>
  <si>
    <t xml:space="preserve">Hartmann, Klaus, 1925 September 5-</t>
  </si>
  <si>
    <t xml:space="preserve">Evanston, [Ill.] : Northwestern University Press, 1966.</t>
  </si>
  <si>
    <t xml:space="preserve">1997-11-09</t>
  </si>
  <si>
    <t xml:space="preserve">3943724190:eng</t>
  </si>
  <si>
    <t xml:space="preserve">372311</t>
  </si>
  <si>
    <t xml:space="preserve">991002564369702656</t>
  </si>
  <si>
    <t xml:space="preserve">2261738410002656</t>
  </si>
  <si>
    <t xml:space="preserve">32285000194802</t>
  </si>
  <si>
    <t xml:space="preserve">893510906</t>
  </si>
  <si>
    <t xml:space="preserve">B2430.S34 J38</t>
  </si>
  <si>
    <t xml:space="preserve">0                      B  2430000S  34                 J  38</t>
  </si>
  <si>
    <t xml:space="preserve">Jean-Paul Sartre--contemporary approaches to his philosophy / edited by Hugh J. Silverman and Frederick A. Elliston.</t>
  </si>
  <si>
    <t xml:space="preserve">Pittsburgh : Duquesne University Press, 1980.</t>
  </si>
  <si>
    <t xml:space="preserve">1995-12-09</t>
  </si>
  <si>
    <t xml:space="preserve">459000:eng</t>
  </si>
  <si>
    <t xml:space="preserve">6422948</t>
  </si>
  <si>
    <t xml:space="preserve">991004981659702656</t>
  </si>
  <si>
    <t xml:space="preserve">2269145890002656</t>
  </si>
  <si>
    <t xml:space="preserve">9780391016347</t>
  </si>
  <si>
    <t xml:space="preserve">32285000194836</t>
  </si>
  <si>
    <t xml:space="preserve">893513869</t>
  </si>
  <si>
    <t xml:space="preserve">B2430.S34 J413 1980</t>
  </si>
  <si>
    <t xml:space="preserve">0                      B  2430000S  34                 J  413         1980</t>
  </si>
  <si>
    <t xml:space="preserve">Sartre and the problem of morality / Francis Jeanson ; translated from the French and with an introd. by Robert V. Stone.</t>
  </si>
  <si>
    <t xml:space="preserve">Jeanson, Francis, 1922-2009.</t>
  </si>
  <si>
    <t xml:space="preserve">Bloomington : Indiana University Press, c1980.</t>
  </si>
  <si>
    <t xml:space="preserve">Studies in phenomenology and existential philosophy</t>
  </si>
  <si>
    <t xml:space="preserve">5090574554:eng</t>
  </si>
  <si>
    <t xml:space="preserve">6280608</t>
  </si>
  <si>
    <t xml:space="preserve">991004957119702656</t>
  </si>
  <si>
    <t xml:space="preserve">2256094060002656</t>
  </si>
  <si>
    <t xml:space="preserve">9780253166036</t>
  </si>
  <si>
    <t xml:space="preserve">32285000194844</t>
  </si>
  <si>
    <t xml:space="preserve">893889473</t>
  </si>
  <si>
    <t xml:space="preserve">B2430.S34 K3</t>
  </si>
  <si>
    <t xml:space="preserve">0                      B  2430000S  34                 K  3</t>
  </si>
  <si>
    <t xml:space="preserve">An existentialist aesthetic : the theories of Sartre and Merleau-Ponty.</t>
  </si>
  <si>
    <t xml:space="preserve">Kaelin, Eugene Francis, 1926-</t>
  </si>
  <si>
    <t xml:space="preserve">Madison : University of Wisconsin Press, 1962.</t>
  </si>
  <si>
    <t xml:space="preserve">2008-10-28</t>
  </si>
  <si>
    <t xml:space="preserve">529345:eng</t>
  </si>
  <si>
    <t xml:space="preserve">1628854</t>
  </si>
  <si>
    <t xml:space="preserve">991003845369702656</t>
  </si>
  <si>
    <t xml:space="preserve">2265575750002656</t>
  </si>
  <si>
    <t xml:space="preserve">32285000194851</t>
  </si>
  <si>
    <t xml:space="preserve">893868944</t>
  </si>
  <si>
    <t xml:space="preserve">B2430.S34 L3 1971</t>
  </si>
  <si>
    <t xml:space="preserve">0                      B  2430000S  34                 L  3           1971</t>
  </si>
  <si>
    <t xml:space="preserve">Reason &amp; violence : a decade of Sartre's philosophy, 1950-1960 / [by] R. D. Laing and D. G. Cooper. With a foreword by Jean-Paul Sartre.</t>
  </si>
  <si>
    <t xml:space="preserve">Laing, R. D. (Ronald David), 1927-1989.</t>
  </si>
  <si>
    <t xml:space="preserve">New York : Pantheon Books, [1971]</t>
  </si>
  <si>
    <t xml:space="preserve">World of man</t>
  </si>
  <si>
    <t xml:space="preserve">1992-04-15</t>
  </si>
  <si>
    <t xml:space="preserve">199055132:eng</t>
  </si>
  <si>
    <t xml:space="preserve">337548</t>
  </si>
  <si>
    <t xml:space="preserve">991002402479702656</t>
  </si>
  <si>
    <t xml:space="preserve">2255790520002656</t>
  </si>
  <si>
    <t xml:space="preserve">9780394470528</t>
  </si>
  <si>
    <t xml:space="preserve">32285000194885</t>
  </si>
  <si>
    <t xml:space="preserve">893529941</t>
  </si>
  <si>
    <t xml:space="preserve">B2430.S34 L38</t>
  </si>
  <si>
    <t xml:space="preserve">0                      B  2430000S  34                 L  38</t>
  </si>
  <si>
    <t xml:space="preserve">The existentialist marxism of Jean-Paul Sartre / by James Lawler.</t>
  </si>
  <si>
    <t xml:space="preserve">Lawler, James, 1939-</t>
  </si>
  <si>
    <t xml:space="preserve">Amsterdam : Grüner, 1976.</t>
  </si>
  <si>
    <t xml:space="preserve">Philosophical currents ; v. 18</t>
  </si>
  <si>
    <t xml:space="preserve">1992-08-31</t>
  </si>
  <si>
    <t xml:space="preserve">497648402:eng</t>
  </si>
  <si>
    <t xml:space="preserve">2620259</t>
  </si>
  <si>
    <t xml:space="preserve">991004187809702656</t>
  </si>
  <si>
    <t xml:space="preserve">2269340410002656</t>
  </si>
  <si>
    <t xml:space="preserve">9789060320396</t>
  </si>
  <si>
    <t xml:space="preserve">32285000194901</t>
  </si>
  <si>
    <t xml:space="preserve">893599536</t>
  </si>
  <si>
    <t xml:space="preserve">B2430.S34 M27</t>
  </si>
  <si>
    <t xml:space="preserve">0                      B  2430000S  34                 M  27</t>
  </si>
  <si>
    <t xml:space="preserve">Humans being : the world of Jean-Paul Sartre / [by] Joseph H. McMahon.</t>
  </si>
  <si>
    <t xml:space="preserve">McMahon, Joseph H.</t>
  </si>
  <si>
    <t xml:space="preserve">Chicago : University of Chicago Press, [1971]</t>
  </si>
  <si>
    <t xml:space="preserve">1992-04-22</t>
  </si>
  <si>
    <t xml:space="preserve">293164984:eng</t>
  </si>
  <si>
    <t xml:space="preserve">139650</t>
  </si>
  <si>
    <t xml:space="preserve">991000803029702656</t>
  </si>
  <si>
    <t xml:space="preserve">2261374100002656</t>
  </si>
  <si>
    <t xml:space="preserve">9780226561004</t>
  </si>
  <si>
    <t xml:space="preserve">32285000194927</t>
  </si>
  <si>
    <t xml:space="preserve">893243605</t>
  </si>
  <si>
    <t xml:space="preserve">B2430.S34 M33</t>
  </si>
  <si>
    <t xml:space="preserve">0                      B  2430000S  34                 M  33</t>
  </si>
  <si>
    <t xml:space="preserve">Jean-Paul Sartre : philosopher without faith / by René Marill- Albérès [pseud. Translated from the French by Wade Baskin]</t>
  </si>
  <si>
    <t xml:space="preserve">Albérès, R. M. (René Marill), 1921-1982.</t>
  </si>
  <si>
    <t xml:space="preserve">New York : Philosophical Library, [1961]</t>
  </si>
  <si>
    <t xml:space="preserve">4095489118:eng</t>
  </si>
  <si>
    <t xml:space="preserve">527704</t>
  </si>
  <si>
    <t xml:space="preserve">991002922849702656</t>
  </si>
  <si>
    <t xml:space="preserve">2264224030002656</t>
  </si>
  <si>
    <t xml:space="preserve">32285000194943</t>
  </si>
  <si>
    <t xml:space="preserve">893245817</t>
  </si>
  <si>
    <t xml:space="preserve">B2430.S34 M42</t>
  </si>
  <si>
    <t xml:space="preserve">0                      B  2430000S  34                 M  42</t>
  </si>
  <si>
    <t xml:space="preserve">The work of Sartre / by Istvan Meszaros.</t>
  </si>
  <si>
    <t xml:space="preserve">Mészáros, István, 1930-</t>
  </si>
  <si>
    <t xml:space="preserve">Atlantic Highlands, N.J. : Humanities Press, 1979-</t>
  </si>
  <si>
    <t xml:space="preserve">Philosophy now</t>
  </si>
  <si>
    <t xml:space="preserve">1995-12-13</t>
  </si>
  <si>
    <t xml:space="preserve">44102223:eng</t>
  </si>
  <si>
    <t xml:space="preserve">4550005</t>
  </si>
  <si>
    <t xml:space="preserve">991004679109702656</t>
  </si>
  <si>
    <t xml:space="preserve">2260387440002656</t>
  </si>
  <si>
    <t xml:space="preserve">9780391005464</t>
  </si>
  <si>
    <t xml:space="preserve">32285000194950</t>
  </si>
  <si>
    <t xml:space="preserve">893526381</t>
  </si>
  <si>
    <t xml:space="preserve">B2430.S34 M6</t>
  </si>
  <si>
    <t xml:space="preserve">0                      B  2430000S  34                 M  6</t>
  </si>
  <si>
    <t xml:space="preserve">Sartre : ideologue of our time / by Thomas Molnar.</t>
  </si>
  <si>
    <t xml:space="preserve">Molnar, Thomas Steven.</t>
  </si>
  <si>
    <t xml:space="preserve">New York : Funk &amp; Wagnalls, [1968]</t>
  </si>
  <si>
    <t xml:space="preserve">1992-04-17</t>
  </si>
  <si>
    <t xml:space="preserve">1746097:eng</t>
  </si>
  <si>
    <t xml:space="preserve">1164571</t>
  </si>
  <si>
    <t xml:space="preserve">991003582779702656</t>
  </si>
  <si>
    <t xml:space="preserve">2262723270002656</t>
  </si>
  <si>
    <t xml:space="preserve">32285000194968</t>
  </si>
  <si>
    <t xml:space="preserve">893441451</t>
  </si>
  <si>
    <t xml:space="preserve">B2430.S34 M65 1976</t>
  </si>
  <si>
    <t xml:space="preserve">0                      B  2430000S  34                 M  65          1976</t>
  </si>
  <si>
    <t xml:space="preserve">Sartre's concept of a person : an analytic approach / by Phyllis Sutton Morris.</t>
  </si>
  <si>
    <t xml:space="preserve">Morris, Phyllis Sutton, 1931-</t>
  </si>
  <si>
    <t xml:space="preserve">Amherst : University of Massachusetts Press, 1976, c1975.</t>
  </si>
  <si>
    <t xml:space="preserve">797049966:eng</t>
  </si>
  <si>
    <t xml:space="preserve">1365106</t>
  </si>
  <si>
    <t xml:space="preserve">991003719389702656</t>
  </si>
  <si>
    <t xml:space="preserve">2256234690002656</t>
  </si>
  <si>
    <t xml:space="preserve">9780870231858</t>
  </si>
  <si>
    <t xml:space="preserve">32285000194976</t>
  </si>
  <si>
    <t xml:space="preserve">893699325</t>
  </si>
  <si>
    <t xml:space="preserve">B2430.S34 M8</t>
  </si>
  <si>
    <t xml:space="preserve">0                      B  2430000S  34                 M  8</t>
  </si>
  <si>
    <t xml:space="preserve">Sartre, romantic rationalist.</t>
  </si>
  <si>
    <t xml:space="preserve">Murdoch, Iris.</t>
  </si>
  <si>
    <t xml:space="preserve">New Haven : Yale University Press, 1953.</t>
  </si>
  <si>
    <t xml:space="preserve">Studies in modern European literature and thought</t>
  </si>
  <si>
    <t xml:space="preserve">2005-06-03</t>
  </si>
  <si>
    <t xml:space="preserve">1632475:eng</t>
  </si>
  <si>
    <t xml:space="preserve">1214918</t>
  </si>
  <si>
    <t xml:space="preserve">991003624449702656</t>
  </si>
  <si>
    <t xml:space="preserve">2265022850002656</t>
  </si>
  <si>
    <t xml:space="preserve">32285000194984</t>
  </si>
  <si>
    <t xml:space="preserve">893429003</t>
  </si>
  <si>
    <t xml:space="preserve">B2430.S34 R5</t>
  </si>
  <si>
    <t xml:space="preserve">0                      B  2430000S  34                 R  5</t>
  </si>
  <si>
    <t xml:space="preserve">Jean-Paul Sartre / translated by Fred D. Wieck.</t>
  </si>
  <si>
    <t xml:space="preserve">Richter, Liselotte.</t>
  </si>
  <si>
    <t xml:space="preserve">New York : F. Ungar Pub. Co., [1970]</t>
  </si>
  <si>
    <t xml:space="preserve">Modern literature monographs</t>
  </si>
  <si>
    <t xml:space="preserve">1990-07-02</t>
  </si>
  <si>
    <t xml:space="preserve">2487660206:eng</t>
  </si>
  <si>
    <t xml:space="preserve">116347</t>
  </si>
  <si>
    <t xml:space="preserve">991000657939702656</t>
  </si>
  <si>
    <t xml:space="preserve">2260466500002656</t>
  </si>
  <si>
    <t xml:space="preserve">9780804427326</t>
  </si>
  <si>
    <t xml:space="preserve">32285000195007</t>
  </si>
  <si>
    <t xml:space="preserve">893903108</t>
  </si>
  <si>
    <t xml:space="preserve">B2430.S34 S36 1984</t>
  </si>
  <si>
    <t xml:space="preserve">0                      B  2430000S  34                 S  36          1984</t>
  </si>
  <si>
    <t xml:space="preserve">Sartre and his predecessors : the self and the other / by William Ralph Schroeder.</t>
  </si>
  <si>
    <t xml:space="preserve">Schroeder, William Ralph.</t>
  </si>
  <si>
    <t xml:space="preserve">Boston : Routledge &amp; Kegan Paul, 1984.</t>
  </si>
  <si>
    <t xml:space="preserve">2003-04-26</t>
  </si>
  <si>
    <t xml:space="preserve">836655400:eng</t>
  </si>
  <si>
    <t xml:space="preserve">10430782</t>
  </si>
  <si>
    <t xml:space="preserve">991000371179702656</t>
  </si>
  <si>
    <t xml:space="preserve">2264572490002656</t>
  </si>
  <si>
    <t xml:space="preserve">9780710202741</t>
  </si>
  <si>
    <t xml:space="preserve">32285000220029</t>
  </si>
  <si>
    <t xml:space="preserve">893502419</t>
  </si>
  <si>
    <t xml:space="preserve">B2430.S34 T48 1972</t>
  </si>
  <si>
    <t xml:space="preserve">0                      B  2430000S  34                 T  48          1972</t>
  </si>
  <si>
    <t xml:space="preserve">Sartre : a biographical introduction / [by] Philip Thody.</t>
  </si>
  <si>
    <t xml:space="preserve">Thody, Philip, 1928-1999.</t>
  </si>
  <si>
    <t xml:space="preserve">New York : Scribner, [1972, c1971]</t>
  </si>
  <si>
    <t xml:space="preserve">2008-01-22</t>
  </si>
  <si>
    <t xml:space="preserve">1194764:eng</t>
  </si>
  <si>
    <t xml:space="preserve">297935</t>
  </si>
  <si>
    <t xml:space="preserve">991002248329702656</t>
  </si>
  <si>
    <t xml:space="preserve">2264836440002656</t>
  </si>
  <si>
    <t xml:space="preserve">9780684126739</t>
  </si>
  <si>
    <t xml:space="preserve">32285000220052</t>
  </si>
  <si>
    <t xml:space="preserve">893439939</t>
  </si>
  <si>
    <t xml:space="preserve">B2430.S34 W28 1967</t>
  </si>
  <si>
    <t xml:space="preserve">0                      B  2430000S  34                 W  28          1967</t>
  </si>
  <si>
    <t xml:space="preserve">Existentialist ethics.</t>
  </si>
  <si>
    <t xml:space="preserve">Warnock, Mary.</t>
  </si>
  <si>
    <t xml:space="preserve">London : Macmillan ; New York : St. Martin's P., 1967.</t>
  </si>
  <si>
    <t xml:space="preserve">1996-05-05</t>
  </si>
  <si>
    <t xml:space="preserve">1462201:eng</t>
  </si>
  <si>
    <t xml:space="preserve">374992</t>
  </si>
  <si>
    <t xml:space="preserve">991002579629702656</t>
  </si>
  <si>
    <t xml:space="preserve">2262314090002656</t>
  </si>
  <si>
    <t xml:space="preserve">32285000220060</t>
  </si>
  <si>
    <t xml:space="preserve">893610018</t>
  </si>
  <si>
    <t xml:space="preserve">B2430.T373 E5136 1971</t>
  </si>
  <si>
    <t xml:space="preserve">0                      B  2430000T  373                E  5136        1971</t>
  </si>
  <si>
    <t xml:space="preserve">Human energy / translated by J. M. Cohen.</t>
  </si>
  <si>
    <t xml:space="preserve">Teilhard de Chardin, Pierre.</t>
  </si>
  <si>
    <t xml:space="preserve">New York : Harcourt Brace Jovanovich, [1971, c1969]</t>
  </si>
  <si>
    <t xml:space="preserve">2005-08-29</t>
  </si>
  <si>
    <t xml:space="preserve">2830255907:eng</t>
  </si>
  <si>
    <t xml:space="preserve">111965</t>
  </si>
  <si>
    <t xml:space="preserve">991000648399702656</t>
  </si>
  <si>
    <t xml:space="preserve">2268409670002656</t>
  </si>
  <si>
    <t xml:space="preserve">9780151423903</t>
  </si>
  <si>
    <t xml:space="preserve">32285000220201</t>
  </si>
  <si>
    <t xml:space="preserve">893702305</t>
  </si>
  <si>
    <t xml:space="preserve">B2430.T373 E873 1971</t>
  </si>
  <si>
    <t xml:space="preserve">0                      B  2430000T  373                E  873         1971</t>
  </si>
  <si>
    <t xml:space="preserve">The eternal feminine : a study on the poem by Teilhard de Chardin, followed by Teilhard and the problems of today / translated [from the French] by René Hague.</t>
  </si>
  <si>
    <t xml:space="preserve">Lubac, Henri de, 1896-1991.</t>
  </si>
  <si>
    <t xml:space="preserve">London : Collins, 1971.</t>
  </si>
  <si>
    <t xml:space="preserve">2009-06-16</t>
  </si>
  <si>
    <t xml:space="preserve">1150942003:eng</t>
  </si>
  <si>
    <t xml:space="preserve">220177</t>
  </si>
  <si>
    <t xml:space="preserve">991001296809702656</t>
  </si>
  <si>
    <t xml:space="preserve">2261355610002656</t>
  </si>
  <si>
    <t xml:space="preserve">9780002154628</t>
  </si>
  <si>
    <t xml:space="preserve">32285000220227</t>
  </si>
  <si>
    <t xml:space="preserve">893614960</t>
  </si>
  <si>
    <t xml:space="preserve">B2430.T373 E873 1971a</t>
  </si>
  <si>
    <t xml:space="preserve">0                      B  2430000T  373                E  873         1971a</t>
  </si>
  <si>
    <t xml:space="preserve">The eternal feminine : a study on the poem by Teilhard de Chardin, followed by Teilhard and the problems of today / translated by René Hague.</t>
  </si>
  <si>
    <t xml:space="preserve">New York : Harper &amp; Row, [c1971]</t>
  </si>
  <si>
    <t xml:space="preserve">[1st U.S. ed.]</t>
  </si>
  <si>
    <t xml:space="preserve">1995-06-24</t>
  </si>
  <si>
    <t xml:space="preserve">297401</t>
  </si>
  <si>
    <t xml:space="preserve">991002244119702656</t>
  </si>
  <si>
    <t xml:space="preserve">2262925260002656</t>
  </si>
  <si>
    <t xml:space="preserve">32285000220219</t>
  </si>
  <si>
    <t xml:space="preserve">893328851</t>
  </si>
  <si>
    <t xml:space="preserve">B2430.T373 P65 1970</t>
  </si>
  <si>
    <t xml:space="preserve">0                      B  2430000T  373                P  65          1970</t>
  </si>
  <si>
    <t xml:space="preserve">A path through Teilhard's Phenomenon / [by] W. Henry Kenney.</t>
  </si>
  <si>
    <t xml:space="preserve">Kenney, W. Henry, 1918-</t>
  </si>
  <si>
    <t xml:space="preserve">Dayton : Ohio, Pflaum Press, 1970.</t>
  </si>
  <si>
    <t xml:space="preserve">Themes for today</t>
  </si>
  <si>
    <t xml:space="preserve">2001-09-13</t>
  </si>
  <si>
    <t xml:space="preserve">1991-01-03</t>
  </si>
  <si>
    <t xml:space="preserve">2614575360:eng</t>
  </si>
  <si>
    <t xml:space="preserve">89827</t>
  </si>
  <si>
    <t xml:space="preserve">991000532839702656</t>
  </si>
  <si>
    <t xml:space="preserve">2259107310002656</t>
  </si>
  <si>
    <t xml:space="preserve">32285000297563</t>
  </si>
  <si>
    <t xml:space="preserve">893528130</t>
  </si>
  <si>
    <t xml:space="preserve">B2430.T374 B6813 1967</t>
  </si>
  <si>
    <t xml:space="preserve">0                      B  2430000T  374                B  6813        1967</t>
  </si>
  <si>
    <t xml:space="preserve">Christ in the thought of Teilhard de Chardin / Francisco Bravo ; translated by Cathryn B. Larme.</t>
  </si>
  <si>
    <t xml:space="preserve">Bravo, Francisco, 1934-</t>
  </si>
  <si>
    <t xml:space="preserve">Notre Dame : University of Notre Dame Press, [1967]</t>
  </si>
  <si>
    <t xml:space="preserve">1993-02-03</t>
  </si>
  <si>
    <t xml:space="preserve">1524136:eng</t>
  </si>
  <si>
    <t xml:space="preserve">523591</t>
  </si>
  <si>
    <t xml:space="preserve">991002914189702656</t>
  </si>
  <si>
    <t xml:space="preserve">2261730800002656</t>
  </si>
  <si>
    <t xml:space="preserve">32285000297605</t>
  </si>
  <si>
    <t xml:space="preserve">893517917</t>
  </si>
  <si>
    <t xml:space="preserve">B2430.T374 C63 1971b</t>
  </si>
  <si>
    <t xml:space="preserve">0                      B  2430000T  374                C  63          1971b</t>
  </si>
  <si>
    <t xml:space="preserve">The spirituality of Teilhard de Chardin.</t>
  </si>
  <si>
    <t xml:space="preserve">Corbishley, Thomas.</t>
  </si>
  <si>
    <t xml:space="preserve">Paramus, N.J. : Paulist Press, [1971]</t>
  </si>
  <si>
    <t xml:space="preserve">2001-11-05</t>
  </si>
  <si>
    <t xml:space="preserve">1255991:eng</t>
  </si>
  <si>
    <t xml:space="preserve">427608</t>
  </si>
  <si>
    <t xml:space="preserve">991002760039702656</t>
  </si>
  <si>
    <t xml:space="preserve">2264678830002656</t>
  </si>
  <si>
    <t xml:space="preserve">32285004388616</t>
  </si>
  <si>
    <t xml:space="preserve">893904071</t>
  </si>
  <si>
    <t xml:space="preserve">B2430.T374 C683 1968</t>
  </si>
  <si>
    <t xml:space="preserve">0                      B  2430000T  374                C  683         1968</t>
  </si>
  <si>
    <t xml:space="preserve">From science to theology : an essay on Teilhard de Chardin / Georges Crespy ; translated by George H. Shriver.</t>
  </si>
  <si>
    <t xml:space="preserve">Crespy, Georges.</t>
  </si>
  <si>
    <t xml:space="preserve">Nashville : Abingdon Press, [1968]</t>
  </si>
  <si>
    <t xml:space="preserve">2001-10-23</t>
  </si>
  <si>
    <t xml:space="preserve">365623376:eng</t>
  </si>
  <si>
    <t xml:space="preserve">373578</t>
  </si>
  <si>
    <t xml:space="preserve">991002570569702656</t>
  </si>
  <si>
    <t xml:space="preserve">2261249790002656</t>
  </si>
  <si>
    <t xml:space="preserve">32285000297738</t>
  </si>
  <si>
    <t xml:space="preserve">893535085</t>
  </si>
  <si>
    <t xml:space="preserve">B2430.T374 G66</t>
  </si>
  <si>
    <t xml:space="preserve">0                      B  2430000T  374                G  66</t>
  </si>
  <si>
    <t xml:space="preserve">Morality and the human future in the thought of Teilhard de Chardin : a critical study / Joseph A. Grau.</t>
  </si>
  <si>
    <t xml:space="preserve">Grau, Joseph A.</t>
  </si>
  <si>
    <t xml:space="preserve">Rutherford : Fairleigh Dickinson University Press ; Cranbury, N.J. : [distributed by] Associated University Presses, c1976.</t>
  </si>
  <si>
    <t xml:space="preserve">2005-09-12</t>
  </si>
  <si>
    <t xml:space="preserve">308743324:eng</t>
  </si>
  <si>
    <t xml:space="preserve">1583688</t>
  </si>
  <si>
    <t xml:space="preserve">991003829659702656</t>
  </si>
  <si>
    <t xml:space="preserve">2269247890002656</t>
  </si>
  <si>
    <t xml:space="preserve">9780838615799</t>
  </si>
  <si>
    <t xml:space="preserve">32285000204734</t>
  </si>
  <si>
    <t xml:space="preserve">893722115</t>
  </si>
  <si>
    <t xml:space="preserve">B2430.T374 G68 1969</t>
  </si>
  <si>
    <t xml:space="preserve">0                      B  2430000T  374                G  68          1969</t>
  </si>
  <si>
    <t xml:space="preserve">The one and the many : Teilhard de Chardin's vision of unity / [by] Donald P. Gray.</t>
  </si>
  <si>
    <t xml:space="preserve">Gray, Donald P.</t>
  </si>
  <si>
    <t xml:space="preserve">New York : Herder and Herder, [1969]</t>
  </si>
  <si>
    <t xml:space="preserve">2001-09-16</t>
  </si>
  <si>
    <t xml:space="preserve">1188781:eng</t>
  </si>
  <si>
    <t xml:space="preserve">56386</t>
  </si>
  <si>
    <t xml:space="preserve">991000136149702656</t>
  </si>
  <si>
    <t xml:space="preserve">2261167440002656</t>
  </si>
  <si>
    <t xml:space="preserve">32285000297555</t>
  </si>
  <si>
    <t xml:space="preserve">893601493</t>
  </si>
  <si>
    <t xml:space="preserve">B2430.T374 K5</t>
  </si>
  <si>
    <t xml:space="preserve">0                      B  2430000T  374                K  5</t>
  </si>
  <si>
    <t xml:space="preserve">Teilhard's mysticism of knowing / Thomas M. King.</t>
  </si>
  <si>
    <t xml:space="preserve">King, Thomas M. (Thomas Mulvihill), 1929-2009.</t>
  </si>
  <si>
    <t xml:space="preserve">New York : Seabury Press, 1981.</t>
  </si>
  <si>
    <t xml:space="preserve">2001-10-30</t>
  </si>
  <si>
    <t xml:space="preserve">479334:eng</t>
  </si>
  <si>
    <t xml:space="preserve">6864416</t>
  </si>
  <si>
    <t xml:space="preserve">991005050619702656</t>
  </si>
  <si>
    <t xml:space="preserve">2269698230002656</t>
  </si>
  <si>
    <t xml:space="preserve">9780816404919</t>
  </si>
  <si>
    <t xml:space="preserve">32285000204759</t>
  </si>
  <si>
    <t xml:space="preserve">893719698</t>
  </si>
  <si>
    <t xml:space="preserve">B2430.T374 L39</t>
  </si>
  <si>
    <t xml:space="preserve">0                      B  2430000T  374                L  39</t>
  </si>
  <si>
    <t xml:space="preserve">Pierre Teilhard de Chardin, tel que je l'ai connu.</t>
  </si>
  <si>
    <t xml:space="preserve">Leroy, Pierre, 1948 February 26-</t>
  </si>
  <si>
    <t xml:space="preserve">Paris, Plon [1958]</t>
  </si>
  <si>
    <t xml:space="preserve">1999-07-13</t>
  </si>
  <si>
    <t xml:space="preserve">47880543:fre</t>
  </si>
  <si>
    <t xml:space="preserve">1076132</t>
  </si>
  <si>
    <t xml:space="preserve">991003517749702656</t>
  </si>
  <si>
    <t xml:space="preserve">2257549220002656</t>
  </si>
  <si>
    <t xml:space="preserve">32285000204791</t>
  </si>
  <si>
    <t xml:space="preserve">893318060</t>
  </si>
  <si>
    <t xml:space="preserve">B2430.T374 L78 1962</t>
  </si>
  <si>
    <t xml:space="preserve">0                      B  2430000T  374                L  78          1962</t>
  </si>
  <si>
    <t xml:space="preserve">La pensée religieuse du père Pierre Teilhard de Chardin / Henri de Lubac.</t>
  </si>
  <si>
    <t xml:space="preserve">[Paris] : Aubier, [1962]</t>
  </si>
  <si>
    <t xml:space="preserve">2009-01-14</t>
  </si>
  <si>
    <t xml:space="preserve">1904308:fre</t>
  </si>
  <si>
    <t xml:space="preserve">853178</t>
  </si>
  <si>
    <t xml:space="preserve">991005290449702656</t>
  </si>
  <si>
    <t xml:space="preserve">2264571110002656</t>
  </si>
  <si>
    <t xml:space="preserve">32285005478622</t>
  </si>
  <si>
    <t xml:space="preserve">893777165</t>
  </si>
  <si>
    <t xml:space="preserve">B2430.T374 L836</t>
  </si>
  <si>
    <t xml:space="preserve">0                      B  2430000T  374                L  836</t>
  </si>
  <si>
    <t xml:space="preserve">Teilhard / by Mary Lukas and Ellen Lukas.</t>
  </si>
  <si>
    <t xml:space="preserve">Lukas, Mary, 1928-</t>
  </si>
  <si>
    <t xml:space="preserve">Garden City, N.Y. : Doubleday, 1977.</t>
  </si>
  <si>
    <t xml:space="preserve">5622788:eng</t>
  </si>
  <si>
    <t xml:space="preserve">2542005</t>
  </si>
  <si>
    <t xml:space="preserve">991004156239702656</t>
  </si>
  <si>
    <t xml:space="preserve">2272088940002656</t>
  </si>
  <si>
    <t xml:space="preserve">9780385024440</t>
  </si>
  <si>
    <t xml:space="preserve">32285000204841</t>
  </si>
  <si>
    <t xml:space="preserve">893235117</t>
  </si>
  <si>
    <t xml:space="preserve">B2430.T374 M33</t>
  </si>
  <si>
    <t xml:space="preserve">0                      B  2430000T  374                M  33</t>
  </si>
  <si>
    <t xml:space="preserve">Pierre Teilhard de Chardin : a comprehensive bibliography / Joseph M. McCarthy.</t>
  </si>
  <si>
    <t xml:space="preserve">McCarthy, Joseph M., 1940-</t>
  </si>
  <si>
    <t xml:space="preserve">New York : Garland Pub., 1981.</t>
  </si>
  <si>
    <t xml:space="preserve">Garland reference library of the humanities ; v. 158</t>
  </si>
  <si>
    <t xml:space="preserve">806855308:eng</t>
  </si>
  <si>
    <t xml:space="preserve">7306220</t>
  </si>
  <si>
    <t xml:space="preserve">991005102399702656</t>
  </si>
  <si>
    <t xml:space="preserve">2257844830002656</t>
  </si>
  <si>
    <t xml:space="preserve">9780824097837</t>
  </si>
  <si>
    <t xml:space="preserve">32285000204858</t>
  </si>
  <si>
    <t xml:space="preserve">893789439</t>
  </si>
  <si>
    <t xml:space="preserve">B2430.T374 N6</t>
  </si>
  <si>
    <t xml:space="preserve">0                      B  2430000T  374                N  6</t>
  </si>
  <si>
    <t xml:space="preserve">Teilhard and the creation of the soul / Introd. by Karl Rahner.</t>
  </si>
  <si>
    <t xml:space="preserve">North, Robert, 1916-2007.</t>
  </si>
  <si>
    <t xml:space="preserve">Milwaukee : Bruce Pub. Co., [c1967]</t>
  </si>
  <si>
    <t xml:space="preserve">Saint Louis University (Saint Marys) theology studies, 5</t>
  </si>
  <si>
    <t xml:space="preserve">15690239:eng</t>
  </si>
  <si>
    <t xml:space="preserve">249104</t>
  </si>
  <si>
    <t xml:space="preserve">991001931699702656</t>
  </si>
  <si>
    <t xml:space="preserve">2256123460002656</t>
  </si>
  <si>
    <t xml:space="preserve">32285000204890</t>
  </si>
  <si>
    <t xml:space="preserve">893322373</t>
  </si>
  <si>
    <t xml:space="preserve">B2430.T374 R513</t>
  </si>
  <si>
    <t xml:space="preserve">0                      B  2430000T  374                R  513</t>
  </si>
  <si>
    <t xml:space="preserve">The thought of Teilhard de Chardin / translated by René Hague.</t>
  </si>
  <si>
    <t xml:space="preserve">Rideau, Émile, 1899-1981.</t>
  </si>
  <si>
    <t xml:space="preserve">New York : Harper &amp; Row, [c1967]</t>
  </si>
  <si>
    <t xml:space="preserve">351206988:eng</t>
  </si>
  <si>
    <t xml:space="preserve">165719</t>
  </si>
  <si>
    <t xml:space="preserve">991000938799702656</t>
  </si>
  <si>
    <t xml:space="preserve">2269786120002656</t>
  </si>
  <si>
    <t xml:space="preserve">32285000204916</t>
  </si>
  <si>
    <t xml:space="preserve">893589887</t>
  </si>
  <si>
    <t xml:space="preserve">B2430.T374 S643</t>
  </si>
  <si>
    <t xml:space="preserve">0                      B  2430000T  374                S  643</t>
  </si>
  <si>
    <t xml:space="preserve">The design of Teilhard de Chardin; an essay in theological reflection, by Piet Smulders. Introd. by Christian d'Armagnan. Translated by Arthur Gibson.</t>
  </si>
  <si>
    <t xml:space="preserve">Smulders, Pieter Frans, 1911-</t>
  </si>
  <si>
    <t xml:space="preserve">Westminster, Md., Newman Press, 1967.</t>
  </si>
  <si>
    <t xml:space="preserve">1755963:eng</t>
  </si>
  <si>
    <t xml:space="preserve">682282</t>
  </si>
  <si>
    <t xml:space="preserve">991003140809702656</t>
  </si>
  <si>
    <t xml:space="preserve">2266838420002656</t>
  </si>
  <si>
    <t xml:space="preserve">32285000204932</t>
  </si>
  <si>
    <t xml:space="preserve">893692429</t>
  </si>
  <si>
    <t xml:space="preserve">B2430.T374 S73 1967b</t>
  </si>
  <si>
    <t xml:space="preserve">0                      B  2430000T  374                S  73          1967b</t>
  </si>
  <si>
    <t xml:space="preserve">The life of Teilhard de Chardin.</t>
  </si>
  <si>
    <t xml:space="preserve">Speaight, Robert, 1904-1976.</t>
  </si>
  <si>
    <t xml:space="preserve">New York : Harper &amp; Row, [1967]</t>
  </si>
  <si>
    <t xml:space="preserve">3901427969:eng</t>
  </si>
  <si>
    <t xml:space="preserve">284604</t>
  </si>
  <si>
    <t xml:space="preserve">991002202079702656</t>
  </si>
  <si>
    <t xml:space="preserve">2262621670002656</t>
  </si>
  <si>
    <t xml:space="preserve">32285000204940</t>
  </si>
  <si>
    <t xml:space="preserve">893697472</t>
  </si>
  <si>
    <t xml:space="preserve">B2430.T374 T58 1969</t>
  </si>
  <si>
    <t xml:space="preserve">0                      B  2430000T  374                T  58          1969</t>
  </si>
  <si>
    <t xml:space="preserve">Concerning Teilhard : and other writings on science and religion / Bernard Towers.</t>
  </si>
  <si>
    <t xml:space="preserve">Towers, Bernard.</t>
  </si>
  <si>
    <t xml:space="preserve">London : Collins, 1969.</t>
  </si>
  <si>
    <t xml:space="preserve">146787352:eng</t>
  </si>
  <si>
    <t xml:space="preserve">71171</t>
  </si>
  <si>
    <t xml:space="preserve">991000368619702656</t>
  </si>
  <si>
    <t xml:space="preserve">2272786580002656</t>
  </si>
  <si>
    <t xml:space="preserve">9780002151108</t>
  </si>
  <si>
    <t xml:space="preserve">32285000297621</t>
  </si>
  <si>
    <t xml:space="preserve">893683337</t>
  </si>
  <si>
    <t xml:space="preserve">B2430.W474 C65 1987</t>
  </si>
  <si>
    <t xml:space="preserve">0                      B  2430000W  474                C  65          1987</t>
  </si>
  <si>
    <t xml:space="preserve">Simone Weil : a modern pilgrimage / Robert Coles.</t>
  </si>
  <si>
    <t xml:space="preserve">Coles, Robert.</t>
  </si>
  <si>
    <t xml:space="preserve">Reading, Mass. : Addison-Wesley, c1987.</t>
  </si>
  <si>
    <t xml:space="preserve">Radcliffe biography series</t>
  </si>
  <si>
    <t xml:space="preserve">1996-07-11</t>
  </si>
  <si>
    <t xml:space="preserve">8369019:eng</t>
  </si>
  <si>
    <t xml:space="preserve">15108350</t>
  </si>
  <si>
    <t xml:space="preserve">991000991499702656</t>
  </si>
  <si>
    <t xml:space="preserve">2267536960002656</t>
  </si>
  <si>
    <t xml:space="preserve">9780201022056</t>
  </si>
  <si>
    <t xml:space="preserve">32285000188820</t>
  </si>
  <si>
    <t xml:space="preserve">893237789</t>
  </si>
  <si>
    <t xml:space="preserve">B2430.W474 R4</t>
  </si>
  <si>
    <t xml:space="preserve">0                      B  2430000W  474                R  4</t>
  </si>
  <si>
    <t xml:space="preserve">Simone Weil : a sketch for a portrait / Richard Rees ; with a preface by Harry T. Moore.</t>
  </si>
  <si>
    <t xml:space="preserve">Rees, Richard, 1900-1970.</t>
  </si>
  <si>
    <t xml:space="preserve">Carbondale : Southern Illinois University Press, [1966]</t>
  </si>
  <si>
    <t xml:space="preserve">Crosscurrents/modern critiques</t>
  </si>
  <si>
    <t xml:space="preserve">2003-03-19</t>
  </si>
  <si>
    <t xml:space="preserve">1363887:eng</t>
  </si>
  <si>
    <t xml:space="preserve">234438</t>
  </si>
  <si>
    <t xml:space="preserve">991001696959702656</t>
  </si>
  <si>
    <t xml:space="preserve">2257440480002656</t>
  </si>
  <si>
    <t xml:space="preserve">32285000188846</t>
  </si>
  <si>
    <t xml:space="preserve">893509835</t>
  </si>
  <si>
    <t xml:space="preserve">B2430.W474 T6</t>
  </si>
  <si>
    <t xml:space="preserve">0                      B  2430000W  474                T  6</t>
  </si>
  <si>
    <t xml:space="preserve">Simone Weil.</t>
  </si>
  <si>
    <t xml:space="preserve">Tomlin, E. W. F. (Eric Walter Frederick), 1913-1988.</t>
  </si>
  <si>
    <t xml:space="preserve">Cambridge : Bowes &amp; Bowes, [1954]</t>
  </si>
  <si>
    <t xml:space="preserve">2005-04-06</t>
  </si>
  <si>
    <t xml:space="preserve">137689101:eng</t>
  </si>
  <si>
    <t xml:space="preserve">372119</t>
  </si>
  <si>
    <t xml:space="preserve">991002563179702656</t>
  </si>
  <si>
    <t xml:space="preserve">2261770820002656</t>
  </si>
  <si>
    <t xml:space="preserve">32285000188861</t>
  </si>
  <si>
    <t xml:space="preserve">893409238</t>
  </si>
  <si>
    <t xml:space="preserve">B2521 .B4</t>
  </si>
  <si>
    <t xml:space="preserve">0                      B  2521000B  4</t>
  </si>
  <si>
    <t xml:space="preserve">Early German philosophy : Kant and his predecessors.</t>
  </si>
  <si>
    <t xml:space="preserve">Beck, Lewis White.</t>
  </si>
  <si>
    <t xml:space="preserve">Cambridge, Mass. : Belknap Press of Harvard University Press, 1969.</t>
  </si>
  <si>
    <t xml:space="preserve">2009-03-30</t>
  </si>
  <si>
    <t xml:space="preserve">1230887:eng</t>
  </si>
  <si>
    <t xml:space="preserve">65719</t>
  </si>
  <si>
    <t xml:space="preserve">991000207779702656</t>
  </si>
  <si>
    <t xml:space="preserve">2259294930002656</t>
  </si>
  <si>
    <t xml:space="preserve">9780674221253</t>
  </si>
  <si>
    <t xml:space="preserve">32285000211119</t>
  </si>
  <si>
    <t xml:space="preserve">893345481</t>
  </si>
  <si>
    <t xml:space="preserve">B2521 .P44 1982</t>
  </si>
  <si>
    <t xml:space="preserve">0                      B  2521000P  44          1982</t>
  </si>
  <si>
    <t xml:space="preserve">The ominous parallels : the end of freedom in America / Leonard Peikoff ; introduction by Ayn Rand.</t>
  </si>
  <si>
    <t xml:space="preserve">Peikoff, Leonard.</t>
  </si>
  <si>
    <t xml:space="preserve">New York : Stein and Day/Publishers, 1982.</t>
  </si>
  <si>
    <t xml:space="preserve">1992-10-05</t>
  </si>
  <si>
    <t xml:space="preserve">4160217610:eng</t>
  </si>
  <si>
    <t xml:space="preserve">8172185</t>
  </si>
  <si>
    <t xml:space="preserve">991005214329702656</t>
  </si>
  <si>
    <t xml:space="preserve">2257035280002656</t>
  </si>
  <si>
    <t xml:space="preserve">9780812828504</t>
  </si>
  <si>
    <t xml:space="preserve">32285000098946</t>
  </si>
  <si>
    <t xml:space="preserve">893242387</t>
  </si>
  <si>
    <t xml:space="preserve">B2528.E3 S3 1971</t>
  </si>
  <si>
    <t xml:space="preserve">0                      B  2528000E  3                  S  3           1971</t>
  </si>
  <si>
    <t xml:space="preserve">Egotism in German philosophy.</t>
  </si>
  <si>
    <t xml:space="preserve">Santayana, George, 1863-1952.</t>
  </si>
  <si>
    <t xml:space="preserve">New York : Haskell House, 1971.</t>
  </si>
  <si>
    <t xml:space="preserve">1996-09-06</t>
  </si>
  <si>
    <t xml:space="preserve">1266937:eng</t>
  </si>
  <si>
    <t xml:space="preserve">161043</t>
  </si>
  <si>
    <t xml:space="preserve">991000919249702656</t>
  </si>
  <si>
    <t xml:space="preserve">2269472050002656</t>
  </si>
  <si>
    <t xml:space="preserve">9780838313183</t>
  </si>
  <si>
    <t xml:space="preserve">32285000211127</t>
  </si>
  <si>
    <t xml:space="preserve">893884875</t>
  </si>
  <si>
    <t xml:space="preserve">B2597 .A3 1985</t>
  </si>
  <si>
    <t xml:space="preserve">0                      B  2597000A  3           1985</t>
  </si>
  <si>
    <t xml:space="preserve">Leibniz : a biography / E.J. Aiton.</t>
  </si>
  <si>
    <t xml:space="preserve">Aiton, E. J.</t>
  </si>
  <si>
    <t xml:space="preserve">Bristol : Hilger, 1985.</t>
  </si>
  <si>
    <t xml:space="preserve">836642624:eng</t>
  </si>
  <si>
    <t xml:space="preserve">13582533</t>
  </si>
  <si>
    <t xml:space="preserve">991000695269702656</t>
  </si>
  <si>
    <t xml:space="preserve">2269886590002656</t>
  </si>
  <si>
    <t xml:space="preserve">9780852744703</t>
  </si>
  <si>
    <t xml:space="preserve">32285000211416</t>
  </si>
  <si>
    <t xml:space="preserve">893515528</t>
  </si>
  <si>
    <t xml:space="preserve">B2597 .C27</t>
  </si>
  <si>
    <t xml:space="preserve">0                      B  2597000C  27</t>
  </si>
  <si>
    <t xml:space="preserve">Gottfried Wilhelm Leibniz / Ronald Calinger ; with an essay by Leibniz on the German language translated by Caryn and Bernhard Wunderlich.</t>
  </si>
  <si>
    <t xml:space="preserve">Calinger, Ronald.</t>
  </si>
  <si>
    <t xml:space="preserve">Troy, N.Y. : Edwin B. Allen Mathematics Memorial, Rensselaer Polytechnic Institute, 1976.</t>
  </si>
  <si>
    <t xml:space="preserve">10678265848:eng</t>
  </si>
  <si>
    <t xml:space="preserve">2860799</t>
  </si>
  <si>
    <t xml:space="preserve">991004264759702656</t>
  </si>
  <si>
    <t xml:space="preserve">2269207410002656</t>
  </si>
  <si>
    <t xml:space="preserve">32285000211424</t>
  </si>
  <si>
    <t xml:space="preserve">893722354</t>
  </si>
  <si>
    <t xml:space="preserve">B2597 .C3 1960</t>
  </si>
  <si>
    <t xml:space="preserve">0                      B  2597000C  3           1960</t>
  </si>
  <si>
    <t xml:space="preserve">Leibniz.</t>
  </si>
  <si>
    <t xml:space="preserve">Carr, Herbert Wildon, 1857-1931.</t>
  </si>
  <si>
    <t xml:space="preserve">New York : Dover Publications, [1960]</t>
  </si>
  <si>
    <t xml:space="preserve">2001-10-22</t>
  </si>
  <si>
    <t xml:space="preserve">2044249481:eng</t>
  </si>
  <si>
    <t xml:space="preserve">964780</t>
  </si>
  <si>
    <t xml:space="preserve">991003426879702656</t>
  </si>
  <si>
    <t xml:space="preserve">2261678820002656</t>
  </si>
  <si>
    <t xml:space="preserve">32285000211432</t>
  </si>
  <si>
    <t xml:space="preserve">893330288</t>
  </si>
  <si>
    <t xml:space="preserve">B2597 .P3813 1970b</t>
  </si>
  <si>
    <t xml:space="preserve">0                      B  2597000P  3813        1970b</t>
  </si>
  <si>
    <t xml:space="preserve">Leibniz / by C. A van Peursen; English edition translated [from the Dutch] by Hubert Hoskins with additional matter by the author.</t>
  </si>
  <si>
    <t xml:space="preserve">Peursen, C. A. van, 1920-1996.</t>
  </si>
  <si>
    <t xml:space="preserve">New York : E.P.Dutton &amp; Co., Inc., 1970.</t>
  </si>
  <si>
    <t xml:space="preserve">2003-02-10</t>
  </si>
  <si>
    <t xml:space="preserve">1182997:eng</t>
  </si>
  <si>
    <t xml:space="preserve">266169</t>
  </si>
  <si>
    <t xml:space="preserve">991000956509702656</t>
  </si>
  <si>
    <t xml:space="preserve">2262098430002656</t>
  </si>
  <si>
    <t xml:space="preserve">9780571086733</t>
  </si>
  <si>
    <t xml:space="preserve">32285000211457</t>
  </si>
  <si>
    <t xml:space="preserve">893515776</t>
  </si>
  <si>
    <t xml:space="preserve">B2598 .J6</t>
  </si>
  <si>
    <t xml:space="preserve">0                      B  2598000J  6</t>
  </si>
  <si>
    <t xml:space="preserve">Lectures on the philosophy of Leibniz.</t>
  </si>
  <si>
    <t xml:space="preserve">Joseph, H. W. B. (Horace William Brindley), 1867-1943.</t>
  </si>
  <si>
    <t xml:space="preserve">1993-11-05</t>
  </si>
  <si>
    <t xml:space="preserve">1602085:eng</t>
  </si>
  <si>
    <t xml:space="preserve">552971</t>
  </si>
  <si>
    <t xml:space="preserve">991002977649702656</t>
  </si>
  <si>
    <t xml:space="preserve">2259621810002656</t>
  </si>
  <si>
    <t xml:space="preserve">32285000211507</t>
  </si>
  <si>
    <t xml:space="preserve">893880681</t>
  </si>
  <si>
    <t xml:space="preserve">B2598 .L4</t>
  </si>
  <si>
    <t xml:space="preserve">0                      B  2598000L  4</t>
  </si>
  <si>
    <t xml:space="preserve">The philosophy of Leibniz and the modern world / edited by Ivor Leclerc.</t>
  </si>
  <si>
    <t xml:space="preserve">Leclerc, Ivor, compiler.</t>
  </si>
  <si>
    <t xml:space="preserve">Nashville : Vanderbilt University Press, 1973.</t>
  </si>
  <si>
    <t xml:space="preserve">2000-02-12</t>
  </si>
  <si>
    <t xml:space="preserve">1559505:eng</t>
  </si>
  <si>
    <t xml:space="preserve">481212</t>
  </si>
  <si>
    <t xml:space="preserve">991002839069702656</t>
  </si>
  <si>
    <t xml:space="preserve">2269440480002656</t>
  </si>
  <si>
    <t xml:space="preserve">9780826511812</t>
  </si>
  <si>
    <t xml:space="preserve">32285000211515</t>
  </si>
  <si>
    <t xml:space="preserve">893597947</t>
  </si>
  <si>
    <t xml:space="preserve">B2598 .L6</t>
  </si>
  <si>
    <t xml:space="preserve">0                      B  2598000L  6</t>
  </si>
  <si>
    <t xml:space="preserve">Struggle for synthesis : the seventeenth century background of Leibniz's synthesis of order and freedom / [by] Leroy E. Loemker.</t>
  </si>
  <si>
    <t xml:space="preserve">Loemker, Leroy E.</t>
  </si>
  <si>
    <t xml:space="preserve">Cambridge, Mass. : Harvard University Press, 1972.</t>
  </si>
  <si>
    <t xml:space="preserve">1992-10-04</t>
  </si>
  <si>
    <t xml:space="preserve">815133305:eng</t>
  </si>
  <si>
    <t xml:space="preserve">533704</t>
  </si>
  <si>
    <t xml:space="preserve">991002937119702656</t>
  </si>
  <si>
    <t xml:space="preserve">2264367780002656</t>
  </si>
  <si>
    <t xml:space="preserve">9780674845459</t>
  </si>
  <si>
    <t xml:space="preserve">32285000211531</t>
  </si>
  <si>
    <t xml:space="preserve">893335919</t>
  </si>
  <si>
    <t xml:space="preserve">B2598 .M27 1960</t>
  </si>
  <si>
    <t xml:space="preserve">0                      B  2598000M  27          1960</t>
  </si>
  <si>
    <t xml:space="preserve">Leibniz : Logik und Metaphysik.</t>
  </si>
  <si>
    <t xml:space="preserve">Martin, Gottfried, 1901-1972.</t>
  </si>
  <si>
    <t xml:space="preserve">[Köln] : Kölner Universitätsverlag, 1960.</t>
  </si>
  <si>
    <t xml:space="preserve">2003-03-04</t>
  </si>
  <si>
    <t xml:space="preserve">63122962:ger</t>
  </si>
  <si>
    <t xml:space="preserve">5792996</t>
  </si>
  <si>
    <t xml:space="preserve">991004876229702656</t>
  </si>
  <si>
    <t xml:space="preserve">2272014800002656</t>
  </si>
  <si>
    <t xml:space="preserve">32285000211549</t>
  </si>
  <si>
    <t xml:space="preserve">893594195</t>
  </si>
  <si>
    <t xml:space="preserve">B2598 .M413 1952</t>
  </si>
  <si>
    <t xml:space="preserve">0                      B  2598000M  413         1952</t>
  </si>
  <si>
    <t xml:space="preserve">Leibnitz and the seventeenth-century revolution.</t>
  </si>
  <si>
    <t xml:space="preserve">Meyer, Rudolf W.</t>
  </si>
  <si>
    <t xml:space="preserve">[Cambridge, Eng.] : Bowes &amp; Bowes, [1952]</t>
  </si>
  <si>
    <t xml:space="preserve">1999-02-25</t>
  </si>
  <si>
    <t xml:space="preserve">1453652:eng</t>
  </si>
  <si>
    <t xml:space="preserve">372791</t>
  </si>
  <si>
    <t xml:space="preserve">991002567009702656</t>
  </si>
  <si>
    <t xml:space="preserve">2261515530002656</t>
  </si>
  <si>
    <t xml:space="preserve">32285000211564</t>
  </si>
  <si>
    <t xml:space="preserve">893779964</t>
  </si>
  <si>
    <t xml:space="preserve">B2598 .R8 1964</t>
  </si>
  <si>
    <t xml:space="preserve">0                      B  2598000R  8           1964</t>
  </si>
  <si>
    <t xml:space="preserve">A critical exposition of the philosophy of Leibniz : with an appendix of leading passages / by Bertrand Russell.</t>
  </si>
  <si>
    <t xml:space="preserve">London : Allen &amp; Unwin, 1964.</t>
  </si>
  <si>
    <t xml:space="preserve">395666:eng</t>
  </si>
  <si>
    <t xml:space="preserve">3808363</t>
  </si>
  <si>
    <t xml:space="preserve">991004519769702656</t>
  </si>
  <si>
    <t xml:space="preserve">2268114080002656</t>
  </si>
  <si>
    <t xml:space="preserve">32285000211606</t>
  </si>
  <si>
    <t xml:space="preserve">893788797</t>
  </si>
  <si>
    <t xml:space="preserve">B2598 .S24</t>
  </si>
  <si>
    <t xml:space="preserve">0                      B  2598000S  24</t>
  </si>
  <si>
    <t xml:space="preserve">Leibniz / Ruth Lydia Saw.</t>
  </si>
  <si>
    <t xml:space="preserve">Saw, Ruth L. (Ruth Lydia), 1901-1986.</t>
  </si>
  <si>
    <t xml:space="preserve">Harmondsworth, Middlesex : Penguin Books, c1954.</t>
  </si>
  <si>
    <t xml:space="preserve">Pelican philosophy series</t>
  </si>
  <si>
    <t xml:space="preserve">2001-03-27</t>
  </si>
  <si>
    <t xml:space="preserve">4915298382:eng</t>
  </si>
  <si>
    <t xml:space="preserve">1200192</t>
  </si>
  <si>
    <t xml:space="preserve">991003615909702656</t>
  </si>
  <si>
    <t xml:space="preserve">2265973310002656</t>
  </si>
  <si>
    <t xml:space="preserve">32285000211614</t>
  </si>
  <si>
    <t xml:space="preserve">893318182</t>
  </si>
  <si>
    <t xml:space="preserve">B2598 .V4</t>
  </si>
  <si>
    <t xml:space="preserve">0                      B  2598000V  4</t>
  </si>
  <si>
    <t xml:space="preserve">Gottfried Wilhelm Leibniz : Philosopher and politician in the service of a universal culture.</t>
  </si>
  <si>
    <t xml:space="preserve">Vennebusch, Joachim.</t>
  </si>
  <si>
    <t xml:space="preserve">Bad Godesberg : Inter-Nationes, 1966.</t>
  </si>
  <si>
    <t xml:space="preserve">2002-04-11</t>
  </si>
  <si>
    <t xml:space="preserve">3943391939:eng</t>
  </si>
  <si>
    <t xml:space="preserve">1626067</t>
  </si>
  <si>
    <t xml:space="preserve">991003844509702656</t>
  </si>
  <si>
    <t xml:space="preserve">2266652700002656</t>
  </si>
  <si>
    <t xml:space="preserve">32285000211622</t>
  </si>
  <si>
    <t xml:space="preserve">893705692</t>
  </si>
  <si>
    <t xml:space="preserve">B2598 .W66</t>
  </si>
  <si>
    <t xml:space="preserve">0                      B  2598000W  66</t>
  </si>
  <si>
    <t xml:space="preserve">Leibniz : metaphysics and philosophy of science / edited by R. S. Woolhouse.</t>
  </si>
  <si>
    <t xml:space="preserve">Oxford : Oxford University Press, 1981.</t>
  </si>
  <si>
    <t xml:space="preserve">889076888:eng</t>
  </si>
  <si>
    <t xml:space="preserve">9132493</t>
  </si>
  <si>
    <t xml:space="preserve">991005206819702656</t>
  </si>
  <si>
    <t xml:space="preserve">2269957790002656</t>
  </si>
  <si>
    <t xml:space="preserve">9780198750505</t>
  </si>
  <si>
    <t xml:space="preserve">32285000211630</t>
  </si>
  <si>
    <t xml:space="preserve">893412502</t>
  </si>
  <si>
    <t xml:space="preserve">B2599.C6 T9</t>
  </si>
  <si>
    <t xml:space="preserve">0                      B  2599000C  6                  T  9</t>
  </si>
  <si>
    <t xml:space="preserve">Leibniz' cosmological synthesis.</t>
  </si>
  <si>
    <t xml:space="preserve">Tymieniecka, Anna-Teresa.</t>
  </si>
  <si>
    <t xml:space="preserve">Assen : Van Gorcum, 1964.</t>
  </si>
  <si>
    <t xml:space="preserve">1445565:eng</t>
  </si>
  <si>
    <t xml:space="preserve">504737</t>
  </si>
  <si>
    <t xml:space="preserve">991002879479702656</t>
  </si>
  <si>
    <t xml:space="preserve">2260735540002656</t>
  </si>
  <si>
    <t xml:space="preserve">32285000211655</t>
  </si>
  <si>
    <t xml:space="preserve">893251735</t>
  </si>
  <si>
    <t xml:space="preserve">B2599.L8 I83 1972</t>
  </si>
  <si>
    <t xml:space="preserve">0                      B  2599000L  8                  I  83          1972</t>
  </si>
  <si>
    <t xml:space="preserve">Leibniz's philosophy of logic and language.</t>
  </si>
  <si>
    <t xml:space="preserve">Ishiguro, Hidé.</t>
  </si>
  <si>
    <t xml:space="preserve">Ithaca, N.Y. : Cornell University Press, [1972]</t>
  </si>
  <si>
    <t xml:space="preserve">1599130:eng</t>
  </si>
  <si>
    <t xml:space="preserve">588880</t>
  </si>
  <si>
    <t xml:space="preserve">991003024139702656</t>
  </si>
  <si>
    <t xml:space="preserve">2270139200002656</t>
  </si>
  <si>
    <t xml:space="preserve">9780801407376</t>
  </si>
  <si>
    <t xml:space="preserve">32285000211689</t>
  </si>
  <si>
    <t xml:space="preserve">893422090</t>
  </si>
  <si>
    <t xml:space="preserve">B2599.M7 R47</t>
  </si>
  <si>
    <t xml:space="preserve">0                      B  2599000M  7                  R  47</t>
  </si>
  <si>
    <t xml:space="preserve">Leibniz's metaphysics of nature : a group of essays / Nicholas Rescher.</t>
  </si>
  <si>
    <t xml:space="preserve">Dordrecht, Holland ; Boston, U.S.A. : D. Reidel Pub. Co. ; Hingham, MA : Sold and distributed in the U.S.A. and Canada by Kluwer Boston, c1981.</t>
  </si>
  <si>
    <t xml:space="preserve">The University of Western Ontario series in philosophy of science ; v. 18</t>
  </si>
  <si>
    <t xml:space="preserve">141790851:eng</t>
  </si>
  <si>
    <t xml:space="preserve">7551576</t>
  </si>
  <si>
    <t xml:space="preserve">991005124059702656</t>
  </si>
  <si>
    <t xml:space="preserve">2266113870002656</t>
  </si>
  <si>
    <t xml:space="preserve">9789027712523</t>
  </si>
  <si>
    <t xml:space="preserve">32285000211705</t>
  </si>
  <si>
    <t xml:space="preserve">893533218</t>
  </si>
  <si>
    <t xml:space="preserve">B2603.K7 Z7</t>
  </si>
  <si>
    <t xml:space="preserve">0                      B  2603000K  7                  Z  7</t>
  </si>
  <si>
    <t xml:space="preserve">The politics of discretion : Pufendorf and the acceptance of natural law.</t>
  </si>
  <si>
    <t xml:space="preserve">Krieger, Leonard.</t>
  </si>
  <si>
    <t xml:space="preserve">Chicago : University of Chicago Press, [1965]</t>
  </si>
  <si>
    <t xml:space="preserve">2005-12-08</t>
  </si>
  <si>
    <t xml:space="preserve">431776241:eng</t>
  </si>
  <si>
    <t xml:space="preserve">303251</t>
  </si>
  <si>
    <t xml:space="preserve">991002258959702656</t>
  </si>
  <si>
    <t xml:space="preserve">2272715430002656</t>
  </si>
  <si>
    <t xml:space="preserve">32285000211713</t>
  </si>
  <si>
    <t xml:space="preserve">893232743</t>
  </si>
  <si>
    <t xml:space="preserve">B2723.D5 E5</t>
  </si>
  <si>
    <t xml:space="preserve">0                      B  2723000D  5                  E  5</t>
  </si>
  <si>
    <t xml:space="preserve">Preliminary discourse on philosophy in general / translated, with an introd. and notes, by Richard J. Blackwell.</t>
  </si>
  <si>
    <t xml:space="preserve">Wolff, Christian, Freiherr von, 1679-1754.</t>
  </si>
  <si>
    <t xml:space="preserve">Indianapolis : Bobbs-Merrill, [1963]</t>
  </si>
  <si>
    <t xml:space="preserve">The Library of liberal arts, 167</t>
  </si>
  <si>
    <t xml:space="preserve">2003-09-22</t>
  </si>
  <si>
    <t xml:space="preserve">2865632592:eng</t>
  </si>
  <si>
    <t xml:space="preserve">968840</t>
  </si>
  <si>
    <t xml:space="preserve">991003433509702656</t>
  </si>
  <si>
    <t xml:space="preserve">2263616380002656</t>
  </si>
  <si>
    <t xml:space="preserve">32285000213354</t>
  </si>
  <si>
    <t xml:space="preserve">893611034</t>
  </si>
  <si>
    <t xml:space="preserve">B2727 .B8</t>
  </si>
  <si>
    <t xml:space="preserve">0                      B  2727000B  8</t>
  </si>
  <si>
    <t xml:space="preserve">Dynamism in the cosmology of Christian Wolff : a study in pre-critical rationalism / by John V. Burns.</t>
  </si>
  <si>
    <t xml:space="preserve">Burns, John V.</t>
  </si>
  <si>
    <t xml:space="preserve">New York : Exposition Press, [1966]</t>
  </si>
  <si>
    <t xml:space="preserve">An Exposition-university book</t>
  </si>
  <si>
    <t xml:space="preserve">820007787:eng</t>
  </si>
  <si>
    <t xml:space="preserve">879943</t>
  </si>
  <si>
    <t xml:space="preserve">991003347889702656</t>
  </si>
  <si>
    <t xml:space="preserve">2271697610002656</t>
  </si>
  <si>
    <t xml:space="preserve">32285000213362</t>
  </si>
  <si>
    <t xml:space="preserve">893598504</t>
  </si>
  <si>
    <t xml:space="preserve">B2743 .S35 1987</t>
  </si>
  <si>
    <t xml:space="preserve">0                      B  2743000S  35          1987</t>
  </si>
  <si>
    <t xml:space="preserve">Spacings of reason and imagination in texts of Kant, Fichte, Hegel / John Sallis.</t>
  </si>
  <si>
    <t xml:space="preserve">Sallis, John, 1938-</t>
  </si>
  <si>
    <t xml:space="preserve">2007-04-16</t>
  </si>
  <si>
    <t xml:space="preserve">6993852:eng</t>
  </si>
  <si>
    <t xml:space="preserve">13859734</t>
  </si>
  <si>
    <t xml:space="preserve">991000883619702656</t>
  </si>
  <si>
    <t xml:space="preserve">2268170420002656</t>
  </si>
  <si>
    <t xml:space="preserve">9780226734415</t>
  </si>
  <si>
    <t xml:space="preserve">32285000213412</t>
  </si>
  <si>
    <t xml:space="preserve">893595987</t>
  </si>
  <si>
    <t xml:space="preserve">B2745 .K56 1986</t>
  </si>
  <si>
    <t xml:space="preserve">0                      B  2745000K  56          1986</t>
  </si>
  <si>
    <t xml:space="preserve">Beyond enchantment : German idealism and English romantic poetry / Mark Kipperman.</t>
  </si>
  <si>
    <t xml:space="preserve">Kipperman, Mark.</t>
  </si>
  <si>
    <t xml:space="preserve">Philadelphia : University of Pennsylvania Press, 1986.</t>
  </si>
  <si>
    <t xml:space="preserve">346093969:eng</t>
  </si>
  <si>
    <t xml:space="preserve">13328737</t>
  </si>
  <si>
    <t xml:space="preserve">991000808889702656</t>
  </si>
  <si>
    <t xml:space="preserve">2258513970002656</t>
  </si>
  <si>
    <t xml:space="preserve">9780812280241</t>
  </si>
  <si>
    <t xml:space="preserve">32285000213438</t>
  </si>
  <si>
    <t xml:space="preserve">893872028</t>
  </si>
  <si>
    <t xml:space="preserve">B2774 .B46 1977</t>
  </si>
  <si>
    <t xml:space="preserve">0                      B  2774000B  46          1977</t>
  </si>
  <si>
    <t xml:space="preserve">Kant's second Critique and the problem of transcendental arguments / Robert J. Benton.</t>
  </si>
  <si>
    <t xml:space="preserve">Benton, Robert J.</t>
  </si>
  <si>
    <t xml:space="preserve">The Hague : M. Nijhoff, 1977.</t>
  </si>
  <si>
    <t xml:space="preserve">2010-04-27</t>
  </si>
  <si>
    <t xml:space="preserve">13385726:eng</t>
  </si>
  <si>
    <t xml:space="preserve">3894023</t>
  </si>
  <si>
    <t xml:space="preserve">991004541489702656</t>
  </si>
  <si>
    <t xml:space="preserve">2272643410002656</t>
  </si>
  <si>
    <t xml:space="preserve">9789024720552</t>
  </si>
  <si>
    <t xml:space="preserve">32285000213792</t>
  </si>
  <si>
    <t xml:space="preserve">893350134</t>
  </si>
  <si>
    <t xml:space="preserve">B2779 .B44 1987</t>
  </si>
  <si>
    <t xml:space="preserve">0                      B  2779000B  44          1987</t>
  </si>
  <si>
    <t xml:space="preserve">Kant's Copernican revolution / Ermanno Bencivenga.</t>
  </si>
  <si>
    <t xml:space="preserve">Bencivenga, Ermanno, 1950-</t>
  </si>
  <si>
    <t xml:space="preserve">8217775:eng</t>
  </si>
  <si>
    <t xml:space="preserve">14358925</t>
  </si>
  <si>
    <t xml:space="preserve">991000935179702656</t>
  </si>
  <si>
    <t xml:space="preserve">2258719960002656</t>
  </si>
  <si>
    <t xml:space="preserve">9780195049572</t>
  </si>
  <si>
    <t xml:space="preserve">32285000213859</t>
  </si>
  <si>
    <t xml:space="preserve">893878472</t>
  </si>
  <si>
    <t xml:space="preserve">B2779 .B46</t>
  </si>
  <si>
    <t xml:space="preserve">0                      B  2779000B  46</t>
  </si>
  <si>
    <t xml:space="preserve">Kant's analytic / by Jonathan Bennett.</t>
  </si>
  <si>
    <t xml:space="preserve">Bennett, Jonathan, 1930-</t>
  </si>
  <si>
    <t xml:space="preserve">Cambridge ; London : Cambridge U.P., 1966.</t>
  </si>
  <si>
    <t xml:space="preserve">1998-12-12</t>
  </si>
  <si>
    <t xml:space="preserve">118396150:eng</t>
  </si>
  <si>
    <t xml:space="preserve">562104</t>
  </si>
  <si>
    <t xml:space="preserve">991002993449702656</t>
  </si>
  <si>
    <t xml:space="preserve">2255014630002656</t>
  </si>
  <si>
    <t xml:space="preserve">32285000213867</t>
  </si>
  <si>
    <t xml:space="preserve">893616868</t>
  </si>
  <si>
    <t xml:space="preserve">B2779 .B55</t>
  </si>
  <si>
    <t xml:space="preserve">0                      B  2779000B  55</t>
  </si>
  <si>
    <t xml:space="preserve">Kant's theory of knowledge : an outline of one central argument in the Critique of pure reason.</t>
  </si>
  <si>
    <t xml:space="preserve">Bird, Graham.</t>
  </si>
  <si>
    <t xml:space="preserve">New York : Humanities Press, [1962]</t>
  </si>
  <si>
    <t xml:space="preserve">1995-12-02</t>
  </si>
  <si>
    <t xml:space="preserve">4554144:eng</t>
  </si>
  <si>
    <t xml:space="preserve">3922681</t>
  </si>
  <si>
    <t xml:space="preserve">991004548209702656</t>
  </si>
  <si>
    <t xml:space="preserve">2268759080002656</t>
  </si>
  <si>
    <t xml:space="preserve">32285000213875</t>
  </si>
  <si>
    <t xml:space="preserve">893442739</t>
  </si>
  <si>
    <t xml:space="preserve">B2779 .C3</t>
  </si>
  <si>
    <t xml:space="preserve">0                      B  2779000C  3</t>
  </si>
  <si>
    <t xml:space="preserve">Kantś first critique : an appraisal of the permanent significance of Kantś Critique of pure reason.</t>
  </si>
  <si>
    <t xml:space="preserve">Cassirer, H. W. (Heinrich Walter), 1903-1979.</t>
  </si>
  <si>
    <t xml:space="preserve">London : Allen &amp; Unwin, [1955]</t>
  </si>
  <si>
    <t xml:space="preserve">The Muirhead library of Philosophy</t>
  </si>
  <si>
    <t xml:space="preserve">1992-11-16</t>
  </si>
  <si>
    <t xml:space="preserve">1102640266:eng</t>
  </si>
  <si>
    <t xml:space="preserve">5213516</t>
  </si>
  <si>
    <t xml:space="preserve">991002076479702656</t>
  </si>
  <si>
    <t xml:space="preserve">2268592240002656</t>
  </si>
  <si>
    <t xml:space="preserve">32285000213891</t>
  </si>
  <si>
    <t xml:space="preserve">893444949</t>
  </si>
  <si>
    <t xml:space="preserve">32285000213883</t>
  </si>
  <si>
    <t xml:space="preserve">893408659</t>
  </si>
  <si>
    <t xml:space="preserve">B2779 .E9 1938a</t>
  </si>
  <si>
    <t xml:space="preserve">0                      B  2779000E  9           1938a</t>
  </si>
  <si>
    <t xml:space="preserve">A short commentary on Kant's Critique of pure reason.</t>
  </si>
  <si>
    <t xml:space="preserve">Ewing, A. C. (Alfred Cyril), 1899-1973.</t>
  </si>
  <si>
    <t xml:space="preserve">[Chicago] : University of Chicago Press, [c1938]</t>
  </si>
  <si>
    <t xml:space="preserve">1998-11-23</t>
  </si>
  <si>
    <t xml:space="preserve">430149738:eng</t>
  </si>
  <si>
    <t xml:space="preserve">372130</t>
  </si>
  <si>
    <t xml:space="preserve">991002563259702656</t>
  </si>
  <si>
    <t xml:space="preserve">2261672620002656</t>
  </si>
  <si>
    <t xml:space="preserve">32285000213925</t>
  </si>
  <si>
    <t xml:space="preserve">893329245</t>
  </si>
  <si>
    <t xml:space="preserve">B2779 .M59</t>
  </si>
  <si>
    <t xml:space="preserve">0                      B  2779000M  59</t>
  </si>
  <si>
    <t xml:space="preserve">Kant's analogies of experience.</t>
  </si>
  <si>
    <t xml:space="preserve">Melnick, Arthur.</t>
  </si>
  <si>
    <t xml:space="preserve">Chicago : University of Chicago Press, [1973]</t>
  </si>
  <si>
    <t xml:space="preserve">1996-05-17</t>
  </si>
  <si>
    <t xml:space="preserve">1678665:eng</t>
  </si>
  <si>
    <t xml:space="preserve">816220</t>
  </si>
  <si>
    <t xml:space="preserve">991003294119702656</t>
  </si>
  <si>
    <t xml:space="preserve">2271302320002656</t>
  </si>
  <si>
    <t xml:space="preserve">9780226519647</t>
  </si>
  <si>
    <t xml:space="preserve">32285000213966</t>
  </si>
  <si>
    <t xml:space="preserve">893499154</t>
  </si>
  <si>
    <t xml:space="preserve">B2779 .P3</t>
  </si>
  <si>
    <t xml:space="preserve">0                      B  2779000P  3</t>
  </si>
  <si>
    <t xml:space="preserve">Kant's metaphysic of experience : a commentary on the first half of the Kritik der reinen vernunft / by H. J. Paton.</t>
  </si>
  <si>
    <t xml:space="preserve">Paton, H. J. (Herbert James), 1887-1969.</t>
  </si>
  <si>
    <t xml:space="preserve">London : G. Allen &amp; Unwin, ltd., [1936]</t>
  </si>
  <si>
    <t xml:space="preserve">1936</t>
  </si>
  <si>
    <t xml:space="preserve">Library of philosophy, ed. by J. H. Muirhead</t>
  </si>
  <si>
    <t xml:space="preserve">2009-11-09</t>
  </si>
  <si>
    <t xml:space="preserve">505074877:eng</t>
  </si>
  <si>
    <t xml:space="preserve">30007318</t>
  </si>
  <si>
    <t xml:space="preserve">991004871339702656</t>
  </si>
  <si>
    <t xml:space="preserve">2268471610002656</t>
  </si>
  <si>
    <t xml:space="preserve">32285000213990</t>
  </si>
  <si>
    <t xml:space="preserve">893895588</t>
  </si>
  <si>
    <t xml:space="preserve">B2779 .P3 V2</t>
  </si>
  <si>
    <t xml:space="preserve">0                      B  2779000P  3                  V  2</t>
  </si>
  <si>
    <t xml:space="preserve">32285000214006</t>
  </si>
  <si>
    <t xml:space="preserve">893901853</t>
  </si>
  <si>
    <t xml:space="preserve">B2779 .S5</t>
  </si>
  <si>
    <t xml:space="preserve">0                      B  2779000S  5</t>
  </si>
  <si>
    <t xml:space="preserve">A commentary to Kant's Critique of pure reason / by Norman Kemp Smith.</t>
  </si>
  <si>
    <t xml:space="preserve">New York : Humanities Press, 1950, c1923.</t>
  </si>
  <si>
    <t xml:space="preserve">2d ed., rev. and enl.</t>
  </si>
  <si>
    <t xml:space="preserve">1990-07-23</t>
  </si>
  <si>
    <t xml:space="preserve">509670462:eng</t>
  </si>
  <si>
    <t xml:space="preserve">3498914</t>
  </si>
  <si>
    <t xml:space="preserve">991004448919702656</t>
  </si>
  <si>
    <t xml:space="preserve">2266182770002656</t>
  </si>
  <si>
    <t xml:space="preserve">32285000192251</t>
  </si>
  <si>
    <t xml:space="preserve">893247592</t>
  </si>
  <si>
    <t xml:space="preserve">B2779 .S8</t>
  </si>
  <si>
    <t xml:space="preserve">0                      B  2779000S  8</t>
  </si>
  <si>
    <t xml:space="preserve">The bounds of sense : an essay on Kant's 'Critique of pure reason' / [by] P. F. Strawson.</t>
  </si>
  <si>
    <t xml:space="preserve">Strawson, P. F.</t>
  </si>
  <si>
    <t xml:space="preserve">London : Methuen, 1966.</t>
  </si>
  <si>
    <t xml:space="preserve">1447390:eng</t>
  </si>
  <si>
    <t xml:space="preserve">2655997</t>
  </si>
  <si>
    <t xml:space="preserve">991004202379702656</t>
  </si>
  <si>
    <t xml:space="preserve">2256254060002656</t>
  </si>
  <si>
    <t xml:space="preserve">32285000192269</t>
  </si>
  <si>
    <t xml:space="preserve">893869427</t>
  </si>
  <si>
    <t xml:space="preserve">B2779 .W4 1958</t>
  </si>
  <si>
    <t xml:space="preserve">0                      B  2779000W  4           1958</t>
  </si>
  <si>
    <t xml:space="preserve">Kant's Critique of pure reason.</t>
  </si>
  <si>
    <t xml:space="preserve">Weldon, T. D. (Thomas Dewar)</t>
  </si>
  <si>
    <t xml:space="preserve">Oxford : Clarendon Press, 1958.</t>
  </si>
  <si>
    <t xml:space="preserve">2003-07-14</t>
  </si>
  <si>
    <t xml:space="preserve">1352516:eng</t>
  </si>
  <si>
    <t xml:space="preserve">372133</t>
  </si>
  <si>
    <t xml:space="preserve">991002563269702656</t>
  </si>
  <si>
    <t xml:space="preserve">2261673160002656</t>
  </si>
  <si>
    <t xml:space="preserve">32285000192301</t>
  </si>
  <si>
    <t xml:space="preserve">893616282</t>
  </si>
  <si>
    <t xml:space="preserve">B2779 .W5</t>
  </si>
  <si>
    <t xml:space="preserve">0                      B  2779000W  5</t>
  </si>
  <si>
    <t xml:space="preserve">Kant's critique of pure reason : a commentary for students / by T. E. Wilkerson.</t>
  </si>
  <si>
    <t xml:space="preserve">Wilkerson, T. E. (Terence Edward)</t>
  </si>
  <si>
    <t xml:space="preserve">Oxford : Clarendon Press, 1976.</t>
  </si>
  <si>
    <t xml:space="preserve">2008-10-15</t>
  </si>
  <si>
    <t xml:space="preserve">837002970:eng</t>
  </si>
  <si>
    <t xml:space="preserve">2464357</t>
  </si>
  <si>
    <t xml:space="preserve">991004129509702656</t>
  </si>
  <si>
    <t xml:space="preserve">2269165110002656</t>
  </si>
  <si>
    <t xml:space="preserve">9780198245483</t>
  </si>
  <si>
    <t xml:space="preserve">32285000192319</t>
  </si>
  <si>
    <t xml:space="preserve">893532020</t>
  </si>
  <si>
    <t xml:space="preserve">B2784 .M25 1976</t>
  </si>
  <si>
    <t xml:space="preserve">0                      B  2784000M  25          1976</t>
  </si>
  <si>
    <t xml:space="preserve">The crowning phase of the critical philosophy : a study in Kant's Critique of judgment / by R. A. C. Macmillan.</t>
  </si>
  <si>
    <t xml:space="preserve">Macmillan, R. A. C. (Robert Alexander Cameron), 1883-1917.</t>
  </si>
  <si>
    <t xml:space="preserve">New York : Garland Pub., 1976.</t>
  </si>
  <si>
    <t xml:space="preserve">The Philosophy of Immanuel Kant</t>
  </si>
  <si>
    <t xml:space="preserve">1993-03-23</t>
  </si>
  <si>
    <t xml:space="preserve">433178497:eng</t>
  </si>
  <si>
    <t xml:space="preserve">2118586</t>
  </si>
  <si>
    <t xml:space="preserve">991004018359702656</t>
  </si>
  <si>
    <t xml:space="preserve">2265367650002656</t>
  </si>
  <si>
    <t xml:space="preserve">9780824023287</t>
  </si>
  <si>
    <t xml:space="preserve">32285000192384</t>
  </si>
  <si>
    <t xml:space="preserve">893624247</t>
  </si>
  <si>
    <t xml:space="preserve">B2784 .U32</t>
  </si>
  <si>
    <t xml:space="preserve">0                      B  2784000U  32</t>
  </si>
  <si>
    <t xml:space="preserve">The notion of form in Kant's Critique of aesthetic judgment.</t>
  </si>
  <si>
    <t xml:space="preserve">Uehling, Theodore Edward.</t>
  </si>
  <si>
    <t xml:space="preserve">The Hague : Mouton, 1971.</t>
  </si>
  <si>
    <t xml:space="preserve">De proprietatibus litterarum. Series minor ; 5</t>
  </si>
  <si>
    <t xml:space="preserve">2010-03-29</t>
  </si>
  <si>
    <t xml:space="preserve">1343302:eng</t>
  </si>
  <si>
    <t xml:space="preserve">227351</t>
  </si>
  <si>
    <t xml:space="preserve">991001386759702656</t>
  </si>
  <si>
    <t xml:space="preserve">2255819520002656</t>
  </si>
  <si>
    <t xml:space="preserve">32285000192392</t>
  </si>
  <si>
    <t xml:space="preserve">893238090</t>
  </si>
  <si>
    <t xml:space="preserve">B2798 .B35</t>
  </si>
  <si>
    <t xml:space="preserve">0                      B  2798000B  35</t>
  </si>
  <si>
    <t xml:space="preserve">Kant studies today / edited by Lewis W. Beck.</t>
  </si>
  <si>
    <t xml:space="preserve">Beck, Lewis White compiler.</t>
  </si>
  <si>
    <t xml:space="preserve">La Salle, Ill. : Open Court, [1969]</t>
  </si>
  <si>
    <t xml:space="preserve">The Open Court library of philosophy</t>
  </si>
  <si>
    <t xml:space="preserve">2009-12-14</t>
  </si>
  <si>
    <t xml:space="preserve">1134118:eng</t>
  </si>
  <si>
    <t xml:space="preserve">11050</t>
  </si>
  <si>
    <t xml:space="preserve">991000002399702656</t>
  </si>
  <si>
    <t xml:space="preserve">2267668000002656</t>
  </si>
  <si>
    <t xml:space="preserve">32285000192624</t>
  </si>
  <si>
    <t xml:space="preserve">893620086</t>
  </si>
  <si>
    <t xml:space="preserve">B2798 .B36</t>
  </si>
  <si>
    <t xml:space="preserve">0                      B  2798000B  36</t>
  </si>
  <si>
    <t xml:space="preserve">Studies in the philosophy of Kant.</t>
  </si>
  <si>
    <t xml:space="preserve">Indianapolis : Bobbs-Merrill, [1965]</t>
  </si>
  <si>
    <t xml:space="preserve">Essay and monograph series of the Liberal Arts Press</t>
  </si>
  <si>
    <t xml:space="preserve">1999-08-19</t>
  </si>
  <si>
    <t xml:space="preserve">1494184:eng</t>
  </si>
  <si>
    <t xml:space="preserve">418801</t>
  </si>
  <si>
    <t xml:space="preserve">991002734949702656</t>
  </si>
  <si>
    <t xml:space="preserve">2260971330002656</t>
  </si>
  <si>
    <t xml:space="preserve">32285000192632</t>
  </si>
  <si>
    <t xml:space="preserve">893504757</t>
  </si>
  <si>
    <t xml:space="preserve">B2798 .H3413</t>
  </si>
  <si>
    <t xml:space="preserve">0                      B  2798000H  3413</t>
  </si>
  <si>
    <t xml:space="preserve">What is a thing? / translated by W. B. Barton, Jr., and Vera Deutsch, with an analysis by Eugene T. Gendlin.</t>
  </si>
  <si>
    <t xml:space="preserve">Chicago : H. Regnery Co., [1968, c1967]</t>
  </si>
  <si>
    <t xml:space="preserve">2009-06-08</t>
  </si>
  <si>
    <t xml:space="preserve">3943780152:eng</t>
  </si>
  <si>
    <t xml:space="preserve">178558</t>
  </si>
  <si>
    <t xml:space="preserve">991001069499702656</t>
  </si>
  <si>
    <t xml:space="preserve">2264384580002656</t>
  </si>
  <si>
    <t xml:space="preserve">32285000192723</t>
  </si>
  <si>
    <t xml:space="preserve">893702703</t>
  </si>
  <si>
    <t xml:space="preserve">B2798 .H43</t>
  </si>
  <si>
    <t xml:space="preserve">0                      B  2798000H  43</t>
  </si>
  <si>
    <t xml:space="preserve">The philosophy of Kant and our modern world : four lectures delivered at Yale University commemorating the 150th anniversary of the death of Immanual Kant.</t>
  </si>
  <si>
    <t xml:space="preserve">Hendel, Charles William, 1890-1982 editor.</t>
  </si>
  <si>
    <t xml:space="preserve">New York : Liberal Arts Press, [1957]</t>
  </si>
  <si>
    <t xml:space="preserve">2601877:eng</t>
  </si>
  <si>
    <t xml:space="preserve">372166</t>
  </si>
  <si>
    <t xml:space="preserve">991002563609702656</t>
  </si>
  <si>
    <t xml:space="preserve">2261695250002656</t>
  </si>
  <si>
    <t xml:space="preserve">32285000192731</t>
  </si>
  <si>
    <t xml:space="preserve">893798729</t>
  </si>
  <si>
    <t xml:space="preserve">B2798 .I53 1970</t>
  </si>
  <si>
    <t xml:space="preserve">0                      B  2798000I  53          1970</t>
  </si>
  <si>
    <t xml:space="preserve">Proceedings of the third International Kant Congress : held at the University of Rochester, March 30-April 4, 1970 / ed. by Lewis White Beck.</t>
  </si>
  <si>
    <t xml:space="preserve">International Kant Congress (3rd : 1970 : University of Rochester)</t>
  </si>
  <si>
    <t xml:space="preserve">Dordrecht : Reidel, [1972]</t>
  </si>
  <si>
    <t xml:space="preserve">Synthese historical library</t>
  </si>
  <si>
    <t xml:space="preserve">2009-05-13</t>
  </si>
  <si>
    <t xml:space="preserve">111678979:eng</t>
  </si>
  <si>
    <t xml:space="preserve">598877</t>
  </si>
  <si>
    <t xml:space="preserve">991001066969702656</t>
  </si>
  <si>
    <t xml:space="preserve">2264425710002656</t>
  </si>
  <si>
    <t xml:space="preserve">32285000192749</t>
  </si>
  <si>
    <t xml:space="preserve">893621046</t>
  </si>
  <si>
    <t xml:space="preserve">B2798 .K225 1984</t>
  </si>
  <si>
    <t xml:space="preserve">0                      B  2798000K  225         1984</t>
  </si>
  <si>
    <t xml:space="preserve">Kant : disputed questions / edited with an introduction and new translations by Moltke S. Gram.</t>
  </si>
  <si>
    <t xml:space="preserve">Atascadero, CA : Ridgeview Pub. Co., c1984.</t>
  </si>
  <si>
    <t xml:space="preserve">7753951:eng</t>
  </si>
  <si>
    <t xml:space="preserve">39831951</t>
  </si>
  <si>
    <t xml:space="preserve">991004400579702656</t>
  </si>
  <si>
    <t xml:space="preserve">2270006060002656</t>
  </si>
  <si>
    <t xml:space="preserve">9780917930676</t>
  </si>
  <si>
    <t xml:space="preserve">32285005005714</t>
  </si>
  <si>
    <t xml:space="preserve">893612310</t>
  </si>
  <si>
    <t xml:space="preserve">B2798 .M5</t>
  </si>
  <si>
    <t xml:space="preserve">0                      B  2798000M  5</t>
  </si>
  <si>
    <t xml:space="preserve">Kant &amp; current philosophical issues : some modern developments of his theory of knowledge / by Bella K. Milmed.</t>
  </si>
  <si>
    <t xml:space="preserve">Milmed, Bella K. (Bella Kussy), 1914-</t>
  </si>
  <si>
    <t xml:space="preserve">[New York] : New York University Press, 1961.</t>
  </si>
  <si>
    <t xml:space="preserve">1995-04-26</t>
  </si>
  <si>
    <t xml:space="preserve">1349880:eng</t>
  </si>
  <si>
    <t xml:space="preserve">229508</t>
  </si>
  <si>
    <t xml:space="preserve">991001401719702656</t>
  </si>
  <si>
    <t xml:space="preserve">2255366240002656</t>
  </si>
  <si>
    <t xml:space="preserve">32285000216332</t>
  </si>
  <si>
    <t xml:space="preserve">893426578</t>
  </si>
  <si>
    <t xml:space="preserve">B2798 .P32 1963</t>
  </si>
  <si>
    <t xml:space="preserve">0                      B  2798000P  32          1963</t>
  </si>
  <si>
    <t xml:space="preserve">Immanuel Kant : his life and doctrine / [translated from the rev. German ed. by J. E. Creighton and Albert Lefevre]</t>
  </si>
  <si>
    <t xml:space="preserve">Paulsen, Friedrich, 1846-1908.</t>
  </si>
  <si>
    <t xml:space="preserve">New York : F. Ungar, [1963]</t>
  </si>
  <si>
    <t xml:space="preserve">3901159476:eng</t>
  </si>
  <si>
    <t xml:space="preserve">965213</t>
  </si>
  <si>
    <t xml:space="preserve">991003429319702656</t>
  </si>
  <si>
    <t xml:space="preserve">2258192520002656</t>
  </si>
  <si>
    <t xml:space="preserve">32285000216357</t>
  </si>
  <si>
    <t xml:space="preserve">893234155</t>
  </si>
  <si>
    <t xml:space="preserve">B2798 .R33</t>
  </si>
  <si>
    <t xml:space="preserve">0                      B  2798000R  33</t>
  </si>
  <si>
    <t xml:space="preserve">Reflections on Kant's philosophy / edited by W. H. Werkmeister.</t>
  </si>
  <si>
    <t xml:space="preserve">Gainesville : University Presses of Florida, c1975.</t>
  </si>
  <si>
    <t xml:space="preserve">flu</t>
  </si>
  <si>
    <t xml:space="preserve">2002-04-16</t>
  </si>
  <si>
    <t xml:space="preserve">350792474:eng</t>
  </si>
  <si>
    <t xml:space="preserve">1529394</t>
  </si>
  <si>
    <t xml:space="preserve">991003803849702656</t>
  </si>
  <si>
    <t xml:space="preserve">2256690680002656</t>
  </si>
  <si>
    <t xml:space="preserve">9780813005416</t>
  </si>
  <si>
    <t xml:space="preserve">32285000216373</t>
  </si>
  <si>
    <t xml:space="preserve">893875211</t>
  </si>
  <si>
    <t xml:space="preserve">B2798 .R6</t>
  </si>
  <si>
    <t xml:space="preserve">0                      B  2798000R  6</t>
  </si>
  <si>
    <t xml:space="preserve">Experience and its systematization : studies in Kant.</t>
  </si>
  <si>
    <t xml:space="preserve">Rotenstreich, Nathan, 1914-1993.</t>
  </si>
  <si>
    <t xml:space="preserve">The Hague : M. Nijhoff, 1965.</t>
  </si>
  <si>
    <t xml:space="preserve">2010-01-14</t>
  </si>
  <si>
    <t xml:space="preserve">376497507:eng</t>
  </si>
  <si>
    <t xml:space="preserve">295914</t>
  </si>
  <si>
    <t xml:space="preserve">991002236149702656</t>
  </si>
  <si>
    <t xml:space="preserve">2265555330002656</t>
  </si>
  <si>
    <t xml:space="preserve">32285000216381</t>
  </si>
  <si>
    <t xml:space="preserve">893691366</t>
  </si>
  <si>
    <t xml:space="preserve">B2798 .S4 1968</t>
  </si>
  <si>
    <t xml:space="preserve">0                      B  2798000S  4           1968</t>
  </si>
  <si>
    <t xml:space="preserve">Science and metaphysics : variations on Kantian themes.</t>
  </si>
  <si>
    <t xml:space="preserve">Sellars, Wilfrid.</t>
  </si>
  <si>
    <t xml:space="preserve">London : Routledge &amp; K. Paul ; New York : Humanities P., 1968.</t>
  </si>
  <si>
    <t xml:space="preserve">2007-11-09</t>
  </si>
  <si>
    <t xml:space="preserve">1082623:eng</t>
  </si>
  <si>
    <t xml:space="preserve">374045</t>
  </si>
  <si>
    <t xml:space="preserve">991002572349702656</t>
  </si>
  <si>
    <t xml:space="preserve">2262170340002656</t>
  </si>
  <si>
    <t xml:space="preserve">9780710035011</t>
  </si>
  <si>
    <t xml:space="preserve">32285000216423</t>
  </si>
  <si>
    <t xml:space="preserve">893409256</t>
  </si>
  <si>
    <t xml:space="preserve">B2798 .W64 1962</t>
  </si>
  <si>
    <t xml:space="preserve">0                      B  2798000W  64          1962</t>
  </si>
  <si>
    <t xml:space="preserve">The heritage of Kant / [by] David F. Bowers [and others] Edited by George Tapley Whitney and David F. Bowers.</t>
  </si>
  <si>
    <t xml:space="preserve">Whitney, George Tapley, 1871-1938 editor.</t>
  </si>
  <si>
    <t xml:space="preserve">New York : Russell &amp; Russell, 1962 [c1939]</t>
  </si>
  <si>
    <t xml:space="preserve">1788919:eng</t>
  </si>
  <si>
    <t xml:space="preserve">880008</t>
  </si>
  <si>
    <t xml:space="preserve">991003347959702656</t>
  </si>
  <si>
    <t xml:space="preserve">2261377010002656</t>
  </si>
  <si>
    <t xml:space="preserve">32285000216514</t>
  </si>
  <si>
    <t xml:space="preserve">893711296</t>
  </si>
  <si>
    <t xml:space="preserve">B2799.A4 C63</t>
  </si>
  <si>
    <t xml:space="preserve">0                      B  2799000A  4                  C  63</t>
  </si>
  <si>
    <t xml:space="preserve">The harmony of reason : a study in Kant's aesthetics / Francis X. J. Coleman.</t>
  </si>
  <si>
    <t xml:space="preserve">Coleman, Francis X. J.</t>
  </si>
  <si>
    <t xml:space="preserve">[Pittsburg] : University of Pittsburgh Press, [1974]</t>
  </si>
  <si>
    <t xml:space="preserve">2005-12-13</t>
  </si>
  <si>
    <t xml:space="preserve">2051793:eng</t>
  </si>
  <si>
    <t xml:space="preserve">1085598</t>
  </si>
  <si>
    <t xml:space="preserve">991003523179702656</t>
  </si>
  <si>
    <t xml:space="preserve">2269553110002656</t>
  </si>
  <si>
    <t xml:space="preserve">9780822932826</t>
  </si>
  <si>
    <t xml:space="preserve">32285000216548</t>
  </si>
  <si>
    <t xml:space="preserve">893787422</t>
  </si>
  <si>
    <t xml:space="preserve">B2799.A4 G85</t>
  </si>
  <si>
    <t xml:space="preserve">0                      B  2799000A  4                  G  85</t>
  </si>
  <si>
    <t xml:space="preserve">Kant and the claims of taste / Paul Guyer.</t>
  </si>
  <si>
    <t xml:space="preserve">Guyer, Paul, 1948-</t>
  </si>
  <si>
    <t xml:space="preserve">Cambridge, Mass. : Harvard University Press, 1979.</t>
  </si>
  <si>
    <t xml:space="preserve">2005-11-22</t>
  </si>
  <si>
    <t xml:space="preserve">521588:eng</t>
  </si>
  <si>
    <t xml:space="preserve">4004305</t>
  </si>
  <si>
    <t xml:space="preserve">991004565119702656</t>
  </si>
  <si>
    <t xml:space="preserve">2264920730002656</t>
  </si>
  <si>
    <t xml:space="preserve">9780674500204</t>
  </si>
  <si>
    <t xml:space="preserve">32285000216571</t>
  </si>
  <si>
    <t xml:space="preserve">893700397</t>
  </si>
  <si>
    <t xml:space="preserve">B2799.A4 K57</t>
  </si>
  <si>
    <t xml:space="preserve">0                      B  2799000A  4                  K  57</t>
  </si>
  <si>
    <t xml:space="preserve">The aesthetic theories of Kant, Hegel, and Schopenhauer.</t>
  </si>
  <si>
    <t xml:space="preserve">Knox, Israel, 1904-</t>
  </si>
  <si>
    <t xml:space="preserve">New York : Humanities Press, [1958]</t>
  </si>
  <si>
    <t xml:space="preserve">2005-04-09</t>
  </si>
  <si>
    <t xml:space="preserve">1504385:eng</t>
  </si>
  <si>
    <t xml:space="preserve">517319</t>
  </si>
  <si>
    <t xml:space="preserve">991002901099702656</t>
  </si>
  <si>
    <t xml:space="preserve">2255102950002656</t>
  </si>
  <si>
    <t xml:space="preserve">32285000216670</t>
  </si>
  <si>
    <t xml:space="preserve">893517896</t>
  </si>
  <si>
    <t xml:space="preserve">B2799.E8 B39</t>
  </si>
  <si>
    <t xml:space="preserve">0                      B  2799000E  8                  B  39</t>
  </si>
  <si>
    <t xml:space="preserve">Shaftesbury, Rousseau, and Kant : an introduction to the conflict between aesthetic and moral values in modern thought / John Andrew Bernstein.</t>
  </si>
  <si>
    <t xml:space="preserve">Bernstein, John Andrew, 1944-</t>
  </si>
  <si>
    <t xml:space="preserve">Rutherford [N.J.] : Fairleigh Dickinson University Press, c1980.</t>
  </si>
  <si>
    <t xml:space="preserve">1993-04-05</t>
  </si>
  <si>
    <t xml:space="preserve">308669316:eng</t>
  </si>
  <si>
    <t xml:space="preserve">6143882</t>
  </si>
  <si>
    <t xml:space="preserve">991004937009702656</t>
  </si>
  <si>
    <t xml:space="preserve">2259979300002656</t>
  </si>
  <si>
    <t xml:space="preserve">9780838623510</t>
  </si>
  <si>
    <t xml:space="preserve">32285000216696</t>
  </si>
  <si>
    <t xml:space="preserve">893507387</t>
  </si>
  <si>
    <t xml:space="preserve">B2799.E8 G74 1963</t>
  </si>
  <si>
    <t xml:space="preserve">0                      B  2799000E  8                  G  74          1963</t>
  </si>
  <si>
    <t xml:space="preserve">Laws of freedom : a study of Kant's method of applying the categorical imperative in the Metaphysik der Sitten.</t>
  </si>
  <si>
    <t xml:space="preserve">Gregor, Mary J.</t>
  </si>
  <si>
    <t xml:space="preserve">Oxford : Blackwell, 1963.</t>
  </si>
  <si>
    <t xml:space="preserve">1207615:eng</t>
  </si>
  <si>
    <t xml:space="preserve">38577</t>
  </si>
  <si>
    <t xml:space="preserve">991000092759702656</t>
  </si>
  <si>
    <t xml:space="preserve">2265965590002656</t>
  </si>
  <si>
    <t xml:space="preserve">32285000216712</t>
  </si>
  <si>
    <t xml:space="preserve">893419194</t>
  </si>
  <si>
    <t xml:space="preserve">B2799.E8 H62 1982</t>
  </si>
  <si>
    <t xml:space="preserve">0                      B  2799000E  8                  H  62          1982</t>
  </si>
  <si>
    <t xml:space="preserve">Kant, moral legislation and two senses of 'will' / Gary M. Hochberg.</t>
  </si>
  <si>
    <t xml:space="preserve">Hochberg, Gary M.</t>
  </si>
  <si>
    <t xml:space="preserve">30302800:eng</t>
  </si>
  <si>
    <t xml:space="preserve">7975302</t>
  </si>
  <si>
    <t xml:space="preserve">991005185099702656</t>
  </si>
  <si>
    <t xml:space="preserve">2264022480002656</t>
  </si>
  <si>
    <t xml:space="preserve">9780819121219</t>
  </si>
  <si>
    <t xml:space="preserve">32285000216720</t>
  </si>
  <si>
    <t xml:space="preserve">893713590</t>
  </si>
  <si>
    <t xml:space="preserve">B2799.E8 S35 1960</t>
  </si>
  <si>
    <t xml:space="preserve">0                      B  2799000E  8                  S  35          1960</t>
  </si>
  <si>
    <t xml:space="preserve">Kant's pre-critical ethics / with a foreword by H. J. Paton.</t>
  </si>
  <si>
    <t xml:space="preserve">Schilpp, Paul Arthur, 1897-1993.</t>
  </si>
  <si>
    <t xml:space="preserve">Evanston, [Ill.] : Northwestern University Press, [c1960]</t>
  </si>
  <si>
    <t xml:space="preserve">2009-10-12</t>
  </si>
  <si>
    <t xml:space="preserve">69769805:eng</t>
  </si>
  <si>
    <t xml:space="preserve">5573390</t>
  </si>
  <si>
    <t xml:space="preserve">991004847649702656</t>
  </si>
  <si>
    <t xml:space="preserve">2258467520002656</t>
  </si>
  <si>
    <t xml:space="preserve">32285000216795</t>
  </si>
  <si>
    <t xml:space="preserve">893719474</t>
  </si>
  <si>
    <t xml:space="preserve">B2799.F8 H63</t>
  </si>
  <si>
    <t xml:space="preserve">0                      B  2799000F  8                  H  63</t>
  </si>
  <si>
    <t xml:space="preserve">Kant's theory of freedom : a metaphysical inquiry / W. Michael Hoffman.</t>
  </si>
  <si>
    <t xml:space="preserve">Hoffman, W. Michael.</t>
  </si>
  <si>
    <t xml:space="preserve">Washington : University Press of America, c1979.</t>
  </si>
  <si>
    <t xml:space="preserve">1992-12-03</t>
  </si>
  <si>
    <t xml:space="preserve">1352975024:eng</t>
  </si>
  <si>
    <t xml:space="preserve">5422652</t>
  </si>
  <si>
    <t xml:space="preserve">991004833429702656</t>
  </si>
  <si>
    <t xml:space="preserve">2262282220002656</t>
  </si>
  <si>
    <t xml:space="preserve">9780819106513</t>
  </si>
  <si>
    <t xml:space="preserve">32285000216852</t>
  </si>
  <si>
    <t xml:space="preserve">893332096</t>
  </si>
  <si>
    <t xml:space="preserve">B2799.I42 H64 1982</t>
  </si>
  <si>
    <t xml:space="preserve">0                      B  2799000I  42                 H  64          1982</t>
  </si>
  <si>
    <t xml:space="preserve">The anatomy of idealism : passivity and activity in Kant, Hegel, and Marx / by Piotr Hoffmann.</t>
  </si>
  <si>
    <t xml:space="preserve">The Hague ; Boston : M. Nijhoff Publishers ; Hingham, MA. : Distributors for the U.S. and Canada, Kluwer Boston, 1982.</t>
  </si>
  <si>
    <t xml:space="preserve">Nijhoff international philosophy series ; v. 11</t>
  </si>
  <si>
    <t xml:space="preserve">1993-02-27</t>
  </si>
  <si>
    <t xml:space="preserve">889416288:eng</t>
  </si>
  <si>
    <t xml:space="preserve">8589176</t>
  </si>
  <si>
    <t xml:space="preserve">991000026049702656</t>
  </si>
  <si>
    <t xml:space="preserve">2254957780002656</t>
  </si>
  <si>
    <t xml:space="preserve">9789024727087</t>
  </si>
  <si>
    <t xml:space="preserve">32285000217934</t>
  </si>
  <si>
    <t xml:space="preserve">893230817</t>
  </si>
  <si>
    <t xml:space="preserve">B2799.K7 D83</t>
  </si>
  <si>
    <t xml:space="preserve">0                      B  2799000K  7                  D  83</t>
  </si>
  <si>
    <t xml:space="preserve">The notion of the a priori / translated with an introd. by Edward S. Casey. Pref. by Paul Ricoeur.</t>
  </si>
  <si>
    <t xml:space="preserve">Dufrenne, Mikel.</t>
  </si>
  <si>
    <t xml:space="preserve">[Evanston, Ill.] : Northwestern University Press, 1966.</t>
  </si>
  <si>
    <t xml:space="preserve">1997-10-08</t>
  </si>
  <si>
    <t xml:space="preserve">350709212:eng</t>
  </si>
  <si>
    <t xml:space="preserve">377708</t>
  </si>
  <si>
    <t xml:space="preserve">991002610539702656</t>
  </si>
  <si>
    <t xml:space="preserve">2263149590002656</t>
  </si>
  <si>
    <t xml:space="preserve">32285000217975</t>
  </si>
  <si>
    <t xml:space="preserve">893873746</t>
  </si>
  <si>
    <t xml:space="preserve">B2799.K7 G88 1987</t>
  </si>
  <si>
    <t xml:space="preserve">0                      B  2799000K  7                  G  88          1987</t>
  </si>
  <si>
    <t xml:space="preserve">Kant and the claims of knowledge / Paul Guyer.</t>
  </si>
  <si>
    <t xml:space="preserve">Cambridge [England] ; New York : Cambridge University Press, 1987.</t>
  </si>
  <si>
    <t xml:space="preserve">2001-03-12</t>
  </si>
  <si>
    <t xml:space="preserve">10215721:eng</t>
  </si>
  <si>
    <t xml:space="preserve">15222105</t>
  </si>
  <si>
    <t xml:space="preserve">991001003529702656</t>
  </si>
  <si>
    <t xml:space="preserve">2266807390002656</t>
  </si>
  <si>
    <t xml:space="preserve">9780521337724</t>
  </si>
  <si>
    <t xml:space="preserve">32285000217983</t>
  </si>
  <si>
    <t xml:space="preserve">893509297</t>
  </si>
  <si>
    <t xml:space="preserve">B2799.K7 H36</t>
  </si>
  <si>
    <t xml:space="preserve">0                      B  2799000K  7                  H  36</t>
  </si>
  <si>
    <t xml:space="preserve">Immanuel Kant : an explanation of his theory of knowledge and moral philosophy.</t>
  </si>
  <si>
    <t xml:space="preserve">Hartnack, Justus.</t>
  </si>
  <si>
    <t xml:space="preserve">Atlantic Highlands, N.J. : Humanities Press, [1974]</t>
  </si>
  <si>
    <t xml:space="preserve">2001-02-11</t>
  </si>
  <si>
    <t xml:space="preserve">1834776:eng</t>
  </si>
  <si>
    <t xml:space="preserve">901138</t>
  </si>
  <si>
    <t xml:space="preserve">991003365129702656</t>
  </si>
  <si>
    <t xml:space="preserve">2265552580002656</t>
  </si>
  <si>
    <t xml:space="preserve">32285000217991</t>
  </si>
  <si>
    <t xml:space="preserve">893246290</t>
  </si>
  <si>
    <t xml:space="preserve">B2799.K7 I57 1970</t>
  </si>
  <si>
    <t xml:space="preserve">0                      B  2799000K  7                  I  57          1970</t>
  </si>
  <si>
    <t xml:space="preserve">Kant's theory of knowledge : selected papers from the third International Kant Congress / edited by Lewis White Beck.</t>
  </si>
  <si>
    <t xml:space="preserve">Dordrecht ; Boston : D. Reidel, [1974]</t>
  </si>
  <si>
    <t xml:space="preserve">1996-06-04</t>
  </si>
  <si>
    <t xml:space="preserve">4783241085:eng</t>
  </si>
  <si>
    <t xml:space="preserve">1218699</t>
  </si>
  <si>
    <t xml:space="preserve">991003628719702656</t>
  </si>
  <si>
    <t xml:space="preserve">2271766160002656</t>
  </si>
  <si>
    <t xml:space="preserve">9789027705297</t>
  </si>
  <si>
    <t xml:space="preserve">32285000218015</t>
  </si>
  <si>
    <t xml:space="preserve">893598777</t>
  </si>
  <si>
    <t xml:space="preserve">B2799.K7 R45</t>
  </si>
  <si>
    <t xml:space="preserve">0                      B  2799000K  7                  R  45</t>
  </si>
  <si>
    <t xml:space="preserve">The primacy of practice : essays towards a pragmatically Kantian theory of empirical knowledge.</t>
  </si>
  <si>
    <t xml:space="preserve">Oxford : Blackwell, 1973.</t>
  </si>
  <si>
    <t xml:space="preserve">2009-07-22</t>
  </si>
  <si>
    <t xml:space="preserve">497652290:eng</t>
  </si>
  <si>
    <t xml:space="preserve">867525</t>
  </si>
  <si>
    <t xml:space="preserve">991003336889702656</t>
  </si>
  <si>
    <t xml:space="preserve">2265835950002656</t>
  </si>
  <si>
    <t xml:space="preserve">9780631150206</t>
  </si>
  <si>
    <t xml:space="preserve">32285000218031</t>
  </si>
  <si>
    <t xml:space="preserve">893805688</t>
  </si>
  <si>
    <t xml:space="preserve">B2799.M25 P58</t>
  </si>
  <si>
    <t xml:space="preserve">0                      B  2799000M  25                 P  58</t>
  </si>
  <si>
    <t xml:space="preserve">Kant as philosophical anthropologist / [by] Frederick P. van de Pitte.</t>
  </si>
  <si>
    <t xml:space="preserve">Pitte, Frederick Patrick van de, 1932-</t>
  </si>
  <si>
    <t xml:space="preserve">The Hague : Nijhoff, 1971. [1972]</t>
  </si>
  <si>
    <t xml:space="preserve">2002-04-10</t>
  </si>
  <si>
    <t xml:space="preserve">1576340:eng</t>
  </si>
  <si>
    <t xml:space="preserve">544955</t>
  </si>
  <si>
    <t xml:space="preserve">991002963209702656</t>
  </si>
  <si>
    <t xml:space="preserve">2268031690002656</t>
  </si>
  <si>
    <t xml:space="preserve">9789024751204</t>
  </si>
  <si>
    <t xml:space="preserve">32285000218056</t>
  </si>
  <si>
    <t xml:space="preserve">893704737</t>
  </si>
  <si>
    <t xml:space="preserve">B2799.M5 H43</t>
  </si>
  <si>
    <t xml:space="preserve">0                      B  2799000M  5                  H  43</t>
  </si>
  <si>
    <t xml:space="preserve">Kant and the problem of metaphysics / translated by James S. Churchill. Foreword by Thomas Langan.</t>
  </si>
  <si>
    <t xml:space="preserve">Bloomington : Indiana University Press, [1962]</t>
  </si>
  <si>
    <t xml:space="preserve">2009-12-17</t>
  </si>
  <si>
    <t xml:space="preserve">1456854:eng</t>
  </si>
  <si>
    <t xml:space="preserve">373592</t>
  </si>
  <si>
    <t xml:space="preserve">991002570689702656</t>
  </si>
  <si>
    <t xml:space="preserve">2261233700002656</t>
  </si>
  <si>
    <t xml:space="preserve">32285000218080</t>
  </si>
  <si>
    <t xml:space="preserve">893792624</t>
  </si>
  <si>
    <t xml:space="preserve">B2799.O5 G7</t>
  </si>
  <si>
    <t xml:space="preserve">0                      B  2799000O  5                  G  7</t>
  </si>
  <si>
    <t xml:space="preserve">Kant, ontology &amp; the a priori / [by] Moltke S. Gram.</t>
  </si>
  <si>
    <t xml:space="preserve">Gram, Moltke S.</t>
  </si>
  <si>
    <t xml:space="preserve">Evanston, [Ill.] : Northwestern University Press, 1968.</t>
  </si>
  <si>
    <t xml:space="preserve">2004-10-08</t>
  </si>
  <si>
    <t xml:space="preserve">1451032:eng</t>
  </si>
  <si>
    <t xml:space="preserve">372086</t>
  </si>
  <si>
    <t xml:space="preserve">991002563069702656</t>
  </si>
  <si>
    <t xml:space="preserve">2261764630002656</t>
  </si>
  <si>
    <t xml:space="preserve">32285000218122</t>
  </si>
  <si>
    <t xml:space="preserve">893880114</t>
  </si>
  <si>
    <t xml:space="preserve">B2799.R4 R38 1988</t>
  </si>
  <si>
    <t xml:space="preserve">0                      B  2799000R  4                  R  38          1988</t>
  </si>
  <si>
    <t xml:space="preserve">Kant as philosophical theologian / Bernard M. G. Reardon.</t>
  </si>
  <si>
    <t xml:space="preserve">Reardon, Bernard M. G.</t>
  </si>
  <si>
    <t xml:space="preserve">Totowa, N.J. : Barnes &amp; Noble, c1988.</t>
  </si>
  <si>
    <t xml:space="preserve">2000-04-18</t>
  </si>
  <si>
    <t xml:space="preserve">10681080:eng</t>
  </si>
  <si>
    <t xml:space="preserve">16092550</t>
  </si>
  <si>
    <t xml:space="preserve">991001083829702656</t>
  </si>
  <si>
    <t xml:space="preserve">2263768030002656</t>
  </si>
  <si>
    <t xml:space="preserve">9780389207597</t>
  </si>
  <si>
    <t xml:space="preserve">32285000179316</t>
  </si>
  <si>
    <t xml:space="preserve">893340141</t>
  </si>
  <si>
    <t xml:space="preserve">B2799.S7 G35 1965</t>
  </si>
  <si>
    <t xml:space="preserve">0                      B  2799000S  7                  G  35          1965</t>
  </si>
  <si>
    <t xml:space="preserve">The Kantian philosophy of space.</t>
  </si>
  <si>
    <t xml:space="preserve">Garnett, Christopher Browne, 1906-</t>
  </si>
  <si>
    <t xml:space="preserve">Port Washington, N.Y. : Kennikat Press, [1965, c1939]</t>
  </si>
  <si>
    <t xml:space="preserve">1998-09-24</t>
  </si>
  <si>
    <t xml:space="preserve">1371188:eng</t>
  </si>
  <si>
    <t xml:space="preserve">261651</t>
  </si>
  <si>
    <t xml:space="preserve">991002050629702656</t>
  </si>
  <si>
    <t xml:space="preserve">2266728780002656</t>
  </si>
  <si>
    <t xml:space="preserve">32285000218221</t>
  </si>
  <si>
    <t xml:space="preserve">893420894</t>
  </si>
  <si>
    <t xml:space="preserve">B2808 .H4</t>
  </si>
  <si>
    <t xml:space="preserve">0                      B  2808000H  4</t>
  </si>
  <si>
    <t xml:space="preserve">Science of knowledge (Wissenschaftslehre) with the First and Second introductions / edited and translated by Peter Heath [and] John Lachs.</t>
  </si>
  <si>
    <t xml:space="preserve">Fichte, Johann Gottlieb, 1762-1814.</t>
  </si>
  <si>
    <t xml:space="preserve">New York : Appleton-Century-Crofts, [1970]</t>
  </si>
  <si>
    <t xml:space="preserve">2004-01-23</t>
  </si>
  <si>
    <t xml:space="preserve">3901037460:eng</t>
  </si>
  <si>
    <t xml:space="preserve">116706</t>
  </si>
  <si>
    <t xml:space="preserve">991000658549702656</t>
  </si>
  <si>
    <t xml:space="preserve">2260571680002656</t>
  </si>
  <si>
    <t xml:space="preserve">9780390313607</t>
  </si>
  <si>
    <t xml:space="preserve">32285000218312</t>
  </si>
  <si>
    <t xml:space="preserve">893521877</t>
  </si>
  <si>
    <t xml:space="preserve">B288 .B68</t>
  </si>
  <si>
    <t xml:space="preserve">0                      B  0288000B  68</t>
  </si>
  <si>
    <t xml:space="preserve">Greek sophists in the Roman Empire / [by] G. W. Bowersock.</t>
  </si>
  <si>
    <t xml:space="preserve">Bowersock, G. W. (Glen Warren), 1936-</t>
  </si>
  <si>
    <t xml:space="preserve">Oxford : Clarendon P., 1969.</t>
  </si>
  <si>
    <t xml:space="preserve">1176539:eng</t>
  </si>
  <si>
    <t xml:space="preserve">29747</t>
  </si>
  <si>
    <t xml:space="preserve">991005352759702656</t>
  </si>
  <si>
    <t xml:space="preserve">2266413900002656</t>
  </si>
  <si>
    <t xml:space="preserve">9780198142799</t>
  </si>
  <si>
    <t xml:space="preserve">32285000141902</t>
  </si>
  <si>
    <t xml:space="preserve">893236695</t>
  </si>
  <si>
    <t xml:space="preserve">B2898 .W46 1983</t>
  </si>
  <si>
    <t xml:space="preserve">0                      B  2898000W  46          1983</t>
  </si>
  <si>
    <t xml:space="preserve">Schelling : an introduction to the system of freedom / Alan White.</t>
  </si>
  <si>
    <t xml:space="preserve">White, Alan, 1951-</t>
  </si>
  <si>
    <t xml:space="preserve">New Haven : Yale University Press, c1983.</t>
  </si>
  <si>
    <t xml:space="preserve">1997-03-26</t>
  </si>
  <si>
    <t xml:space="preserve">365947148:eng</t>
  </si>
  <si>
    <t xml:space="preserve">8906951</t>
  </si>
  <si>
    <t xml:space="preserve">991000091839702656</t>
  </si>
  <si>
    <t xml:space="preserve">2262759180002656</t>
  </si>
  <si>
    <t xml:space="preserve">9780300028966</t>
  </si>
  <si>
    <t xml:space="preserve">32285000218437</t>
  </si>
  <si>
    <t xml:space="preserve">893689411</t>
  </si>
  <si>
    <t xml:space="preserve">B2899.G6 B76 1977</t>
  </si>
  <si>
    <t xml:space="preserve">0                      B  2899000G  6                  B  76          1977</t>
  </si>
  <si>
    <t xml:space="preserve">The later philosophy of Schelling : the influence of Boehme on the works of 1809-1815 / Robert F. Brown.</t>
  </si>
  <si>
    <t xml:space="preserve">Brown, Robert F., 1941-</t>
  </si>
  <si>
    <t xml:space="preserve">Lewisburg [Pa.] : Bucknell University Press, c1977</t>
  </si>
  <si>
    <t xml:space="preserve">1997-03-23</t>
  </si>
  <si>
    <t xml:space="preserve">375660549:eng</t>
  </si>
  <si>
    <t xml:space="preserve">2330897</t>
  </si>
  <si>
    <t xml:space="preserve">991004082099702656</t>
  </si>
  <si>
    <t xml:space="preserve">2263736780002656</t>
  </si>
  <si>
    <t xml:space="preserve">9780838717554</t>
  </si>
  <si>
    <t xml:space="preserve">32285000218445</t>
  </si>
  <si>
    <t xml:space="preserve">893429631</t>
  </si>
  <si>
    <t xml:space="preserve">B2899.N3 E85</t>
  </si>
  <si>
    <t xml:space="preserve">0                      B  2899000N  3                  E  85</t>
  </si>
  <si>
    <t xml:space="preserve">Schelling's idealism and philosophy of nature / Joseph L. Esposito.</t>
  </si>
  <si>
    <t xml:space="preserve">Esposito, Joseph L., 1941-</t>
  </si>
  <si>
    <t xml:space="preserve">Lewisburg, [Pa.] : Bucknell University Press, c1977.</t>
  </si>
  <si>
    <t xml:space="preserve">2009-11-02</t>
  </si>
  <si>
    <t xml:space="preserve">503571:eng</t>
  </si>
  <si>
    <t xml:space="preserve">2694842</t>
  </si>
  <si>
    <t xml:space="preserve">991004214479702656</t>
  </si>
  <si>
    <t xml:space="preserve">2265035600002656</t>
  </si>
  <si>
    <t xml:space="preserve">9780838719046</t>
  </si>
  <si>
    <t xml:space="preserve">32285000218478</t>
  </si>
  <si>
    <t xml:space="preserve">893624485</t>
  </si>
  <si>
    <t xml:space="preserve">B2899.R4 T5413</t>
  </si>
  <si>
    <t xml:space="preserve">0                      B  2899000R  4                  T  5413</t>
  </si>
  <si>
    <t xml:space="preserve">The construction of the history of religion in Schelling's positive philosophy : its presuppositions and principles / translated with an introd. and notes by Victor Nuovo.</t>
  </si>
  <si>
    <t xml:space="preserve">Lewisburg, [Pa.] : Bucknell University Press, [1974]</t>
  </si>
  <si>
    <t xml:space="preserve">503511:eng</t>
  </si>
  <si>
    <t xml:space="preserve">983726</t>
  </si>
  <si>
    <t xml:space="preserve">991003447859702656</t>
  </si>
  <si>
    <t xml:space="preserve">2272649440002656</t>
  </si>
  <si>
    <t xml:space="preserve">9780838714225</t>
  </si>
  <si>
    <t xml:space="preserve">32285000218486</t>
  </si>
  <si>
    <t xml:space="preserve">893787321</t>
  </si>
  <si>
    <t xml:space="preserve">B29 .A23</t>
  </si>
  <si>
    <t xml:space="preserve">0                      B  0029000A  23</t>
  </si>
  <si>
    <t xml:space="preserve">The conditions of philosophy : its checkered past, its present disorder, and its future promise / [by] Mortimer J. Adler.</t>
  </si>
  <si>
    <t xml:space="preserve">Adler, Mortimer Jerome, 1902-2001.</t>
  </si>
  <si>
    <t xml:space="preserve">New York : Atheneum, 1965.</t>
  </si>
  <si>
    <t xml:space="preserve">1997-04-02</t>
  </si>
  <si>
    <t xml:space="preserve">47841513:eng</t>
  </si>
  <si>
    <t xml:space="preserve">266362</t>
  </si>
  <si>
    <t xml:space="preserve">991002101649702656</t>
  </si>
  <si>
    <t xml:space="preserve">2269484560002656</t>
  </si>
  <si>
    <t xml:space="preserve">32285000067008</t>
  </si>
  <si>
    <t xml:space="preserve">893408694</t>
  </si>
  <si>
    <t xml:space="preserve">B29 .B66</t>
  </si>
  <si>
    <t xml:space="preserve">0                      B  0029000B  66</t>
  </si>
  <si>
    <t xml:space="preserve">Philosophical essays / [by] O.K. Bouwsma.</t>
  </si>
  <si>
    <t xml:space="preserve">Bouwsma, O. K.</t>
  </si>
  <si>
    <t xml:space="preserve">Lincoln : University of Nebraska Press, [1965]</t>
  </si>
  <si>
    <t xml:space="preserve">2000-01-18</t>
  </si>
  <si>
    <t xml:space="preserve">455072:eng</t>
  </si>
  <si>
    <t xml:space="preserve">368537</t>
  </si>
  <si>
    <t xml:space="preserve">991002544539702656</t>
  </si>
  <si>
    <t xml:space="preserve">2267717480002656</t>
  </si>
  <si>
    <t xml:space="preserve">32285000067115</t>
  </si>
  <si>
    <t xml:space="preserve">893239191</t>
  </si>
  <si>
    <t xml:space="preserve">B29 .D62 1988</t>
  </si>
  <si>
    <t xml:space="preserve">0                      B  0029000D  62          1988</t>
  </si>
  <si>
    <t xml:space="preserve">Doing philosophy historically / edited by Peter H. Hare.</t>
  </si>
  <si>
    <t xml:space="preserve">Buffalo, N.Y. : Prometheus Books, 1988.</t>
  </si>
  <si>
    <t xml:space="preserve">Frontiers of philosophy</t>
  </si>
  <si>
    <t xml:space="preserve">2009-02-13</t>
  </si>
  <si>
    <t xml:space="preserve">1990-04-11</t>
  </si>
  <si>
    <t xml:space="preserve">9380830971:eng</t>
  </si>
  <si>
    <t xml:space="preserve">17483908</t>
  </si>
  <si>
    <t xml:space="preserve">991001223609702656</t>
  </si>
  <si>
    <t xml:space="preserve">2259560040002656</t>
  </si>
  <si>
    <t xml:space="preserve">9780879754266</t>
  </si>
  <si>
    <t xml:space="preserve">32285000067222</t>
  </si>
  <si>
    <t xml:space="preserve">893321745</t>
  </si>
  <si>
    <t xml:space="preserve">B29 .F537 1966</t>
  </si>
  <si>
    <t xml:space="preserve">0                      B  0029000F  537         1966</t>
  </si>
  <si>
    <t xml:space="preserve">The discipline of the cave : Gifford lectures given at the University of St. Andrews, December 1964--February 1965 / by J.N. Findlay.</t>
  </si>
  <si>
    <t xml:space="preserve">London : Allen &amp; Unwin ; New York : Humanities P., 1966.</t>
  </si>
  <si>
    <t xml:space="preserve">Gifford lectures ; 1964-1965</t>
  </si>
  <si>
    <t xml:space="preserve">190169995:eng</t>
  </si>
  <si>
    <t xml:space="preserve">366352</t>
  </si>
  <si>
    <t xml:space="preserve">991002523349702656</t>
  </si>
  <si>
    <t xml:space="preserve">2264385350002656</t>
  </si>
  <si>
    <t xml:space="preserve">32285000067313</t>
  </si>
  <si>
    <t xml:space="preserve">893421484</t>
  </si>
  <si>
    <t xml:space="preserve">B29 .F56 1967</t>
  </si>
  <si>
    <t xml:space="preserve">0                      B  0029000F  56          1967</t>
  </si>
  <si>
    <t xml:space="preserve">The transcendence of the cave : (sequel to The discipline of the cave) / by J. N. Findlay.</t>
  </si>
  <si>
    <t xml:space="preserve">London : Allen &amp; Unwin ; New York : Humanities P., 1967.</t>
  </si>
  <si>
    <t xml:space="preserve">Gifford lectures ; 1965, 1966</t>
  </si>
  <si>
    <t xml:space="preserve">1997-10-28</t>
  </si>
  <si>
    <t xml:space="preserve">4241727423:eng</t>
  </si>
  <si>
    <t xml:space="preserve">366427</t>
  </si>
  <si>
    <t xml:space="preserve">991002523719702656</t>
  </si>
  <si>
    <t xml:space="preserve">2264323330002656</t>
  </si>
  <si>
    <t xml:space="preserve">32285000067321</t>
  </si>
  <si>
    <t xml:space="preserve">893498215</t>
  </si>
  <si>
    <t xml:space="preserve">B29 .L5629</t>
  </si>
  <si>
    <t xml:space="preserve">0                      B  0029000L  5629</t>
  </si>
  <si>
    <t xml:space="preserve">Logic &amp; art : essays in honor of Nelson Goodman / Richard Rudner and Israel Scheffler, editors.</t>
  </si>
  <si>
    <t xml:space="preserve">Indianapolis : Bobbs-Merrill, [c1972]</t>
  </si>
  <si>
    <t xml:space="preserve">796636285:eng</t>
  </si>
  <si>
    <t xml:space="preserve">251885</t>
  </si>
  <si>
    <t xml:space="preserve">991001950379702656</t>
  </si>
  <si>
    <t xml:space="preserve">2268809060002656</t>
  </si>
  <si>
    <t xml:space="preserve">32285000067545</t>
  </si>
  <si>
    <t xml:space="preserve">893516720</t>
  </si>
  <si>
    <t xml:space="preserve">B29 .P5248 1983</t>
  </si>
  <si>
    <t xml:space="preserve">0                      B  0029000P  5248        1983</t>
  </si>
  <si>
    <t xml:space="preserve">Philosophy in France today / edited by Alan Montefiore.</t>
  </si>
  <si>
    <t xml:space="preserve">2008-11-30</t>
  </si>
  <si>
    <t xml:space="preserve">42971043:eng</t>
  </si>
  <si>
    <t xml:space="preserve">8588289</t>
  </si>
  <si>
    <t xml:space="preserve">991000025029702656</t>
  </si>
  <si>
    <t xml:space="preserve">2258317330002656</t>
  </si>
  <si>
    <t xml:space="preserve">9780521296731</t>
  </si>
  <si>
    <t xml:space="preserve">32285000067743</t>
  </si>
  <si>
    <t xml:space="preserve">893314612</t>
  </si>
  <si>
    <t xml:space="preserve">B29 .S73</t>
  </si>
  <si>
    <t xml:space="preserve">0                      B  0029000S  73</t>
  </si>
  <si>
    <t xml:space="preserve">Collected papers on epistemology, philosophy of science and history of philosophy / Wolfgang Stegmüller.</t>
  </si>
  <si>
    <t xml:space="preserve">Stegmüller, Wolfgang.</t>
  </si>
  <si>
    <t xml:space="preserve">Dordrecht, Holland ; Boston : D. Reidel Pub. Co., c1977.</t>
  </si>
  <si>
    <t xml:space="preserve">Synthese library ; v. 91</t>
  </si>
  <si>
    <t xml:space="preserve">2009-05-03</t>
  </si>
  <si>
    <t xml:space="preserve">5900826:eng</t>
  </si>
  <si>
    <t xml:space="preserve">2644450</t>
  </si>
  <si>
    <t xml:space="preserve">991004195729702656</t>
  </si>
  <si>
    <t xml:space="preserve">2255403980002656</t>
  </si>
  <si>
    <t xml:space="preserve">9789027707673</t>
  </si>
  <si>
    <t xml:space="preserve">32285000067925</t>
  </si>
  <si>
    <t xml:space="preserve">893343570</t>
  </si>
  <si>
    <t xml:space="preserve">32285000067917</t>
  </si>
  <si>
    <t xml:space="preserve">893318913</t>
  </si>
  <si>
    <t xml:space="preserve">B2908 .F7 1954</t>
  </si>
  <si>
    <t xml:space="preserve">0                      B  2908000F  7           1954</t>
  </si>
  <si>
    <t xml:space="preserve">The philosophy of Hegel / edited, with an introd., by Carl J. Friedrich.</t>
  </si>
  <si>
    <t xml:space="preserve">Hegel, Georg Wilhelm Friedrich, 1770-1831.</t>
  </si>
  <si>
    <t xml:space="preserve">New York : Modern Library, [c1954]</t>
  </si>
  <si>
    <t xml:space="preserve">The Modern library of the world's best books, 239</t>
  </si>
  <si>
    <t xml:space="preserve">1995-02-07</t>
  </si>
  <si>
    <t xml:space="preserve">1990-08-01</t>
  </si>
  <si>
    <t xml:space="preserve">3887412383:eng</t>
  </si>
  <si>
    <t xml:space="preserve">312406</t>
  </si>
  <si>
    <t xml:space="preserve">991002288839702656</t>
  </si>
  <si>
    <t xml:space="preserve">2271063480002656</t>
  </si>
  <si>
    <t xml:space="preserve">32285000261494</t>
  </si>
  <si>
    <t xml:space="preserve">893804431</t>
  </si>
  <si>
    <t xml:space="preserve">B2908 .G7</t>
  </si>
  <si>
    <t xml:space="preserve">0                      B  2908000G  7</t>
  </si>
  <si>
    <t xml:space="preserve">On art, religion, philosophy : introductory lectures to the realm of absolute spirit / edited and with an introd. by J. Glenn Gray.</t>
  </si>
  <si>
    <t xml:space="preserve">New York : Harper &amp; Row, [1970]</t>
  </si>
  <si>
    <t xml:space="preserve">Harper torchbooks ; 1463</t>
  </si>
  <si>
    <t xml:space="preserve">2000-12-05</t>
  </si>
  <si>
    <t xml:space="preserve">133070134:eng</t>
  </si>
  <si>
    <t xml:space="preserve">59347</t>
  </si>
  <si>
    <t xml:space="preserve">991000147999702656</t>
  </si>
  <si>
    <t xml:space="preserve">2260480650002656</t>
  </si>
  <si>
    <t xml:space="preserve">32285000261502</t>
  </si>
  <si>
    <t xml:space="preserve">893314725</t>
  </si>
  <si>
    <t xml:space="preserve">B2908 .O7</t>
  </si>
  <si>
    <t xml:space="preserve">0                      B  2908000O  7</t>
  </si>
  <si>
    <t xml:space="preserve">Hegel : highlights, an annotated selection / [by] Wanda Orynski.</t>
  </si>
  <si>
    <t xml:space="preserve">New York : Philosophical Library, [1960]</t>
  </si>
  <si>
    <t xml:space="preserve">3768583304:eng</t>
  </si>
  <si>
    <t xml:space="preserve">713046</t>
  </si>
  <si>
    <t xml:space="preserve">991003186579702656</t>
  </si>
  <si>
    <t xml:space="preserve">2254892100002656</t>
  </si>
  <si>
    <t xml:space="preserve">32285000261528</t>
  </si>
  <si>
    <t xml:space="preserve">893787049</t>
  </si>
  <si>
    <t xml:space="preserve">B2918.E5 W3</t>
  </si>
  <si>
    <t xml:space="preserve">0                      B  2918000E  5                  W  3</t>
  </si>
  <si>
    <t xml:space="preserve">The logic of Hegel : translated from the Encyclopaedia of the philosophical sciences / by William Wallace.</t>
  </si>
  <si>
    <t xml:space="preserve">London : Oxford University Press, [19--]</t>
  </si>
  <si>
    <t xml:space="preserve">1900</t>
  </si>
  <si>
    <t xml:space="preserve">2d ed., rev. and augm.</t>
  </si>
  <si>
    <t xml:space="preserve">1992-03-21</t>
  </si>
  <si>
    <t xml:space="preserve">4417465254:eng</t>
  </si>
  <si>
    <t xml:space="preserve">4023677</t>
  </si>
  <si>
    <t xml:space="preserve">991004570519702656</t>
  </si>
  <si>
    <t xml:space="preserve">2267295160002656</t>
  </si>
  <si>
    <t xml:space="preserve">32285000261619</t>
  </si>
  <si>
    <t xml:space="preserve">893446283</t>
  </si>
  <si>
    <t xml:space="preserve">B2923.Z7 M313 1970</t>
  </si>
  <si>
    <t xml:space="preserve">0                      B  2923000Z  7                  M  313         1970</t>
  </si>
  <si>
    <t xml:space="preserve">Critique of Hegel's 'Philosophy of right' / translated from the German by Annette Jolin and Joseph O'Malley ; edited with an introduction. and notes by Joseph O'Malley.</t>
  </si>
  <si>
    <t xml:space="preserve">Marx, Karl, 1818-1883.</t>
  </si>
  <si>
    <t xml:space="preserve">Cambridge, [Eng.] : University Press, 1970.</t>
  </si>
  <si>
    <t xml:space="preserve">Cambridge studies in the history and theory of politics</t>
  </si>
  <si>
    <t xml:space="preserve">2007-03-27</t>
  </si>
  <si>
    <t xml:space="preserve">1992-07-17</t>
  </si>
  <si>
    <t xml:space="preserve">1186887:eng</t>
  </si>
  <si>
    <t xml:space="preserve">105683</t>
  </si>
  <si>
    <t xml:space="preserve">991001714609702656</t>
  </si>
  <si>
    <t xml:space="preserve">2263111200002656</t>
  </si>
  <si>
    <t xml:space="preserve">9780521078368</t>
  </si>
  <si>
    <t xml:space="preserve">32285000261676</t>
  </si>
  <si>
    <t xml:space="preserve">893334514</t>
  </si>
  <si>
    <t xml:space="preserve">B2929 .M2813 1975</t>
  </si>
  <si>
    <t xml:space="preserve">0                      B  2929000M  2813        1975</t>
  </si>
  <si>
    <t xml:space="preserve">Hegel's Phenomenology of spirit, its point and purpose : a commentary on the preface and introduction / translated by Peter Heath.</t>
  </si>
  <si>
    <t xml:space="preserve">Marx, Werner.</t>
  </si>
  <si>
    <t xml:space="preserve">New York : Harper &amp; Row, [1975]</t>
  </si>
  <si>
    <t xml:space="preserve">2009-11-24</t>
  </si>
  <si>
    <t xml:space="preserve">3771257811:eng</t>
  </si>
  <si>
    <t xml:space="preserve">1046780</t>
  </si>
  <si>
    <t xml:space="preserve">991003496459702656</t>
  </si>
  <si>
    <t xml:space="preserve">2266922460002656</t>
  </si>
  <si>
    <t xml:space="preserve">9780060654634</t>
  </si>
  <si>
    <t xml:space="preserve">32285000261767</t>
  </si>
  <si>
    <t xml:space="preserve">893781070</t>
  </si>
  <si>
    <t xml:space="preserve">B2929 .N38</t>
  </si>
  <si>
    <t xml:space="preserve">0                      B  2929000N  38</t>
  </si>
  <si>
    <t xml:space="preserve">Consciousness and reality : Hegel's philosophy of subjectivity / by Joseph L. Navickas.</t>
  </si>
  <si>
    <t xml:space="preserve">Navickas, Joseph L., 1930-</t>
  </si>
  <si>
    <t xml:space="preserve">The Hague : Martinus Nijhoff, 1976.</t>
  </si>
  <si>
    <t xml:space="preserve">871023010:eng</t>
  </si>
  <si>
    <t xml:space="preserve">2595790</t>
  </si>
  <si>
    <t xml:space="preserve">991004175339702656</t>
  </si>
  <si>
    <t xml:space="preserve">2266598780002656</t>
  </si>
  <si>
    <t xml:space="preserve">9789024717750</t>
  </si>
  <si>
    <t xml:space="preserve">32285000261775</t>
  </si>
  <si>
    <t xml:space="preserve">893512904</t>
  </si>
  <si>
    <t xml:space="preserve">B2936.Z7 L37</t>
  </si>
  <si>
    <t xml:space="preserve">0                      B  2936000Z  7                  L  37</t>
  </si>
  <si>
    <t xml:space="preserve">Hegel's idea of philosophy / with a new translation of Hegel's Introduction to the history of philosophy.</t>
  </si>
  <si>
    <t xml:space="preserve">Lauer, Quentin.</t>
  </si>
  <si>
    <t xml:space="preserve">New York : Fordham University Press, 1971.</t>
  </si>
  <si>
    <t xml:space="preserve">4159825240:eng</t>
  </si>
  <si>
    <t xml:space="preserve">159568</t>
  </si>
  <si>
    <t xml:space="preserve">991000910529702656</t>
  </si>
  <si>
    <t xml:space="preserve">2259029990002656</t>
  </si>
  <si>
    <t xml:space="preserve">9780823209255</t>
  </si>
  <si>
    <t xml:space="preserve">32285000261932</t>
  </si>
  <si>
    <t xml:space="preserve">893683856</t>
  </si>
  <si>
    <t xml:space="preserve">B2947 .M82</t>
  </si>
  <si>
    <t xml:space="preserve">0                      B  2947000M  82</t>
  </si>
  <si>
    <t xml:space="preserve">Hegel : the man, his vision, and work / by Gustav E. Mueller.</t>
  </si>
  <si>
    <t xml:space="preserve">Müller, Gustav Emil, 1898-1987.</t>
  </si>
  <si>
    <t xml:space="preserve">New York : Pageant Press, [c1968]</t>
  </si>
  <si>
    <t xml:space="preserve">1997-03-06</t>
  </si>
  <si>
    <t xml:space="preserve">1990-03-16</t>
  </si>
  <si>
    <t xml:space="preserve">1242654:eng</t>
  </si>
  <si>
    <t xml:space="preserve">72292</t>
  </si>
  <si>
    <t xml:space="preserve">991000378019702656</t>
  </si>
  <si>
    <t xml:space="preserve">2271449340002656</t>
  </si>
  <si>
    <t xml:space="preserve">32285000090463</t>
  </si>
  <si>
    <t xml:space="preserve">893231067</t>
  </si>
  <si>
    <t xml:space="preserve">B2947 .W513</t>
  </si>
  <si>
    <t xml:space="preserve">0                      B  2947000W  513</t>
  </si>
  <si>
    <t xml:space="preserve">Hegel : an illustrated biography / translated from the German by Joachim Neugroschel.</t>
  </si>
  <si>
    <t xml:space="preserve">Wiedmann, Franz, 1927-</t>
  </si>
  <si>
    <t xml:space="preserve">New York : Pegasus, [1968]</t>
  </si>
  <si>
    <t xml:space="preserve">1993-06-22</t>
  </si>
  <si>
    <t xml:space="preserve">1990-08-02</t>
  </si>
  <si>
    <t xml:space="preserve">1450925:eng</t>
  </si>
  <si>
    <t xml:space="preserve">372058</t>
  </si>
  <si>
    <t xml:space="preserve">991002562919702656</t>
  </si>
  <si>
    <t xml:space="preserve">2261751060002656</t>
  </si>
  <si>
    <t xml:space="preserve">32285000264167</t>
  </si>
  <si>
    <t xml:space="preserve">893804747</t>
  </si>
  <si>
    <t xml:space="preserve">B2948 .B85</t>
  </si>
  <si>
    <t xml:space="preserve">0                      B  2948000B  85</t>
  </si>
  <si>
    <t xml:space="preserve">G. W. F. Hegel / by Clark Butler.</t>
  </si>
  <si>
    <t xml:space="preserve">Butler, Clark, 1944-</t>
  </si>
  <si>
    <t xml:space="preserve">Boston : Twayne, c1977.</t>
  </si>
  <si>
    <t xml:space="preserve">Twayne's world authors series ; TWAS 461 : Germany</t>
  </si>
  <si>
    <t xml:space="preserve">4916542898:eng</t>
  </si>
  <si>
    <t xml:space="preserve">2965608</t>
  </si>
  <si>
    <t xml:space="preserve">991004296809702656</t>
  </si>
  <si>
    <t xml:space="preserve">2270359980002656</t>
  </si>
  <si>
    <t xml:space="preserve">9780805762983</t>
  </si>
  <si>
    <t xml:space="preserve">32285000264183</t>
  </si>
  <si>
    <t xml:space="preserve">893253518</t>
  </si>
  <si>
    <t xml:space="preserve">B2948 .E388</t>
  </si>
  <si>
    <t xml:space="preserve">0                      B  2948000E  388</t>
  </si>
  <si>
    <t xml:space="preserve">Appropriating Hegel / Crawford Elder.</t>
  </si>
  <si>
    <t xml:space="preserve">Elder, Crawford.</t>
  </si>
  <si>
    <t xml:space="preserve">Aberdeen : Aberdeen University Press, 1981.</t>
  </si>
  <si>
    <t xml:space="preserve">Scots Philosophical ; no. 3</t>
  </si>
  <si>
    <t xml:space="preserve">2007-04-15</t>
  </si>
  <si>
    <t xml:space="preserve">28595029:eng</t>
  </si>
  <si>
    <t xml:space="preserve">7507173</t>
  </si>
  <si>
    <t xml:space="preserve">991005120569702656</t>
  </si>
  <si>
    <t xml:space="preserve">2263008400002656</t>
  </si>
  <si>
    <t xml:space="preserve">9780080257297</t>
  </si>
  <si>
    <t xml:space="preserve">32285000098953</t>
  </si>
  <si>
    <t xml:space="preserve">893688620</t>
  </si>
  <si>
    <t xml:space="preserve">B2948 .G7 1968</t>
  </si>
  <si>
    <t xml:space="preserve">0                      B  2948000G  7           1968</t>
  </si>
  <si>
    <t xml:space="preserve">Hegel and Greek thought / [by] J. Glenn Gray.</t>
  </si>
  <si>
    <t xml:space="preserve">Gray, J. Glenn (Jesse Glenn), 1913-1977.</t>
  </si>
  <si>
    <t xml:space="preserve">New York : Harper &amp; Row, [1968, c1941]</t>
  </si>
  <si>
    <t xml:space="preserve">Harper torchbooks, TB1409. The Academy library</t>
  </si>
  <si>
    <t xml:space="preserve">1995-09-05</t>
  </si>
  <si>
    <t xml:space="preserve">1152605259:eng</t>
  </si>
  <si>
    <t xml:space="preserve">39909</t>
  </si>
  <si>
    <t xml:space="preserve">991000093909702656</t>
  </si>
  <si>
    <t xml:space="preserve">2262954800002656</t>
  </si>
  <si>
    <t xml:space="preserve">32285000264274</t>
  </si>
  <si>
    <t xml:space="preserve">893589120</t>
  </si>
  <si>
    <t xml:space="preserve">B2948 .H34 1974</t>
  </si>
  <si>
    <t xml:space="preserve">0                      B  2948000H  34          1974</t>
  </si>
  <si>
    <t xml:space="preserve">Hegel and the history of philosophy : proceedings of the 1972 Hegel Society of America Conference / edited by Joseph J. O'Malley, K.W. Algozin, Frederick G. Weiss.</t>
  </si>
  <si>
    <t xml:space="preserve">Hegel Society of America.</t>
  </si>
  <si>
    <t xml:space="preserve">1089873187:eng</t>
  </si>
  <si>
    <t xml:space="preserve">1364250</t>
  </si>
  <si>
    <t xml:space="preserve">991003718679702656</t>
  </si>
  <si>
    <t xml:space="preserve">2257093880002656</t>
  </si>
  <si>
    <t xml:space="preserve">9789024717125</t>
  </si>
  <si>
    <t xml:space="preserve">32285000264308</t>
  </si>
  <si>
    <t xml:space="preserve">893693066</t>
  </si>
  <si>
    <t xml:space="preserve">B2948 .H66 1986</t>
  </si>
  <si>
    <t xml:space="preserve">0                      B  2948000H  66          1986</t>
  </si>
  <si>
    <t xml:space="preserve">Hegel, Nietzsche, and the criticism of metaphysics / Stephen Houlgate.</t>
  </si>
  <si>
    <t xml:space="preserve">Houlgate, Stephen.</t>
  </si>
  <si>
    <t xml:space="preserve">576802:eng</t>
  </si>
  <si>
    <t xml:space="preserve">13358067</t>
  </si>
  <si>
    <t xml:space="preserve">991000815699702656</t>
  </si>
  <si>
    <t xml:space="preserve">2268269960002656</t>
  </si>
  <si>
    <t xml:space="preserve">9780521322553</t>
  </si>
  <si>
    <t xml:space="preserve">32285000167337</t>
  </si>
  <si>
    <t xml:space="preserve">893522046</t>
  </si>
  <si>
    <t xml:space="preserve">B2948 .K3 1977</t>
  </si>
  <si>
    <t xml:space="preserve">0                      B  2948000K  3           1977</t>
  </si>
  <si>
    <t xml:space="preserve">Hegel, a reinterpretation / Walter Kaufmann.</t>
  </si>
  <si>
    <t xml:space="preserve">Kaufmann, Walter, 1921-1980.</t>
  </si>
  <si>
    <t xml:space="preserve">Notre Dame, Ind. : University of Notre Dame Press, 1977, c1965.</t>
  </si>
  <si>
    <t xml:space="preserve">1993-03-10</t>
  </si>
  <si>
    <t xml:space="preserve">3768631488:eng</t>
  </si>
  <si>
    <t xml:space="preserve">3168016</t>
  </si>
  <si>
    <t xml:space="preserve">991004362079702656</t>
  </si>
  <si>
    <t xml:space="preserve">2262294280002656</t>
  </si>
  <si>
    <t xml:space="preserve">9780268010683</t>
  </si>
  <si>
    <t xml:space="preserve">32285000039247</t>
  </si>
  <si>
    <t xml:space="preserve">893618572</t>
  </si>
  <si>
    <t xml:space="preserve">B2948 .K598 1986</t>
  </si>
  <si>
    <t xml:space="preserve">0                      B  2948000K  598         1986</t>
  </si>
  <si>
    <t xml:space="preserve">The critique of pure modernity : Hegel, Heidegger, and after / David Kolb.</t>
  </si>
  <si>
    <t xml:space="preserve">Kolb, David.</t>
  </si>
  <si>
    <t xml:space="preserve">Chicago : University of Chicago Press, 1986.</t>
  </si>
  <si>
    <t xml:space="preserve">2009-10-27</t>
  </si>
  <si>
    <t xml:space="preserve">6965593:eng</t>
  </si>
  <si>
    <t xml:space="preserve">13560656</t>
  </si>
  <si>
    <t xml:space="preserve">991000846179702656</t>
  </si>
  <si>
    <t xml:space="preserve">2263525630002656</t>
  </si>
  <si>
    <t xml:space="preserve">9780226450315</t>
  </si>
  <si>
    <t xml:space="preserve">32285000042829</t>
  </si>
  <si>
    <t xml:space="preserve">893865741</t>
  </si>
  <si>
    <t xml:space="preserve">B2948 .M14 1984</t>
  </si>
  <si>
    <t xml:space="preserve">0                      B  2948000M  14          1984</t>
  </si>
  <si>
    <t xml:space="preserve">The Communist ideal in Hegel and Marx / David MacGregor.</t>
  </si>
  <si>
    <t xml:space="preserve">MacGregor, David, 1943-</t>
  </si>
  <si>
    <t xml:space="preserve">Toronto ; Buffalo : University of Toronto Press, c1984.</t>
  </si>
  <si>
    <t xml:space="preserve">2001-11-28</t>
  </si>
  <si>
    <t xml:space="preserve">5024255:eng</t>
  </si>
  <si>
    <t xml:space="preserve">10922234</t>
  </si>
  <si>
    <t xml:space="preserve">991000458129702656</t>
  </si>
  <si>
    <t xml:space="preserve">2267097200002656</t>
  </si>
  <si>
    <t xml:space="preserve">32285000120708</t>
  </si>
  <si>
    <t xml:space="preserve">893249366</t>
  </si>
  <si>
    <t xml:space="preserve">B2948 .M22 1964</t>
  </si>
  <si>
    <t xml:space="preserve">0                      B  2948000M  22          1964</t>
  </si>
  <si>
    <t xml:space="preserve">Studies in the Hegelian dialectic.</t>
  </si>
  <si>
    <t xml:space="preserve">1998-02-23</t>
  </si>
  <si>
    <t xml:space="preserve">1907720:eng</t>
  </si>
  <si>
    <t xml:space="preserve">1313467</t>
  </si>
  <si>
    <t xml:space="preserve">991004337919702656</t>
  </si>
  <si>
    <t xml:space="preserve">2270899680002656</t>
  </si>
  <si>
    <t xml:space="preserve">32285000264357</t>
  </si>
  <si>
    <t xml:space="preserve">893325240</t>
  </si>
  <si>
    <t xml:space="preserve">B2948 .M25 1966b</t>
  </si>
  <si>
    <t xml:space="preserve">0                      B  2948000M  25          1966b</t>
  </si>
  <si>
    <t xml:space="preserve">On Hegel's critique of Kant.</t>
  </si>
  <si>
    <t xml:space="preserve">Maier, Joseph, 1911-</t>
  </si>
  <si>
    <t xml:space="preserve">New York : AMS Press, Inc., 1966.</t>
  </si>
  <si>
    <t xml:space="preserve">115114556:eng</t>
  </si>
  <si>
    <t xml:space="preserve">523608</t>
  </si>
  <si>
    <t xml:space="preserve">991002914219702656</t>
  </si>
  <si>
    <t xml:space="preserve">2261835080002656</t>
  </si>
  <si>
    <t xml:space="preserve">32285000264365</t>
  </si>
  <si>
    <t xml:space="preserve">893591945</t>
  </si>
  <si>
    <t xml:space="preserve">B2948 .M32 1984</t>
  </si>
  <si>
    <t xml:space="preserve">0                      B  2948000M  32          1984</t>
  </si>
  <si>
    <t xml:space="preserve">Studies in Hegelian cosmology / John McTaggart Ellis McTaggart.</t>
  </si>
  <si>
    <t xml:space="preserve">New York : Garland Pub., 1984.</t>
  </si>
  <si>
    <t xml:space="preserve">The Philosophy of Hegel</t>
  </si>
  <si>
    <t xml:space="preserve">1740254:eng</t>
  </si>
  <si>
    <t xml:space="preserve">10800865</t>
  </si>
  <si>
    <t xml:space="preserve">991000438559702656</t>
  </si>
  <si>
    <t xml:space="preserve">2268946350002656</t>
  </si>
  <si>
    <t xml:space="preserve">9780824056360</t>
  </si>
  <si>
    <t xml:space="preserve">32285000167345</t>
  </si>
  <si>
    <t xml:space="preserve">893683410</t>
  </si>
  <si>
    <t xml:space="preserve">B2948 .M8 1966</t>
  </si>
  <si>
    <t xml:space="preserve">0                      B  2948000M  8           1966</t>
  </si>
  <si>
    <t xml:space="preserve">An introduction to Hegel / by G. R. G. Mure.</t>
  </si>
  <si>
    <t xml:space="preserve">Mure, G. R. G. (Geoffrey Reginald Gilchrist), 1893-1979.</t>
  </si>
  <si>
    <t xml:space="preserve">Oxford : Clarendon, l966, c1940.</t>
  </si>
  <si>
    <t xml:space="preserve">1992-09-12</t>
  </si>
  <si>
    <t xml:space="preserve">1398390:eng</t>
  </si>
  <si>
    <t xml:space="preserve">7037845</t>
  </si>
  <si>
    <t xml:space="preserve">991005071849702656</t>
  </si>
  <si>
    <t xml:space="preserve">2260699090002656</t>
  </si>
  <si>
    <t xml:space="preserve">32285000264381</t>
  </si>
  <si>
    <t xml:space="preserve">893501269</t>
  </si>
  <si>
    <t xml:space="preserve">B2948 .R5513</t>
  </si>
  <si>
    <t xml:space="preserve">0                      B  2948000R  5513</t>
  </si>
  <si>
    <t xml:space="preserve">The divided nation : the roots of a bourgeois thinker, G. W. F. Hegel / José María Ripalda ; [translated from the Spanish manuscript by Fay Franklin and Maruja Tillmann].</t>
  </si>
  <si>
    <t xml:space="preserve">Ripalda, José María.</t>
  </si>
  <si>
    <t xml:space="preserve">Assen ; Amsterdam : Van Gorcum, 1977.</t>
  </si>
  <si>
    <t xml:space="preserve">Dialectic and society ; 3</t>
  </si>
  <si>
    <t xml:space="preserve">2008-05-09</t>
  </si>
  <si>
    <t xml:space="preserve">817700420:eng</t>
  </si>
  <si>
    <t xml:space="preserve">3809020</t>
  </si>
  <si>
    <t xml:space="preserve">991004519879702656</t>
  </si>
  <si>
    <t xml:space="preserve">2265516840002656</t>
  </si>
  <si>
    <t xml:space="preserve">9789023215141</t>
  </si>
  <si>
    <t xml:space="preserve">32285000264415</t>
  </si>
  <si>
    <t xml:space="preserve">893794953</t>
  </si>
  <si>
    <t xml:space="preserve">B2948 .R57 1982</t>
  </si>
  <si>
    <t xml:space="preserve">0                      B  2948000R  57          1982</t>
  </si>
  <si>
    <t xml:space="preserve">Hegel and the French Revolution : essays on the Philosophy of right / Joachim Ritter ; translated with an introduction by Richard Dien Winfield.</t>
  </si>
  <si>
    <t xml:space="preserve">Ritter, Joachim, 1903-1974.</t>
  </si>
  <si>
    <t xml:space="preserve">Cambridge, Mass. ; London, England : MIT Press, c1982.</t>
  </si>
  <si>
    <t xml:space="preserve">Studies in contemporary German social thought</t>
  </si>
  <si>
    <t xml:space="preserve">836684629:eng</t>
  </si>
  <si>
    <t xml:space="preserve">8171086</t>
  </si>
  <si>
    <t xml:space="preserve">991005213239702656</t>
  </si>
  <si>
    <t xml:space="preserve">2256935030002656</t>
  </si>
  <si>
    <t xml:space="preserve">9780262181051</t>
  </si>
  <si>
    <t xml:space="preserve">32285000167352</t>
  </si>
  <si>
    <t xml:space="preserve">893808016</t>
  </si>
  <si>
    <t xml:space="preserve">B2948 .R63 1982</t>
  </si>
  <si>
    <t xml:space="preserve">0                      B  2948000R  63          1982</t>
  </si>
  <si>
    <t xml:space="preserve">Hegel's dialectic and its criticism / Michael Rosen.</t>
  </si>
  <si>
    <t xml:space="preserve">Rosen, Michael.</t>
  </si>
  <si>
    <t xml:space="preserve">1997-02-12</t>
  </si>
  <si>
    <t xml:space="preserve">1990-03-06</t>
  </si>
  <si>
    <t xml:space="preserve">505284:eng</t>
  </si>
  <si>
    <t xml:space="preserve">8132176</t>
  </si>
  <si>
    <t xml:space="preserve">991005207479702656</t>
  </si>
  <si>
    <t xml:space="preserve">2268038240002656</t>
  </si>
  <si>
    <t xml:space="preserve">9780521244848</t>
  </si>
  <si>
    <t xml:space="preserve">32285000077791</t>
  </si>
  <si>
    <t xml:space="preserve">893254646</t>
  </si>
  <si>
    <t xml:space="preserve">B2948 .S85</t>
  </si>
  <si>
    <t xml:space="preserve">0                      B  2948000S  85</t>
  </si>
  <si>
    <t xml:space="preserve">The philosophy of Hegel : a systematic exposition / by W. T. Stace.</t>
  </si>
  <si>
    <t xml:space="preserve">London : Macmillan, 1924.</t>
  </si>
  <si>
    <t xml:space="preserve">2000-12-04</t>
  </si>
  <si>
    <t xml:space="preserve">3893491510:eng</t>
  </si>
  <si>
    <t xml:space="preserve">949718</t>
  </si>
  <si>
    <t xml:space="preserve">991003411459702656</t>
  </si>
  <si>
    <t xml:space="preserve">2262942800002656</t>
  </si>
  <si>
    <t xml:space="preserve">32285000264431</t>
  </si>
  <si>
    <t xml:space="preserve">893336470</t>
  </si>
  <si>
    <t xml:space="preserve">B2948 .T393</t>
  </si>
  <si>
    <t xml:space="preserve">0                      B  2948000T  393</t>
  </si>
  <si>
    <t xml:space="preserve">Hegel and modern society / Charles Taylor.</t>
  </si>
  <si>
    <t xml:space="preserve">Taylor, Charles, 1931-</t>
  </si>
  <si>
    <t xml:space="preserve">Cambridge [Eng.] ; New York : Cambridge University Press, 1979, 1980 printing.</t>
  </si>
  <si>
    <t xml:space="preserve">1998-02-25</t>
  </si>
  <si>
    <t xml:space="preserve">1990-02-20</t>
  </si>
  <si>
    <t xml:space="preserve">47010:eng</t>
  </si>
  <si>
    <t xml:space="preserve">3915413</t>
  </si>
  <si>
    <t xml:space="preserve">991004546399702656</t>
  </si>
  <si>
    <t xml:space="preserve">2261790960002656</t>
  </si>
  <si>
    <t xml:space="preserve">9780521220835</t>
  </si>
  <si>
    <t xml:space="preserve">32285000056902</t>
  </si>
  <si>
    <t xml:space="preserve">893700378</t>
  </si>
  <si>
    <t xml:space="preserve">B2948 .T63</t>
  </si>
  <si>
    <t xml:space="preserve">0                      B  2948000T  63</t>
  </si>
  <si>
    <t xml:space="preserve">Hegelianism : the path toward dialectical humanism, 1805-1841 / John Edward Toews.</t>
  </si>
  <si>
    <t xml:space="preserve">Toews, John Edward.</t>
  </si>
  <si>
    <t xml:space="preserve">Cambridge [Eng.] ; New York : Cambridge University Press, 1980.</t>
  </si>
  <si>
    <t xml:space="preserve">889346206:eng</t>
  </si>
  <si>
    <t xml:space="preserve">6305082</t>
  </si>
  <si>
    <t xml:space="preserve">991004961069702656</t>
  </si>
  <si>
    <t xml:space="preserve">2258990210002656</t>
  </si>
  <si>
    <t xml:space="preserve">9780521230483</t>
  </si>
  <si>
    <t xml:space="preserve">32285000167394</t>
  </si>
  <si>
    <t xml:space="preserve">893513850</t>
  </si>
  <si>
    <t xml:space="preserve">B2948 .W44</t>
  </si>
  <si>
    <t xml:space="preserve">0                      B  2948000W  44</t>
  </si>
  <si>
    <t xml:space="preserve">Beyond epistemology : new studies in the philosophy of Hegel / ed. by Frederick G. Weiss.</t>
  </si>
  <si>
    <t xml:space="preserve">Weiss, Frederick Gustav, 1939-</t>
  </si>
  <si>
    <t xml:space="preserve">The Hague : Nijhoff, 1974.</t>
  </si>
  <si>
    <t xml:space="preserve">1997-11-19</t>
  </si>
  <si>
    <t xml:space="preserve">363854406:eng</t>
  </si>
  <si>
    <t xml:space="preserve">1057264</t>
  </si>
  <si>
    <t xml:space="preserve">991003506059702656</t>
  </si>
  <si>
    <t xml:space="preserve">2270934000002656</t>
  </si>
  <si>
    <t xml:space="preserve">9789024715848</t>
  </si>
  <si>
    <t xml:space="preserve">32285000264456</t>
  </si>
  <si>
    <t xml:space="preserve">893228108</t>
  </si>
  <si>
    <t xml:space="preserve">B2948 .W47 1983</t>
  </si>
  <si>
    <t xml:space="preserve">0                      B  2948000W  47          1983</t>
  </si>
  <si>
    <t xml:space="preserve">Absolute knowledge : Hegel and the problem of metaphysics / Alan White.</t>
  </si>
  <si>
    <t xml:space="preserve">Athens, Ohio : Ohio University Press, c1983.</t>
  </si>
  <si>
    <t xml:space="preserve">1993-03-04</t>
  </si>
  <si>
    <t xml:space="preserve">375553970:eng</t>
  </si>
  <si>
    <t xml:space="preserve">9066380</t>
  </si>
  <si>
    <t xml:space="preserve">991000120519702656</t>
  </si>
  <si>
    <t xml:space="preserve">2269822890002656</t>
  </si>
  <si>
    <t xml:space="preserve">9780821407189</t>
  </si>
  <si>
    <t xml:space="preserve">32285000167402</t>
  </si>
  <si>
    <t xml:space="preserve">893890432</t>
  </si>
  <si>
    <t xml:space="preserve">B2949.A4 A7 1980</t>
  </si>
  <si>
    <t xml:space="preserve">0                      B  2949000A  4                  A  7           1980</t>
  </si>
  <si>
    <t xml:space="preserve">Art and logic in Hegel's philosophy / edited by Warren E. Steinkraus and Kenneth I. [i.e. L.] Schmitz.</t>
  </si>
  <si>
    <t xml:space="preserve">Atlantic Highlands, N.J. : Humanities Press ; [Brighton], Sussex : Harvester Press, 1980.</t>
  </si>
  <si>
    <t xml:space="preserve">774352664:eng</t>
  </si>
  <si>
    <t xml:space="preserve">3481677</t>
  </si>
  <si>
    <t xml:space="preserve">991004446049702656</t>
  </si>
  <si>
    <t xml:space="preserve">2264275780002656</t>
  </si>
  <si>
    <t xml:space="preserve">9780391005426</t>
  </si>
  <si>
    <t xml:space="preserve">32285000167543</t>
  </si>
  <si>
    <t xml:space="preserve">893712608</t>
  </si>
  <si>
    <t xml:space="preserve">B2949.E8 W66 1990</t>
  </si>
  <si>
    <t xml:space="preserve">0                      B  2949000E  8                  W  66          1990</t>
  </si>
  <si>
    <t xml:space="preserve">Hegel's ethical thought / Allen W. Wood.</t>
  </si>
  <si>
    <t xml:space="preserve">Wood, Allen W.</t>
  </si>
  <si>
    <t xml:space="preserve">Cambridge [England] ; New York : Cambridge University Press, 1990.</t>
  </si>
  <si>
    <t xml:space="preserve">1996-05-06</t>
  </si>
  <si>
    <t xml:space="preserve">1991-12-17</t>
  </si>
  <si>
    <t xml:space="preserve">22038252:eng</t>
  </si>
  <si>
    <t xml:space="preserve">20853331</t>
  </si>
  <si>
    <t xml:space="preserve">991001627199702656</t>
  </si>
  <si>
    <t xml:space="preserve">2271695660002656</t>
  </si>
  <si>
    <t xml:space="preserve">9780521377829</t>
  </si>
  <si>
    <t xml:space="preserve">32285000860931</t>
  </si>
  <si>
    <t xml:space="preserve">893503536</t>
  </si>
  <si>
    <t xml:space="preserve">B2949.H5 O27</t>
  </si>
  <si>
    <t xml:space="preserve">0                      B  2949000H  5                  O  27</t>
  </si>
  <si>
    <t xml:space="preserve">Hegel on reason and history : a contemporary interpretation / George Dennis O'Brien.</t>
  </si>
  <si>
    <t xml:space="preserve">O'Brien, Dennis, 1931-</t>
  </si>
  <si>
    <t xml:space="preserve">Chicago : University of Chicago Press, 1975.</t>
  </si>
  <si>
    <t xml:space="preserve">2284869:eng</t>
  </si>
  <si>
    <t xml:space="preserve">1420006</t>
  </si>
  <si>
    <t xml:space="preserve">991003747609702656</t>
  </si>
  <si>
    <t xml:space="preserve">2270846630002656</t>
  </si>
  <si>
    <t xml:space="preserve">9780226616469</t>
  </si>
  <si>
    <t xml:space="preserve">32285000264472</t>
  </si>
  <si>
    <t xml:space="preserve">893445828</t>
  </si>
  <si>
    <t xml:space="preserve">B2949.L8 B87</t>
  </si>
  <si>
    <t xml:space="preserve">0                      B  2949000L  8                  B  87</t>
  </si>
  <si>
    <t xml:space="preserve">On Hegel's logic : fragments of a commentary / by John Burbidge.</t>
  </si>
  <si>
    <t xml:space="preserve">Burbidge, John W., 1936-</t>
  </si>
  <si>
    <t xml:space="preserve">2010-05-04</t>
  </si>
  <si>
    <t xml:space="preserve">28685760:eng</t>
  </si>
  <si>
    <t xml:space="preserve">7614347</t>
  </si>
  <si>
    <t xml:space="preserve">991005141019702656</t>
  </si>
  <si>
    <t xml:space="preserve">2264198480002656</t>
  </si>
  <si>
    <t xml:space="preserve">9780391023871</t>
  </si>
  <si>
    <t xml:space="preserve">32285000167428</t>
  </si>
  <si>
    <t xml:space="preserve">893905252</t>
  </si>
  <si>
    <t xml:space="preserve">B2949.M3 G74</t>
  </si>
  <si>
    <t xml:space="preserve">0                      B  2949000M  3                  G  74</t>
  </si>
  <si>
    <t xml:space="preserve">Hegel on the soul : a speculative anthropology.</t>
  </si>
  <si>
    <t xml:space="preserve">Greene, Murray, 1920-</t>
  </si>
  <si>
    <t xml:space="preserve">The Hague : Nijhoff, 1972.</t>
  </si>
  <si>
    <t xml:space="preserve">5624258941:eng</t>
  </si>
  <si>
    <t xml:space="preserve">946160</t>
  </si>
  <si>
    <t xml:space="preserve">991003406299702656</t>
  </si>
  <si>
    <t xml:space="preserve">2268137700002656</t>
  </si>
  <si>
    <t xml:space="preserve">9789024713257</t>
  </si>
  <si>
    <t xml:space="preserve">32285000264555</t>
  </si>
  <si>
    <t xml:space="preserve">893617314</t>
  </si>
  <si>
    <t xml:space="preserve">B2949.M4 S64 1969</t>
  </si>
  <si>
    <t xml:space="preserve">0                      B  2949000M  4                  S  64          1969</t>
  </si>
  <si>
    <t xml:space="preserve">An introduction to Hegel's metaphysics / foreword by Walter Kaufmann.</t>
  </si>
  <si>
    <t xml:space="preserve">Soll, Ivan.</t>
  </si>
  <si>
    <t xml:space="preserve">Chicago : University of Chicago Press, [1969]</t>
  </si>
  <si>
    <t xml:space="preserve">1997-01-29</t>
  </si>
  <si>
    <t xml:space="preserve">1256338:eng</t>
  </si>
  <si>
    <t xml:space="preserve">78848</t>
  </si>
  <si>
    <t xml:space="preserve">991000465509702656</t>
  </si>
  <si>
    <t xml:space="preserve">2254781820002656</t>
  </si>
  <si>
    <t xml:space="preserve">9780226767949</t>
  </si>
  <si>
    <t xml:space="preserve">32285000264563</t>
  </si>
  <si>
    <t xml:space="preserve">893339563</t>
  </si>
  <si>
    <t xml:space="preserve">B2949.O5 M313 1987</t>
  </si>
  <si>
    <t xml:space="preserve">0                      B  2949000O  5                  M  313         1987</t>
  </si>
  <si>
    <t xml:space="preserve">Hegel's ontology and the theory of historicity / Herbert Marcuse ; translated by Seyla Benhabib.</t>
  </si>
  <si>
    <t xml:space="preserve">Marcuse, Herbert, 1898-1979.</t>
  </si>
  <si>
    <t xml:space="preserve">Cambridge, Mass. : MIT Press, c1987.</t>
  </si>
  <si>
    <t xml:space="preserve">2010-09-03</t>
  </si>
  <si>
    <t xml:space="preserve">49292882:eng</t>
  </si>
  <si>
    <t xml:space="preserve">14719710</t>
  </si>
  <si>
    <t xml:space="preserve">991000957609702656</t>
  </si>
  <si>
    <t xml:space="preserve">2255045950002656</t>
  </si>
  <si>
    <t xml:space="preserve">9780262132213</t>
  </si>
  <si>
    <t xml:space="preserve">32285000167436</t>
  </si>
  <si>
    <t xml:space="preserve">893528533</t>
  </si>
  <si>
    <t xml:space="preserve">B2967.B63 W56132 1972b</t>
  </si>
  <si>
    <t xml:space="preserve">0                      B  2967000B  63                 W  56132       1972b</t>
  </si>
  <si>
    <t xml:space="preserve">Theory of science : attempt at a detailed and in the main novel exposition of logic, with constant attention to earlier authors / edited and translated [from the German] by Rolf George.</t>
  </si>
  <si>
    <t xml:space="preserve">Bolzano, Bernard, 1781-1848.</t>
  </si>
  <si>
    <t xml:space="preserve">10596298152:eng</t>
  </si>
  <si>
    <t xml:space="preserve">678226</t>
  </si>
  <si>
    <t xml:space="preserve">991003136509702656</t>
  </si>
  <si>
    <t xml:space="preserve">2271345510002656</t>
  </si>
  <si>
    <t xml:space="preserve">9780631139607</t>
  </si>
  <si>
    <t xml:space="preserve">32285000264662</t>
  </si>
  <si>
    <t xml:space="preserve">893440965</t>
  </si>
  <si>
    <t xml:space="preserve">B2973 .W37 1982</t>
  </si>
  <si>
    <t xml:space="preserve">0                      B  2973000W  37          1982</t>
  </si>
  <si>
    <t xml:space="preserve">Feuerbach / Marx W. Wartofsky.</t>
  </si>
  <si>
    <t xml:space="preserve">Wartofsky, Marx W.</t>
  </si>
  <si>
    <t xml:space="preserve">Cambridge, Eng. ; New York : Cambridge University Press, 1982.</t>
  </si>
  <si>
    <t xml:space="preserve">1st paperback ed.</t>
  </si>
  <si>
    <t xml:space="preserve">1995-05-22</t>
  </si>
  <si>
    <t xml:space="preserve">1991-08-09</t>
  </si>
  <si>
    <t xml:space="preserve">505813:eng</t>
  </si>
  <si>
    <t xml:space="preserve">2644072</t>
  </si>
  <si>
    <t xml:space="preserve">991000217209702656</t>
  </si>
  <si>
    <t xml:space="preserve">2265009910002656</t>
  </si>
  <si>
    <t xml:space="preserve">9780521289290</t>
  </si>
  <si>
    <t xml:space="preserve">32285000706423</t>
  </si>
  <si>
    <t xml:space="preserve">893701945</t>
  </si>
  <si>
    <t xml:space="preserve">B2973 .W55 1989</t>
  </si>
  <si>
    <t xml:space="preserve">0                      B  2973000W  55          1989</t>
  </si>
  <si>
    <t xml:space="preserve">Feuerbach and the search for otherness / Charles A. Wilson.</t>
  </si>
  <si>
    <t xml:space="preserve">Wilson, Charles A. (Charles Alan), 1947-</t>
  </si>
  <si>
    <t xml:space="preserve">New York : P. Lang, c1989.</t>
  </si>
  <si>
    <t xml:space="preserve">American university studies. Series V, Philosophy ; v. 76</t>
  </si>
  <si>
    <t xml:space="preserve">17557350:eng</t>
  </si>
  <si>
    <t xml:space="preserve">18321999</t>
  </si>
  <si>
    <t xml:space="preserve">991001330289702656</t>
  </si>
  <si>
    <t xml:space="preserve">2254777680002656</t>
  </si>
  <si>
    <t xml:space="preserve">9780820408941</t>
  </si>
  <si>
    <t xml:space="preserve">32285000409770</t>
  </si>
  <si>
    <t xml:space="preserve">893872467</t>
  </si>
  <si>
    <t xml:space="preserve">B2993 .V38 1989</t>
  </si>
  <si>
    <t xml:space="preserve">0                      B  2993000V  38          1989</t>
  </si>
  <si>
    <t xml:space="preserve">Johann Georg Hamann : metaphysics of language and vision of history / Larry Vaughan.</t>
  </si>
  <si>
    <t xml:space="preserve">Vaughan, Larry, 1946-</t>
  </si>
  <si>
    <t xml:space="preserve">American university studies. Series I, Germanic languages and literatures ; v. 60</t>
  </si>
  <si>
    <t xml:space="preserve">2005-02-18</t>
  </si>
  <si>
    <t xml:space="preserve">1991-01-25</t>
  </si>
  <si>
    <t xml:space="preserve">890004684:eng</t>
  </si>
  <si>
    <t xml:space="preserve">19123574</t>
  </si>
  <si>
    <t xml:space="preserve">991001432589702656</t>
  </si>
  <si>
    <t xml:space="preserve">2272687400002656</t>
  </si>
  <si>
    <t xml:space="preserve">9780820410807</t>
  </si>
  <si>
    <t xml:space="preserve">32285000460914</t>
  </si>
  <si>
    <t xml:space="preserve">893621384</t>
  </si>
  <si>
    <t xml:space="preserve">B3086.S53 P53</t>
  </si>
  <si>
    <t xml:space="preserve">0                      B  3086000S  53                 P  53</t>
  </si>
  <si>
    <t xml:space="preserve">The philosophy of life, and philosophy of language : in a course of lectures / by Frederick von Schlegel. Tr. from the German by the Rev. A. J. W. Morrison, M. A.</t>
  </si>
  <si>
    <t xml:space="preserve">Schlegel, Friedrich von, 1772-1829.</t>
  </si>
  <si>
    <t xml:space="preserve">London : H. G. Bohn, 1847.</t>
  </si>
  <si>
    <t xml:space="preserve">1847</t>
  </si>
  <si>
    <t xml:space="preserve">Bohn's standard library</t>
  </si>
  <si>
    <t xml:space="preserve">2863404986:eng</t>
  </si>
  <si>
    <t xml:space="preserve">1806580</t>
  </si>
  <si>
    <t xml:space="preserve">991003894809702656</t>
  </si>
  <si>
    <t xml:space="preserve">2271249970002656</t>
  </si>
  <si>
    <t xml:space="preserve">32285000189232</t>
  </si>
  <si>
    <t xml:space="preserve">893794234</t>
  </si>
  <si>
    <t xml:space="preserve">B3093 .M63 1926a</t>
  </si>
  <si>
    <t xml:space="preserve">0                      B  3093000M  63          1926a</t>
  </si>
  <si>
    <t xml:space="preserve">Schleiermacher's soliloquies : an English translation of the Monologen / with a critical introduction and appendix, by Horace Leland Friess.</t>
  </si>
  <si>
    <t xml:space="preserve">Chicago : The Open court publishing company, 1957 [c1926]</t>
  </si>
  <si>
    <t xml:space="preserve">1993-01-27</t>
  </si>
  <si>
    <t xml:space="preserve">4164165161:eng</t>
  </si>
  <si>
    <t xml:space="preserve">411464</t>
  </si>
  <si>
    <t xml:space="preserve">991002716739702656</t>
  </si>
  <si>
    <t xml:space="preserve">2265093590002656</t>
  </si>
  <si>
    <t xml:space="preserve">32285000189257</t>
  </si>
  <si>
    <t xml:space="preserve">893616483</t>
  </si>
  <si>
    <t xml:space="preserve">B3097 .B7 1968</t>
  </si>
  <si>
    <t xml:space="preserve">0                      B  3097000B  7           1968</t>
  </si>
  <si>
    <t xml:space="preserve">The philosophy of Schleiermacher : the development of his theory of scientific and religious knowledge / by Richard B. Brandt.</t>
  </si>
  <si>
    <t xml:space="preserve">New York : Greenwood Press, 1968 [c1941]</t>
  </si>
  <si>
    <t xml:space="preserve">1567291:eng</t>
  </si>
  <si>
    <t xml:space="preserve">440880</t>
  </si>
  <si>
    <t xml:space="preserve">991002782909702656</t>
  </si>
  <si>
    <t xml:space="preserve">2257051460002656</t>
  </si>
  <si>
    <t xml:space="preserve">32285000189265</t>
  </si>
  <si>
    <t xml:space="preserve">893511184</t>
  </si>
  <si>
    <t xml:space="preserve">B3097 .D35</t>
  </si>
  <si>
    <t xml:space="preserve">0                      B  3097000D  35</t>
  </si>
  <si>
    <t xml:space="preserve">Friedrich Schleiermacher : the evolution of a nationalist / by Jerry F. Dawson.</t>
  </si>
  <si>
    <t xml:space="preserve">Dawson, Jerry F.</t>
  </si>
  <si>
    <t xml:space="preserve">Austin : University of Texas Press, [1966]</t>
  </si>
  <si>
    <t xml:space="preserve">366107889:eng</t>
  </si>
  <si>
    <t xml:space="preserve">883007</t>
  </si>
  <si>
    <t xml:space="preserve">991003350089702656</t>
  </si>
  <si>
    <t xml:space="preserve">2258539990002656</t>
  </si>
  <si>
    <t xml:space="preserve">32285000189273</t>
  </si>
  <si>
    <t xml:space="preserve">893262721</t>
  </si>
  <si>
    <t xml:space="preserve">B3108 .S35</t>
  </si>
  <si>
    <t xml:space="preserve">0                      B  3108000S  35</t>
  </si>
  <si>
    <t xml:space="preserve">The works of Schopenhauer, abridged / edited by Will Durant, Ph.D.</t>
  </si>
  <si>
    <t xml:space="preserve">New York : Simon and Schuster, 1928.</t>
  </si>
  <si>
    <t xml:space="preserve">The Philosophers' library</t>
  </si>
  <si>
    <t xml:space="preserve">1995-03-28</t>
  </si>
  <si>
    <t xml:space="preserve">3372169577:eng</t>
  </si>
  <si>
    <t xml:space="preserve">2360158</t>
  </si>
  <si>
    <t xml:space="preserve">991004095979702656</t>
  </si>
  <si>
    <t xml:space="preserve">2272715340002656</t>
  </si>
  <si>
    <t xml:space="preserve">32285000189299</t>
  </si>
  <si>
    <t xml:space="preserve">893624336</t>
  </si>
  <si>
    <t xml:space="preserve">B3147 .Z7 1932</t>
  </si>
  <si>
    <t xml:space="preserve">0                      B  3147000Z  7           1932</t>
  </si>
  <si>
    <t xml:space="preserve">Schopenhauer : his life and philosophy / by Helen Zimmern; completely revised throughout.</t>
  </si>
  <si>
    <t xml:space="preserve">Zimmern, Helen, 1846-1934.</t>
  </si>
  <si>
    <t xml:space="preserve">London : G. Allen &amp; Unwin ltd., [1932]</t>
  </si>
  <si>
    <t xml:space="preserve">1993-04-21</t>
  </si>
  <si>
    <t xml:space="preserve">1715844:eng</t>
  </si>
  <si>
    <t xml:space="preserve">784387</t>
  </si>
  <si>
    <t xml:space="preserve">991003258819702656</t>
  </si>
  <si>
    <t xml:space="preserve">2262450430002656</t>
  </si>
  <si>
    <t xml:space="preserve">32285000189422</t>
  </si>
  <si>
    <t xml:space="preserve">893598413</t>
  </si>
  <si>
    <t xml:space="preserve">B3148 .C64 1975</t>
  </si>
  <si>
    <t xml:space="preserve">0                      B  3148000C  64          1975</t>
  </si>
  <si>
    <t xml:space="preserve">Arthur Schopenhauer, philosopher of pessimism / by Frederick Copleston.</t>
  </si>
  <si>
    <t xml:space="preserve">Copleston, Frederick C. (Frederick Charles), 1907-1994.</t>
  </si>
  <si>
    <t xml:space="preserve">London : Search Press ; New York : Barnes &amp; Noble Books, 1975.</t>
  </si>
  <si>
    <t xml:space="preserve">2009-04-09</t>
  </si>
  <si>
    <t xml:space="preserve">312743955:eng</t>
  </si>
  <si>
    <t xml:space="preserve">2373803</t>
  </si>
  <si>
    <t xml:space="preserve">991004103799702656</t>
  </si>
  <si>
    <t xml:space="preserve">2259657850002656</t>
  </si>
  <si>
    <t xml:space="preserve">9780064912815</t>
  </si>
  <si>
    <t xml:space="preserve">32285000189430</t>
  </si>
  <si>
    <t xml:space="preserve">893435892</t>
  </si>
  <si>
    <t xml:space="preserve">B3149.E3 N53 1965</t>
  </si>
  <si>
    <t xml:space="preserve">0                      B  3149000E  3                  N  53          1965</t>
  </si>
  <si>
    <t xml:space="preserve">Schopenhauer as educator.</t>
  </si>
  <si>
    <t xml:space="preserve">Nietzsche, Friedrich Wilhelm, 1844-1900.</t>
  </si>
  <si>
    <t xml:space="preserve">Chicago : Regenery, [1965]</t>
  </si>
  <si>
    <t xml:space="preserve">2007-05-25</t>
  </si>
  <si>
    <t xml:space="preserve">4915561451:eng</t>
  </si>
  <si>
    <t xml:space="preserve">373088</t>
  </si>
  <si>
    <t xml:space="preserve">991002568189702656</t>
  </si>
  <si>
    <t xml:space="preserve">2261082860002656</t>
  </si>
  <si>
    <t xml:space="preserve">32285000189455</t>
  </si>
  <si>
    <t xml:space="preserve">893440275</t>
  </si>
  <si>
    <t xml:space="preserve">B316 .T33 1975</t>
  </si>
  <si>
    <t xml:space="preserve">0                      B  0316000T  33          1975</t>
  </si>
  <si>
    <t xml:space="preserve">Socrates / by A. E. Taylor.</t>
  </si>
  <si>
    <t xml:space="preserve">Taylor, A. E. (Alfred Edward), 1869-1945.</t>
  </si>
  <si>
    <t xml:space="preserve">Westport, Conn. : Greenwood Press, 1975.</t>
  </si>
  <si>
    <t xml:space="preserve">2003-09-04</t>
  </si>
  <si>
    <t xml:space="preserve">1995-02-23</t>
  </si>
  <si>
    <t xml:space="preserve">500705:eng</t>
  </si>
  <si>
    <t xml:space="preserve">1739395</t>
  </si>
  <si>
    <t xml:space="preserve">991003886769702656</t>
  </si>
  <si>
    <t xml:space="preserve">2272555260002656</t>
  </si>
  <si>
    <t xml:space="preserve">9780837167930</t>
  </si>
  <si>
    <t xml:space="preserve">32285002010543</t>
  </si>
  <si>
    <t xml:space="preserve">893234751</t>
  </si>
  <si>
    <t xml:space="preserve">B316 .W53 1960</t>
  </si>
  <si>
    <t xml:space="preserve">0                      B  0316000W  53          1960</t>
  </si>
  <si>
    <t xml:space="preserve">Who was Socrates? / by Allan D. Winspear and Tom Silverberg.</t>
  </si>
  <si>
    <t xml:space="preserve">Winspear, Alban Dewes, 1899-1973.</t>
  </si>
  <si>
    <t xml:space="preserve">New York : Russell &amp; Russell, 1960.</t>
  </si>
  <si>
    <t xml:space="preserve">[2d ed., enl.]</t>
  </si>
  <si>
    <t xml:space="preserve">2004-10-12</t>
  </si>
  <si>
    <t xml:space="preserve">1469159:eng</t>
  </si>
  <si>
    <t xml:space="preserve">456753</t>
  </si>
  <si>
    <t xml:space="preserve">991002812989702656</t>
  </si>
  <si>
    <t xml:space="preserve">2260794770002656</t>
  </si>
  <si>
    <t xml:space="preserve">32285000142041</t>
  </si>
  <si>
    <t xml:space="preserve">893504837</t>
  </si>
  <si>
    <t xml:space="preserve">B317 .C76 1970</t>
  </si>
  <si>
    <t xml:space="preserve">0                      B  0317000C  76          1970</t>
  </si>
  <si>
    <t xml:space="preserve">Socrates, the man and his mission / by R. Nicol Cross.</t>
  </si>
  <si>
    <t xml:space="preserve">Cross, Robert Nicol, 1883-</t>
  </si>
  <si>
    <t xml:space="preserve">2005-11-16</t>
  </si>
  <si>
    <t xml:space="preserve">1166895:eng</t>
  </si>
  <si>
    <t xml:space="preserve">100179</t>
  </si>
  <si>
    <t xml:space="preserve">991000609479702656</t>
  </si>
  <si>
    <t xml:space="preserve">2258339160002656</t>
  </si>
  <si>
    <t xml:space="preserve">9780836955194</t>
  </si>
  <si>
    <t xml:space="preserve">32285000142090</t>
  </si>
  <si>
    <t xml:space="preserve">893708524</t>
  </si>
  <si>
    <t xml:space="preserve">B3185 .B413 1983</t>
  </si>
  <si>
    <t xml:space="preserve">0                      B  3185000B  413         1983</t>
  </si>
  <si>
    <t xml:space="preserve">The mystical sources of German romantic philosophy / by Ernst Benz ; translated by Blair R. Reynolds and Eunice M. Paul.</t>
  </si>
  <si>
    <t xml:space="preserve">Benz, Ernst, 1907-1978.</t>
  </si>
  <si>
    <t xml:space="preserve">Allison Park, Pa. : Pickwick Publications, 1983.</t>
  </si>
  <si>
    <t xml:space="preserve">Pittsburgh theological monographs ; new ser. 6</t>
  </si>
  <si>
    <t xml:space="preserve">2002-11-07</t>
  </si>
  <si>
    <t xml:space="preserve">2985912:eng</t>
  </si>
  <si>
    <t xml:space="preserve">10017525</t>
  </si>
  <si>
    <t xml:space="preserve">991000296649702656</t>
  </si>
  <si>
    <t xml:space="preserve">2271834430002656</t>
  </si>
  <si>
    <t xml:space="preserve">9780915138500</t>
  </si>
  <si>
    <t xml:space="preserve">32285000189471</t>
  </si>
  <si>
    <t xml:space="preserve">893607795</t>
  </si>
  <si>
    <t xml:space="preserve">B3192 .W54</t>
  </si>
  <si>
    <t xml:space="preserve">0                      B  3192000W  54</t>
  </si>
  <si>
    <t xml:space="preserve">Back to Kant : the revival of Kantianism in German social and historical thought, 1860-1914 / Thomas E. Willey.</t>
  </si>
  <si>
    <t xml:space="preserve">Willey, Thomas E., 1934-</t>
  </si>
  <si>
    <t xml:space="preserve">Detroit : Wayne State University Press, 1978.</t>
  </si>
  <si>
    <t xml:space="preserve">198294921:eng</t>
  </si>
  <si>
    <t xml:space="preserve">3608425</t>
  </si>
  <si>
    <t xml:space="preserve">991004473809702656</t>
  </si>
  <si>
    <t xml:space="preserve">2271629630002656</t>
  </si>
  <si>
    <t xml:space="preserve">9780814315903</t>
  </si>
  <si>
    <t xml:space="preserve">32285000167519</t>
  </si>
  <si>
    <t xml:space="preserve">893423846</t>
  </si>
  <si>
    <t xml:space="preserve">B3212.Z7 C47 1986</t>
  </si>
  <si>
    <t xml:space="preserve">0                      B  3212000Z  7                  C  47          1986</t>
  </si>
  <si>
    <t xml:space="preserve">Brentano and intrinsic value / Roderick M. Chisholm.</t>
  </si>
  <si>
    <t xml:space="preserve">Chisholm, Roderick M.</t>
  </si>
  <si>
    <t xml:space="preserve">7945938:eng</t>
  </si>
  <si>
    <t xml:space="preserve">13795435</t>
  </si>
  <si>
    <t xml:space="preserve">991000874179702656</t>
  </si>
  <si>
    <t xml:space="preserve">2269056860002656</t>
  </si>
  <si>
    <t xml:space="preserve">9780521269896</t>
  </si>
  <si>
    <t xml:space="preserve">32285000189562</t>
  </si>
  <si>
    <t xml:space="preserve">893339968</t>
  </si>
  <si>
    <t xml:space="preserve">B3213.B84 C6</t>
  </si>
  <si>
    <t xml:space="preserve">0                      B  3213000B  84                 C  6</t>
  </si>
  <si>
    <t xml:space="preserve">Martin Buber.</t>
  </si>
  <si>
    <t xml:space="preserve">Cohen, Arthur A. (Arthur Allen), 1928-1986.</t>
  </si>
  <si>
    <t xml:space="preserve">London : Bowes &amp; Bowes, [1957]</t>
  </si>
  <si>
    <t xml:space="preserve">1909058308:eng</t>
  </si>
  <si>
    <t xml:space="preserve">374064</t>
  </si>
  <si>
    <t xml:space="preserve">991002572449702656</t>
  </si>
  <si>
    <t xml:space="preserve">2262185880002656</t>
  </si>
  <si>
    <t xml:space="preserve">32285000189703</t>
  </si>
  <si>
    <t xml:space="preserve">893504555</t>
  </si>
  <si>
    <t xml:space="preserve">B3213.B84 D48</t>
  </si>
  <si>
    <t xml:space="preserve">0                      B  3213000B  84                 D  48</t>
  </si>
  <si>
    <t xml:space="preserve">Martin Buber, Jewish existentialist.</t>
  </si>
  <si>
    <t xml:space="preserve">Diamond, Malcolm L. (Malcolm Luria), 1924-1997.</t>
  </si>
  <si>
    <t xml:space="preserve">New York : Oxford University Press, 1960.</t>
  </si>
  <si>
    <t xml:space="preserve">1999-12-04</t>
  </si>
  <si>
    <t xml:space="preserve">1451264:eng</t>
  </si>
  <si>
    <t xml:space="preserve">372141</t>
  </si>
  <si>
    <t xml:space="preserve">991002563359702656</t>
  </si>
  <si>
    <t xml:space="preserve">2261682560002656</t>
  </si>
  <si>
    <t xml:space="preserve">32285000189711</t>
  </si>
  <si>
    <t xml:space="preserve">893892715</t>
  </si>
  <si>
    <t xml:space="preserve">B3213.B84 F69 1981</t>
  </si>
  <si>
    <t xml:space="preserve">0                      B  3213000B  84                 F  69          1981</t>
  </si>
  <si>
    <t xml:space="preserve">Martin Buber's life and work : the early years, 1878-1923 / Maurice Friedman.</t>
  </si>
  <si>
    <t xml:space="preserve">Friedman, Maurice S.</t>
  </si>
  <si>
    <t xml:space="preserve">New York : Dutton, c1981.</t>
  </si>
  <si>
    <t xml:space="preserve">4926537336:eng</t>
  </si>
  <si>
    <t xml:space="preserve">7595893</t>
  </si>
  <si>
    <t xml:space="preserve">991005138189702656</t>
  </si>
  <si>
    <t xml:space="preserve">2257096830002656</t>
  </si>
  <si>
    <t xml:space="preserve">9780525153252</t>
  </si>
  <si>
    <t xml:space="preserve">32285000167550</t>
  </si>
  <si>
    <t xml:space="preserve">893507674</t>
  </si>
  <si>
    <t xml:space="preserve">B3213.B84 H6 1971</t>
  </si>
  <si>
    <t xml:space="preserve">0                      B  3213000B  84                 H  6           1971</t>
  </si>
  <si>
    <t xml:space="preserve">Martin Buber : an intimate portrait.</t>
  </si>
  <si>
    <t xml:space="preserve">Hodes, Aubrey.</t>
  </si>
  <si>
    <t xml:space="preserve">New York : Viking Press, [1971]</t>
  </si>
  <si>
    <t xml:space="preserve">1994-10-17</t>
  </si>
  <si>
    <t xml:space="preserve">1172704:eng</t>
  </si>
  <si>
    <t xml:space="preserve">151633</t>
  </si>
  <si>
    <t xml:space="preserve">991000873459702656</t>
  </si>
  <si>
    <t xml:space="preserve">2272257750002656</t>
  </si>
  <si>
    <t xml:space="preserve">9780670459049</t>
  </si>
  <si>
    <t xml:space="preserve">32285000227297</t>
  </si>
  <si>
    <t xml:space="preserve">893261643</t>
  </si>
  <si>
    <t xml:space="preserve">B3213.B84 M36</t>
  </si>
  <si>
    <t xml:space="preserve">0                      B  3213000B  84                 M  36</t>
  </si>
  <si>
    <t xml:space="preserve">Manheim, Werner.</t>
  </si>
  <si>
    <t xml:space="preserve">New York : Twayne Publishers, [1974]</t>
  </si>
  <si>
    <t xml:space="preserve">Twayne's world authors series, TWAS 269. Germany</t>
  </si>
  <si>
    <t xml:space="preserve">2004-06-01</t>
  </si>
  <si>
    <t xml:space="preserve">1850716:eng</t>
  </si>
  <si>
    <t xml:space="preserve">876098</t>
  </si>
  <si>
    <t xml:space="preserve">991003344539702656</t>
  </si>
  <si>
    <t xml:space="preserve">2263721310002656</t>
  </si>
  <si>
    <t xml:space="preserve">9780805721829</t>
  </si>
  <si>
    <t xml:space="preserve">32285000227313</t>
  </si>
  <si>
    <t xml:space="preserve">893893635</t>
  </si>
  <si>
    <t xml:space="preserve">B3213.B84 S86</t>
  </si>
  <si>
    <t xml:space="preserve">0                      B  3213000B  84                 S  86</t>
  </si>
  <si>
    <t xml:space="preserve">Existence and utopia : the social and political thought of Martin Buber / Bernard Susser.</t>
  </si>
  <si>
    <t xml:space="preserve">Susser, Bernard, 1942-</t>
  </si>
  <si>
    <t xml:space="preserve">Rutherford [N.J.] : Fairleigh Dickinson University Press ; London : Associated University Presses, c1981.</t>
  </si>
  <si>
    <t xml:space="preserve">503314:eng</t>
  </si>
  <si>
    <t xml:space="preserve">6357005</t>
  </si>
  <si>
    <t xml:space="preserve">991004970039702656</t>
  </si>
  <si>
    <t xml:space="preserve">2256021930002656</t>
  </si>
  <si>
    <t xml:space="preserve">9780838622926</t>
  </si>
  <si>
    <t xml:space="preserve">32285000227370</t>
  </si>
  <si>
    <t xml:space="preserve">893883161</t>
  </si>
  <si>
    <t xml:space="preserve">B3216 .C33 P513 V2</t>
  </si>
  <si>
    <t xml:space="preserve">0                      B  3216000C  33                 P  513                V  2</t>
  </si>
  <si>
    <t xml:space="preserve">The philosophy of symbolic forms / translated by Ralph Manheim. Pref. and introd. by Charles W. Hendel.</t>
  </si>
  <si>
    <t xml:space="preserve">New Haven : Yale University Press, 1953-57.</t>
  </si>
  <si>
    <t xml:space="preserve">1994-02-03</t>
  </si>
  <si>
    <t xml:space="preserve">3373117677:eng</t>
  </si>
  <si>
    <t xml:space="preserve">372771</t>
  </si>
  <si>
    <t xml:space="preserve">991002566849702656</t>
  </si>
  <si>
    <t xml:space="preserve">2261517880002656</t>
  </si>
  <si>
    <t xml:space="preserve">32285000227453</t>
  </si>
  <si>
    <t xml:space="preserve">893880122</t>
  </si>
  <si>
    <t xml:space="preserve">B3216 .C33 P513 V3</t>
  </si>
  <si>
    <t xml:space="preserve">0                      B  3216000C  33                 P  513                V  3</t>
  </si>
  <si>
    <t xml:space="preserve">32285000227461</t>
  </si>
  <si>
    <t xml:space="preserve">893903967</t>
  </si>
  <si>
    <t xml:space="preserve">B3216.C33 P513</t>
  </si>
  <si>
    <t xml:space="preserve">0                      B  3216000C  33                 P  513</t>
  </si>
  <si>
    <t xml:space="preserve">32285000227446</t>
  </si>
  <si>
    <t xml:space="preserve">893903968</t>
  </si>
  <si>
    <t xml:space="preserve">B3216.C34 L56</t>
  </si>
  <si>
    <t xml:space="preserve">0                      B  3216000C  34                 L  56</t>
  </si>
  <si>
    <t xml:space="preserve">Ernst Cassirer : the dilemma of a liberal intellectual in Germany, 1914-1933 / David R. Lipton. --</t>
  </si>
  <si>
    <t xml:space="preserve">Lipton, David R., 1947-</t>
  </si>
  <si>
    <t xml:space="preserve">Toronto ; Buffalo : University of Toronto Press, 1978.</t>
  </si>
  <si>
    <t xml:space="preserve">118246752:eng</t>
  </si>
  <si>
    <t xml:space="preserve">3843606</t>
  </si>
  <si>
    <t xml:space="preserve">991004526439702656</t>
  </si>
  <si>
    <t xml:space="preserve">2264940590002656</t>
  </si>
  <si>
    <t xml:space="preserve">9780802054081</t>
  </si>
  <si>
    <t xml:space="preserve">32285000227495</t>
  </si>
  <si>
    <t xml:space="preserve">893876210</t>
  </si>
  <si>
    <t xml:space="preserve">B3218 .S5 1908</t>
  </si>
  <si>
    <t xml:space="preserve">0                      B  3218000S  5           1908</t>
  </si>
  <si>
    <t xml:space="preserve">The science and philosophy of the organism : Gifford lectures delivered at Aberdeen university, 1907-1908 / by Hans Driesch.</t>
  </si>
  <si>
    <t xml:space="preserve">Driesch, Hans, 1867-1941.</t>
  </si>
  <si>
    <t xml:space="preserve">Aberdeen : Printed for the University, 1908-09.</t>
  </si>
  <si>
    <t xml:space="preserve">1908</t>
  </si>
  <si>
    <t xml:space="preserve">Aberdeen University studies ; no. 33, 37</t>
  </si>
  <si>
    <t xml:space="preserve">4714500459:eng</t>
  </si>
  <si>
    <t xml:space="preserve">6782062</t>
  </si>
  <si>
    <t xml:space="preserve">991005038919702656</t>
  </si>
  <si>
    <t xml:space="preserve">2260208880002656</t>
  </si>
  <si>
    <t xml:space="preserve">32285000227594</t>
  </si>
  <si>
    <t xml:space="preserve">893536324</t>
  </si>
  <si>
    <t xml:space="preserve">B3218 .S5 1908 V2</t>
  </si>
  <si>
    <t xml:space="preserve">0                      B  3218000S  5           1908   V  2</t>
  </si>
  <si>
    <t xml:space="preserve">32285000227602</t>
  </si>
  <si>
    <t xml:space="preserve">893513938</t>
  </si>
  <si>
    <t xml:space="preserve">B3245.F22 B94</t>
  </si>
  <si>
    <t xml:space="preserve">0                      B  3245000F  22                 B  94</t>
  </si>
  <si>
    <t xml:space="preserve">Conceptual notation, and related articles / translated [from the German] and edited with a biography and introduction by Terrell Ward Bynum.</t>
  </si>
  <si>
    <t xml:space="preserve">Frege, Gottlob, 1848-1925.</t>
  </si>
  <si>
    <t xml:space="preserve">Oxford : Clarendon Press, 1972.</t>
  </si>
  <si>
    <t xml:space="preserve">2001-08-23</t>
  </si>
  <si>
    <t xml:space="preserve">2560121689:eng</t>
  </si>
  <si>
    <t xml:space="preserve">552345</t>
  </si>
  <si>
    <t xml:space="preserve">991002976829702656</t>
  </si>
  <si>
    <t xml:space="preserve">2259698410002656</t>
  </si>
  <si>
    <t xml:space="preserve">9780198243595</t>
  </si>
  <si>
    <t xml:space="preserve">32285000227610</t>
  </si>
  <si>
    <t xml:space="preserve">893409778</t>
  </si>
  <si>
    <t xml:space="preserve">B3245.F24 B44</t>
  </si>
  <si>
    <t xml:space="preserve">0                      B  3245000F  24                 B  44</t>
  </si>
  <si>
    <t xml:space="preserve">Frege's theory of Judgement / by David Bell.</t>
  </si>
  <si>
    <t xml:space="preserve">Bell, David R.</t>
  </si>
  <si>
    <t xml:space="preserve">Oxford : Clarendon Press ; New York : Oxford University Press, 1979.</t>
  </si>
  <si>
    <t xml:space="preserve">1994-02-28</t>
  </si>
  <si>
    <t xml:space="preserve">11189441:eng</t>
  </si>
  <si>
    <t xml:space="preserve">5029024</t>
  </si>
  <si>
    <t xml:space="preserve">991004765389702656</t>
  </si>
  <si>
    <t xml:space="preserve">2271625240002656</t>
  </si>
  <si>
    <t xml:space="preserve">9780198274230</t>
  </si>
  <si>
    <t xml:space="preserve">32285000167592</t>
  </si>
  <si>
    <t xml:space="preserve">893513649</t>
  </si>
  <si>
    <t xml:space="preserve">B3245.F24 G75</t>
  </si>
  <si>
    <t xml:space="preserve">0                      B  3245000F  24                 G  75</t>
  </si>
  <si>
    <t xml:space="preserve">Reflections on Frege's philosophy.</t>
  </si>
  <si>
    <t xml:space="preserve">Grossmann, Reinhardt, 1931-</t>
  </si>
  <si>
    <t xml:space="preserve">1994-02-27</t>
  </si>
  <si>
    <t xml:space="preserve">1175800:eng</t>
  </si>
  <si>
    <t xml:space="preserve">52750</t>
  </si>
  <si>
    <t xml:space="preserve">991000127959702656</t>
  </si>
  <si>
    <t xml:space="preserve">2259211490002656</t>
  </si>
  <si>
    <t xml:space="preserve">9780810102712</t>
  </si>
  <si>
    <t xml:space="preserve">32285000227628</t>
  </si>
  <si>
    <t xml:space="preserve">893771417</t>
  </si>
  <si>
    <t xml:space="preserve">B3245.F24 S58</t>
  </si>
  <si>
    <t xml:space="preserve">0                      B  3245000F  24                 S  58</t>
  </si>
  <si>
    <t xml:space="preserve">Gottlob Frege / Hans D. Sluga.</t>
  </si>
  <si>
    <t xml:space="preserve">Sluga, Hans D.</t>
  </si>
  <si>
    <t xml:space="preserve">London ; Boston : Routledge and Kegan Paul, 1980.</t>
  </si>
  <si>
    <t xml:space="preserve">2003-05-09</t>
  </si>
  <si>
    <t xml:space="preserve">445251:eng</t>
  </si>
  <si>
    <t xml:space="preserve">6927020</t>
  </si>
  <si>
    <t xml:space="preserve">991005062049702656</t>
  </si>
  <si>
    <t xml:space="preserve">2272124340002656</t>
  </si>
  <si>
    <t xml:space="preserve">9780710004741</t>
  </si>
  <si>
    <t xml:space="preserve">32285000227651</t>
  </si>
  <si>
    <t xml:space="preserve">893236208</t>
  </si>
  <si>
    <t xml:space="preserve">B3258.H324 M316 1993</t>
  </si>
  <si>
    <t xml:space="preserve">0                      B  3258000H  324                M  316         1993</t>
  </si>
  <si>
    <t xml:space="preserve">Postnational identity : critical theory and existential philosophy in Habermas, Kierkegaard, and Havel / Martin J. Matus̆tík.</t>
  </si>
  <si>
    <t xml:space="preserve">Matuštík, Martin Beck, 1957-</t>
  </si>
  <si>
    <t xml:space="preserve">New York : Guilford Press, c1993.</t>
  </si>
  <si>
    <t xml:space="preserve">Critical perspectives</t>
  </si>
  <si>
    <t xml:space="preserve">2002-03-24</t>
  </si>
  <si>
    <t xml:space="preserve">836883747:eng</t>
  </si>
  <si>
    <t xml:space="preserve">27066324</t>
  </si>
  <si>
    <t xml:space="preserve">991002111269702656</t>
  </si>
  <si>
    <t xml:space="preserve">2256896630002656</t>
  </si>
  <si>
    <t xml:space="preserve">9780898622706</t>
  </si>
  <si>
    <t xml:space="preserve">32285001842722</t>
  </si>
  <si>
    <t xml:space="preserve">893885859</t>
  </si>
  <si>
    <t xml:space="preserve">B3258.H324 M32</t>
  </si>
  <si>
    <t xml:space="preserve">0                      B  3258000H  324                M  32</t>
  </si>
  <si>
    <t xml:space="preserve">The critical theory of Jürgen Habermas / Thomas McCarthy.</t>
  </si>
  <si>
    <t xml:space="preserve">McCarthy, Thomas, 1940-</t>
  </si>
  <si>
    <t xml:space="preserve">Cambridge : MIT Press, c1978.</t>
  </si>
  <si>
    <t xml:space="preserve">2001-08-02</t>
  </si>
  <si>
    <t xml:space="preserve">39516859:eng</t>
  </si>
  <si>
    <t xml:space="preserve">3748385</t>
  </si>
  <si>
    <t xml:space="preserve">991005371509702656</t>
  </si>
  <si>
    <t xml:space="preserve">2269195780002656</t>
  </si>
  <si>
    <t xml:space="preserve">9780262131384</t>
  </si>
  <si>
    <t xml:space="preserve">32285000167691</t>
  </si>
  <si>
    <t xml:space="preserve">893446847</t>
  </si>
  <si>
    <t xml:space="preserve">B3279.H47 E55</t>
  </si>
  <si>
    <t xml:space="preserve">0                      B  3279000H  47                 E  55</t>
  </si>
  <si>
    <t xml:space="preserve">The end of philosophy / translated by Joan Stambaugh.</t>
  </si>
  <si>
    <t xml:space="preserve">New York : Harper &amp; Row, [1973]</t>
  </si>
  <si>
    <t xml:space="preserve">His Works</t>
  </si>
  <si>
    <t xml:space="preserve">1997-12-17</t>
  </si>
  <si>
    <t xml:space="preserve">666683:eng</t>
  </si>
  <si>
    <t xml:space="preserve">1275384</t>
  </si>
  <si>
    <t xml:space="preserve">991003663409702656</t>
  </si>
  <si>
    <t xml:space="preserve">2260350640002656</t>
  </si>
  <si>
    <t xml:space="preserve">9780060638566</t>
  </si>
  <si>
    <t xml:space="preserve">32285000227792</t>
  </si>
  <si>
    <t xml:space="preserve">893875012</t>
  </si>
  <si>
    <t xml:space="preserve">B3279.H48 G43</t>
  </si>
  <si>
    <t xml:space="preserve">0                      B  3279000H  48                 G  43</t>
  </si>
  <si>
    <t xml:space="preserve">Discourse on thinking : a translation of Gelassenheit / by John M. Anderson and E. Hans Freund. With an introd. by John M. Anderson.</t>
  </si>
  <si>
    <t xml:space="preserve">New York : Harper &amp; Row, [1966]</t>
  </si>
  <si>
    <t xml:space="preserve">2008-05-01</t>
  </si>
  <si>
    <t xml:space="preserve">2212258:eng</t>
  </si>
  <si>
    <t xml:space="preserve">374973</t>
  </si>
  <si>
    <t xml:space="preserve">991002579109702656</t>
  </si>
  <si>
    <t xml:space="preserve">2262223140002656</t>
  </si>
  <si>
    <t xml:space="preserve">32285000227867</t>
  </si>
  <si>
    <t xml:space="preserve">893510928</t>
  </si>
  <si>
    <t xml:space="preserve">B3279.H48 H43 1970</t>
  </si>
  <si>
    <t xml:space="preserve">0                      B  3279000H  48                 H  43          1970</t>
  </si>
  <si>
    <t xml:space="preserve">Hegel's concept of experience.</t>
  </si>
  <si>
    <t xml:space="preserve">New York : Harper &amp; Row, [c1970]</t>
  </si>
  <si>
    <t xml:space="preserve">2006-09-25</t>
  </si>
  <si>
    <t xml:space="preserve">5454325251:eng</t>
  </si>
  <si>
    <t xml:space="preserve">52295</t>
  </si>
  <si>
    <t xml:space="preserve">991000126809702656</t>
  </si>
  <si>
    <t xml:space="preserve">2259159450002656</t>
  </si>
  <si>
    <t xml:space="preserve">32285000227875</t>
  </si>
  <si>
    <t xml:space="preserve">893406955</t>
  </si>
  <si>
    <t xml:space="preserve">B3279.H48 V63</t>
  </si>
  <si>
    <t xml:space="preserve">0                      B  3279000H  48                 V  63</t>
  </si>
  <si>
    <t xml:space="preserve">The essence of reasons / translated by Terrence Malick.</t>
  </si>
  <si>
    <t xml:space="preserve">Evanston, [Ill.] : Northwestern University Press, 1969.</t>
  </si>
  <si>
    <t xml:space="preserve">A bilingual ed. incorporating the German text of Vom Wesen des Grundes.</t>
  </si>
  <si>
    <t xml:space="preserve">3377132089:eng</t>
  </si>
  <si>
    <t xml:space="preserve">4598</t>
  </si>
  <si>
    <t xml:space="preserve">991005436639702656</t>
  </si>
  <si>
    <t xml:space="preserve">2266298230002656</t>
  </si>
  <si>
    <t xml:space="preserve">32285000227925</t>
  </si>
  <si>
    <t xml:space="preserve">893896462</t>
  </si>
  <si>
    <t xml:space="preserve">B3279.H49 B453 1993</t>
  </si>
  <si>
    <t xml:space="preserve">0                      B  3279000H  49                 B  453         1993</t>
  </si>
  <si>
    <t xml:space="preserve">Heidegger in question : the art of existing / Robert Bernasconi.</t>
  </si>
  <si>
    <t xml:space="preserve">Bernasconi, Robert.</t>
  </si>
  <si>
    <t xml:space="preserve">Atlantic Highlands, N.J. : Humanities Press, 1993.</t>
  </si>
  <si>
    <t xml:space="preserve">Philosophy and literary theory</t>
  </si>
  <si>
    <t xml:space="preserve">1994-06-08</t>
  </si>
  <si>
    <t xml:space="preserve">937886:eng</t>
  </si>
  <si>
    <t xml:space="preserve">26159876</t>
  </si>
  <si>
    <t xml:space="preserve">991002049689702656</t>
  </si>
  <si>
    <t xml:space="preserve">2257256770002656</t>
  </si>
  <si>
    <t xml:space="preserve">9780391037618</t>
  </si>
  <si>
    <t xml:space="preserve">32285001922649</t>
  </si>
  <si>
    <t xml:space="preserve">893703612</t>
  </si>
  <si>
    <t xml:space="preserve">B3279.H49 B75 1989</t>
  </si>
  <si>
    <t xml:space="preserve">0                      B  3279000H  49                 B  75          1989</t>
  </si>
  <si>
    <t xml:space="preserve">Heidegger's estrangements : language, truth, and poetry in the later writings / Gerald L. Bruns.</t>
  </si>
  <si>
    <t xml:space="preserve">Bruns, Gerald L.</t>
  </si>
  <si>
    <t xml:space="preserve">New Haven : Yale University Press, c1989.</t>
  </si>
  <si>
    <t xml:space="preserve">1997-06-16</t>
  </si>
  <si>
    <t xml:space="preserve">1994-06-07</t>
  </si>
  <si>
    <t xml:space="preserve">836720415:eng</t>
  </si>
  <si>
    <t xml:space="preserve">18412065</t>
  </si>
  <si>
    <t xml:space="preserve">991001344619702656</t>
  </si>
  <si>
    <t xml:space="preserve">2256812820002656</t>
  </si>
  <si>
    <t xml:space="preserve">9780300044201</t>
  </si>
  <si>
    <t xml:space="preserve">32285001921625</t>
  </si>
  <si>
    <t xml:space="preserve">893614990</t>
  </si>
  <si>
    <t xml:space="preserve">B3279.H49 E38</t>
  </si>
  <si>
    <t xml:space="preserve">0                      B  3279000H  49                 E  38</t>
  </si>
  <si>
    <t xml:space="preserve">Heidegger on death : a critical evaluation / Paul Edwards ; editor, Eugene Freeman ; managing editor, Sherwood J. B. Sugden.</t>
  </si>
  <si>
    <t xml:space="preserve">Edwards, Paul, 1923-2004.</t>
  </si>
  <si>
    <t xml:space="preserve">La Salle, Ill. : Hegeler Institute, c1979.</t>
  </si>
  <si>
    <t xml:space="preserve">Monist monograph ; no. 1</t>
  </si>
  <si>
    <t xml:space="preserve">2007-05-02</t>
  </si>
  <si>
    <t xml:space="preserve">940886377:eng</t>
  </si>
  <si>
    <t xml:space="preserve">6425215</t>
  </si>
  <si>
    <t xml:space="preserve">991004982429702656</t>
  </si>
  <si>
    <t xml:space="preserve">2269726980002656</t>
  </si>
  <si>
    <t xml:space="preserve">32285000167766</t>
  </si>
  <si>
    <t xml:space="preserve">893876780</t>
  </si>
  <si>
    <t xml:space="preserve">B3279.H49 F43 1990</t>
  </si>
  <si>
    <t xml:space="preserve">0                      B  3279000H  49                 F  43          1990</t>
  </si>
  <si>
    <t xml:space="preserve">Heidegger and modernity / Luc Ferry and Alain Renaut ; translated by Franklin Philip.</t>
  </si>
  <si>
    <t xml:space="preserve">Ferry, Luc.</t>
  </si>
  <si>
    <t xml:space="preserve">Chicago : University of Chicago Press, 1990.</t>
  </si>
  <si>
    <t xml:space="preserve">2004-10-14</t>
  </si>
  <si>
    <t xml:space="preserve">1991-01-30</t>
  </si>
  <si>
    <t xml:space="preserve">17399156:eng</t>
  </si>
  <si>
    <t xml:space="preserve">20522613</t>
  </si>
  <si>
    <t xml:space="preserve">991001584219702656</t>
  </si>
  <si>
    <t xml:space="preserve">2271751570002656</t>
  </si>
  <si>
    <t xml:space="preserve">9780226244624</t>
  </si>
  <si>
    <t xml:space="preserve">32285000461995</t>
  </si>
  <si>
    <t xml:space="preserve">893328216</t>
  </si>
  <si>
    <t xml:space="preserve">B3279.H49 H26</t>
  </si>
  <si>
    <t xml:space="preserve">0                      B  3279000H  49                 H  26</t>
  </si>
  <si>
    <t xml:space="preserve">Poetic thinking : an approach to Heidegger / David Halliburton.</t>
  </si>
  <si>
    <t xml:space="preserve">Halliburton, David.</t>
  </si>
  <si>
    <t xml:space="preserve">Chicago : University of Chicago Press, c1981.</t>
  </si>
  <si>
    <t xml:space="preserve">906481446:eng</t>
  </si>
  <si>
    <t xml:space="preserve">7554879</t>
  </si>
  <si>
    <t xml:space="preserve">991005128089702656</t>
  </si>
  <si>
    <t xml:space="preserve">2264583380002656</t>
  </si>
  <si>
    <t xml:space="preserve">9780226313726</t>
  </si>
  <si>
    <t xml:space="preserve">32285000167824</t>
  </si>
  <si>
    <t xml:space="preserve">893789489</t>
  </si>
  <si>
    <t xml:space="preserve">B3279.H49 H343</t>
  </si>
  <si>
    <t xml:space="preserve">0                      B  3279000H  49                 H  343</t>
  </si>
  <si>
    <t xml:space="preserve">Heidegger and modern philosophy : critical essays / edited by Michael Murray.</t>
  </si>
  <si>
    <t xml:space="preserve">New Haven : Yale University Press, 1978.</t>
  </si>
  <si>
    <t xml:space="preserve">A Yale paperbound</t>
  </si>
  <si>
    <t xml:space="preserve">1997-09-18</t>
  </si>
  <si>
    <t xml:space="preserve">807934867:eng</t>
  </si>
  <si>
    <t xml:space="preserve">3205476</t>
  </si>
  <si>
    <t xml:space="preserve">991004376969702656</t>
  </si>
  <si>
    <t xml:space="preserve">2269229630002656</t>
  </si>
  <si>
    <t xml:space="preserve">9780300021004</t>
  </si>
  <si>
    <t xml:space="preserve">32285000228048</t>
  </si>
  <si>
    <t xml:space="preserve">893700160</t>
  </si>
  <si>
    <t xml:space="preserve">B3279.H49 H35</t>
  </si>
  <si>
    <t xml:space="preserve">0                      B  3279000H  49                 H  35</t>
  </si>
  <si>
    <t xml:space="preserve">Heidegger and the quest for truth / edited with an introd. by Manfred S. Frings.</t>
  </si>
  <si>
    <t xml:space="preserve">Chicago : Quadrangle Books, 1968.</t>
  </si>
  <si>
    <t xml:space="preserve">1665429:eng</t>
  </si>
  <si>
    <t xml:space="preserve">712470</t>
  </si>
  <si>
    <t xml:space="preserve">991003184259702656</t>
  </si>
  <si>
    <t xml:space="preserve">2256741890002656</t>
  </si>
  <si>
    <t xml:space="preserve">32285000228139</t>
  </si>
  <si>
    <t xml:space="preserve">893717391</t>
  </si>
  <si>
    <t xml:space="preserve">B3279.H49 H3525</t>
  </si>
  <si>
    <t xml:space="preserve">0                      B  3279000H  49                 H  3525</t>
  </si>
  <si>
    <t xml:space="preserve">Heidegger, the man and the thinker / edited by Thomas Sheehan.</t>
  </si>
  <si>
    <t xml:space="preserve">Chicago : Precedent, c1981.</t>
  </si>
  <si>
    <t xml:space="preserve">1997-09-19</t>
  </si>
  <si>
    <t xml:space="preserve">898199855:eng</t>
  </si>
  <si>
    <t xml:space="preserve">8242651</t>
  </si>
  <si>
    <t xml:space="preserve">991005222529702656</t>
  </si>
  <si>
    <t xml:space="preserve">2262397150002656</t>
  </si>
  <si>
    <t xml:space="preserve">9780913750162</t>
  </si>
  <si>
    <t xml:space="preserve">32285000167840</t>
  </si>
  <si>
    <t xml:space="preserve">893783227</t>
  </si>
  <si>
    <t xml:space="preserve">B3279.H49 K627 1985</t>
  </si>
  <si>
    <t xml:space="preserve">0                      B  3279000H  49                 K  627         1985</t>
  </si>
  <si>
    <t xml:space="preserve">Heidegger on art and art works / Joseph J. Kockelmans.</t>
  </si>
  <si>
    <t xml:space="preserve">Kockelmans, Joseph J., 1923-</t>
  </si>
  <si>
    <t xml:space="preserve">Dordrecht ; Boston : M. Nijhoff Publishers ; Hingham, MA, USA : Distributors for the U.S. and Canada, Kluwer Academic Publishers, c1985.</t>
  </si>
  <si>
    <t xml:space="preserve">Phaenomenologica ; 99</t>
  </si>
  <si>
    <t xml:space="preserve">4114843:eng</t>
  </si>
  <si>
    <t xml:space="preserve">11344110</t>
  </si>
  <si>
    <t xml:space="preserve">991000521759702656</t>
  </si>
  <si>
    <t xml:space="preserve">2272626130002656</t>
  </si>
  <si>
    <t xml:space="preserve">9789024731022</t>
  </si>
  <si>
    <t xml:space="preserve">32285000167865</t>
  </si>
  <si>
    <t xml:space="preserve">893878110</t>
  </si>
  <si>
    <t xml:space="preserve">B3279.H49 L3 1959</t>
  </si>
  <si>
    <t xml:space="preserve">0                      B  3279000H  49                 L  3           1959</t>
  </si>
  <si>
    <t xml:space="preserve">The meaning of Heidegger : a critical study of an existentialist phenomenology.</t>
  </si>
  <si>
    <t xml:space="preserve">Langan, Thomas.</t>
  </si>
  <si>
    <t xml:space="preserve">New York : Columbia University Press, [1959]</t>
  </si>
  <si>
    <t xml:space="preserve">2010-02-02</t>
  </si>
  <si>
    <t xml:space="preserve">1849629:eng</t>
  </si>
  <si>
    <t xml:space="preserve">911354</t>
  </si>
  <si>
    <t xml:space="preserve">991003374649702656</t>
  </si>
  <si>
    <t xml:space="preserve">2266634680002656</t>
  </si>
  <si>
    <t xml:space="preserve">32285000228113</t>
  </si>
  <si>
    <t xml:space="preserve">893434946</t>
  </si>
  <si>
    <t xml:space="preserve">B3279.H49 M27 1971</t>
  </si>
  <si>
    <t xml:space="preserve">0                      B  3279000H  49                 M  27          1971</t>
  </si>
  <si>
    <t xml:space="preserve">Heidegger's metahistory of philosophy : Amor fati, being and truth.</t>
  </si>
  <si>
    <t xml:space="preserve">Magnus, Bernd.</t>
  </si>
  <si>
    <t xml:space="preserve">The Hague : Nijhoff, 1970 [1971]</t>
  </si>
  <si>
    <t xml:space="preserve">2005-03-13</t>
  </si>
  <si>
    <t xml:space="preserve">1290889:eng</t>
  </si>
  <si>
    <t xml:space="preserve">137613</t>
  </si>
  <si>
    <t xml:space="preserve">991000797219702656</t>
  </si>
  <si>
    <t xml:space="preserve">2262193800002656</t>
  </si>
  <si>
    <t xml:space="preserve">9789024750528</t>
  </si>
  <si>
    <t xml:space="preserve">32285000228162</t>
  </si>
  <si>
    <t xml:space="preserve">893872014</t>
  </si>
  <si>
    <t xml:space="preserve">B3279.H49 M285</t>
  </si>
  <si>
    <t xml:space="preserve">0                      B  3279000H  49                 M  285</t>
  </si>
  <si>
    <t xml:space="preserve">Martin Heidegger and the question of literature : toward a postmodern literary hermeneutics / edited by William V. Spanos.</t>
  </si>
  <si>
    <t xml:space="preserve">Bloomington : Indiana University Press, 1979, c1976.</t>
  </si>
  <si>
    <t xml:space="preserve">2004-09-17</t>
  </si>
  <si>
    <t xml:space="preserve">890086950:eng</t>
  </si>
  <si>
    <t xml:space="preserve">5028954</t>
  </si>
  <si>
    <t xml:space="preserve">991004764999702656</t>
  </si>
  <si>
    <t xml:space="preserve">2272483060002656</t>
  </si>
  <si>
    <t xml:space="preserve">9780253175755</t>
  </si>
  <si>
    <t xml:space="preserve">32285000228170</t>
  </si>
  <si>
    <t xml:space="preserve">893241816</t>
  </si>
  <si>
    <t xml:space="preserve">B3279.H49 M76 1988</t>
  </si>
  <si>
    <t xml:space="preserve">0                      B  3279000H  49                 M  76          1988</t>
  </si>
  <si>
    <t xml:space="preserve">Heidegger's language and thinking / Robert Mugerauer.</t>
  </si>
  <si>
    <t xml:space="preserve">Mugerauer, Robert.</t>
  </si>
  <si>
    <t xml:space="preserve">Atlantic Highlands, NJ : Humanities Press International, 1988.</t>
  </si>
  <si>
    <t xml:space="preserve">1997-06-17</t>
  </si>
  <si>
    <t xml:space="preserve">8583800:eng</t>
  </si>
  <si>
    <t xml:space="preserve">14719681</t>
  </si>
  <si>
    <t xml:space="preserve">991000957529702656</t>
  </si>
  <si>
    <t xml:space="preserve">2254774880002656</t>
  </si>
  <si>
    <t xml:space="preserve">9780391035041</t>
  </si>
  <si>
    <t xml:space="preserve">32285000228204</t>
  </si>
  <si>
    <t xml:space="preserve">893426204</t>
  </si>
  <si>
    <t xml:space="preserve">B3279.H49 P613 1987</t>
  </si>
  <si>
    <t xml:space="preserve">0                      B  3279000H  49                 P  613         1987</t>
  </si>
  <si>
    <t xml:space="preserve">Martin Heidegger's path of thinking / Otto Pöggeler ; translated by Daniel Magurshak and Sigmund Barber.</t>
  </si>
  <si>
    <t xml:space="preserve">Pöggeler, Otto.</t>
  </si>
  <si>
    <t xml:space="preserve">Atlantic Highlands, NJ : Humanities Press International, 1987, 1989 printing.</t>
  </si>
  <si>
    <t xml:space="preserve">Contemporary studies in philosophy and the human sciences</t>
  </si>
  <si>
    <t xml:space="preserve">1997-05-21</t>
  </si>
  <si>
    <t xml:space="preserve">937780:eng</t>
  </si>
  <si>
    <t xml:space="preserve">12907354</t>
  </si>
  <si>
    <t xml:space="preserve">991000749449702656</t>
  </si>
  <si>
    <t xml:space="preserve">2257693190002656</t>
  </si>
  <si>
    <t xml:space="preserve">9780391033672</t>
  </si>
  <si>
    <t xml:space="preserve">32285000265016</t>
  </si>
  <si>
    <t xml:space="preserve">893903147</t>
  </si>
  <si>
    <t xml:space="preserve">B3279.H49 R29</t>
  </si>
  <si>
    <t xml:space="preserve">0                      B  3279000H  49                 R  29</t>
  </si>
  <si>
    <t xml:space="preserve">Radical phenomenology : essays in honor of Martin Heidegger / edited by John Sallis.</t>
  </si>
  <si>
    <t xml:space="preserve">Atlantic Highland, N.J. : Humanities Press, c1978.</t>
  </si>
  <si>
    <t xml:space="preserve">2004-09-22</t>
  </si>
  <si>
    <t xml:space="preserve">369787997:eng</t>
  </si>
  <si>
    <t xml:space="preserve">4194713</t>
  </si>
  <si>
    <t xml:space="preserve">991004606449702656</t>
  </si>
  <si>
    <t xml:space="preserve">2262495000002656</t>
  </si>
  <si>
    <t xml:space="preserve">9780391009288</t>
  </si>
  <si>
    <t xml:space="preserve">32285000265032</t>
  </si>
  <si>
    <t xml:space="preserve">893593893</t>
  </si>
  <si>
    <t xml:space="preserve">B3279.H49 R5</t>
  </si>
  <si>
    <t xml:space="preserve">0                      B  3279000H  49                 R  5</t>
  </si>
  <si>
    <t xml:space="preserve">Heidegger : through phenomenology to thought / by William J. Richardson. Pref. by Martin Heidegger.</t>
  </si>
  <si>
    <t xml:space="preserve">Richardson, William J. (William John), 1920-</t>
  </si>
  <si>
    <t xml:space="preserve">The Hague : M. Nijhoff, 1963.</t>
  </si>
  <si>
    <t xml:space="preserve">Phaenomenologica ; 13</t>
  </si>
  <si>
    <t xml:space="preserve">1089603804:eng</t>
  </si>
  <si>
    <t xml:space="preserve">2352634</t>
  </si>
  <si>
    <t xml:space="preserve">991004094049702656</t>
  </si>
  <si>
    <t xml:space="preserve">2264427910002656</t>
  </si>
  <si>
    <t xml:space="preserve">32285000214857</t>
  </si>
  <si>
    <t xml:space="preserve">893882054</t>
  </si>
  <si>
    <t xml:space="preserve">B3279.H49 R6 v.1</t>
  </si>
  <si>
    <t xml:space="preserve">0                      B  3279000H  49                 R  6                                 v.1</t>
  </si>
  <si>
    <t xml:space="preserve">The later Heidegger and theology / edited by James M. Robinson [and] John B. Cobb, Jr.</t>
  </si>
  <si>
    <t xml:space="preserve">Robinson, James M. (James McConkey), 1924-2016 editor.</t>
  </si>
  <si>
    <t xml:space="preserve">New York : Harper &amp; Row, [1963]</t>
  </si>
  <si>
    <t xml:space="preserve">New frontiers in theology ; v. 1</t>
  </si>
  <si>
    <t xml:space="preserve">1997-09-24</t>
  </si>
  <si>
    <t xml:space="preserve">351720466:eng</t>
  </si>
  <si>
    <t xml:space="preserve">1038490</t>
  </si>
  <si>
    <t xml:space="preserve">991003489629702656</t>
  </si>
  <si>
    <t xml:space="preserve">2266350940002656</t>
  </si>
  <si>
    <t xml:space="preserve">32285000265073</t>
  </si>
  <si>
    <t xml:space="preserve">893422615</t>
  </si>
  <si>
    <t xml:space="preserve">B3279.H49 R6 v.2</t>
  </si>
  <si>
    <t xml:space="preserve">0                      B  3279000H  49                 R  6                                 v.2</t>
  </si>
  <si>
    <t xml:space="preserve">The new hermeneutic / edited by James M. Robinson [and] John B. Cobb, Jr.</t>
  </si>
  <si>
    <t xml:space="preserve">New York : Harper &amp; Row, [1964]</t>
  </si>
  <si>
    <t xml:space="preserve">New frontiers in theology; discussions among continental and American theologians, v. 2</t>
  </si>
  <si>
    <t xml:space="preserve">142271804:eng</t>
  </si>
  <si>
    <t xml:space="preserve">861848</t>
  </si>
  <si>
    <t xml:space="preserve">991003330989702656</t>
  </si>
  <si>
    <t xml:space="preserve">2262260110002656</t>
  </si>
  <si>
    <t xml:space="preserve">32285000265081</t>
  </si>
  <si>
    <t xml:space="preserve">893342465</t>
  </si>
  <si>
    <t xml:space="preserve">B3279.H49 V4</t>
  </si>
  <si>
    <t xml:space="preserve">0                      B  3279000H  49                 V  4</t>
  </si>
  <si>
    <t xml:space="preserve">Heidegger, being and truth.</t>
  </si>
  <si>
    <t xml:space="preserve">Versenyi, Laszlo.</t>
  </si>
  <si>
    <t xml:space="preserve">New Haven : Yale University Press, 1965.</t>
  </si>
  <si>
    <t xml:space="preserve">1997-12-09</t>
  </si>
  <si>
    <t xml:space="preserve">5658831:eng</t>
  </si>
  <si>
    <t xml:space="preserve">40712327</t>
  </si>
  <si>
    <t xml:space="preserve">991002918969702656</t>
  </si>
  <si>
    <t xml:space="preserve">2262323690002656</t>
  </si>
  <si>
    <t xml:space="preserve">32285000265156</t>
  </si>
  <si>
    <t xml:space="preserve">893710843</t>
  </si>
  <si>
    <t xml:space="preserve">B3279.H49 V9</t>
  </si>
  <si>
    <t xml:space="preserve">0                      B  3279000H  49                 V  9</t>
  </si>
  <si>
    <t xml:space="preserve">Earth and gods : an introduction to the philosophy of Martin Heidegger.</t>
  </si>
  <si>
    <t xml:space="preserve">Vycinas, Vincent, 1918-</t>
  </si>
  <si>
    <t xml:space="preserve">The Hague : M. Nijhoff, 1961.</t>
  </si>
  <si>
    <t xml:space="preserve">2464780:eng</t>
  </si>
  <si>
    <t xml:space="preserve">1658702</t>
  </si>
  <si>
    <t xml:space="preserve">991003857729702656</t>
  </si>
  <si>
    <t xml:space="preserve">2255155430002656</t>
  </si>
  <si>
    <t xml:space="preserve">32285000265164</t>
  </si>
  <si>
    <t xml:space="preserve">893699506</t>
  </si>
  <si>
    <t xml:space="preserve">B3279.H49 V9 1969</t>
  </si>
  <si>
    <t xml:space="preserve">0                      B  3279000H  49                 V  9           1969</t>
  </si>
  <si>
    <t xml:space="preserve">The Hague : M. Nijhoff, 1969.</t>
  </si>
  <si>
    <t xml:space="preserve">512816</t>
  </si>
  <si>
    <t xml:space="preserve">991002893749702656</t>
  </si>
  <si>
    <t xml:space="preserve">2263274530002656</t>
  </si>
  <si>
    <t xml:space="preserve">32285000265172</t>
  </si>
  <si>
    <t xml:space="preserve">893530609</t>
  </si>
  <si>
    <t xml:space="preserve">B3279.H49 W38</t>
  </si>
  <si>
    <t xml:space="preserve">0                      B  3279000H  49                 W  38</t>
  </si>
  <si>
    <t xml:space="preserve">A Heidegger critique : a critical examination of the existential phenomenology of Martin Heidegger / Roger Waterhouse.</t>
  </si>
  <si>
    <t xml:space="preserve">Waterhouse, Roger.</t>
  </si>
  <si>
    <t xml:space="preserve">Brighton, Sussex : Harvester Press ; Atlantic Highlands, N.J. : Humanities Press, 1981.</t>
  </si>
  <si>
    <t xml:space="preserve">28731157:eng</t>
  </si>
  <si>
    <t xml:space="preserve">7617470</t>
  </si>
  <si>
    <t xml:space="preserve">991005141939702656</t>
  </si>
  <si>
    <t xml:space="preserve">2255713760002656</t>
  </si>
  <si>
    <t xml:space="preserve">9780391022256</t>
  </si>
  <si>
    <t xml:space="preserve">32285000265198</t>
  </si>
  <si>
    <t xml:space="preserve">893501395</t>
  </si>
  <si>
    <t xml:space="preserve">B3279.H49 Z55</t>
  </si>
  <si>
    <t xml:space="preserve">0                      B  3279000H  49                 Z  55</t>
  </si>
  <si>
    <t xml:space="preserve">Eclipse of the self : the development of Heidegger's concept of authenticity / Michael E. Zimmerman.</t>
  </si>
  <si>
    <t xml:space="preserve">Zimmerman, Michael E., 1946-</t>
  </si>
  <si>
    <t xml:space="preserve">Athens, Ohio : Ohio University Press, c1981.</t>
  </si>
  <si>
    <t xml:space="preserve">2003-04-09</t>
  </si>
  <si>
    <t xml:space="preserve">7449638:eng</t>
  </si>
  <si>
    <t xml:space="preserve">6532963</t>
  </si>
  <si>
    <t xml:space="preserve">991004999159702656</t>
  </si>
  <si>
    <t xml:space="preserve">2262157690002656</t>
  </si>
  <si>
    <t xml:space="preserve">9780821405703</t>
  </si>
  <si>
    <t xml:space="preserve">32285000265206</t>
  </si>
  <si>
    <t xml:space="preserve">893526753</t>
  </si>
  <si>
    <t xml:space="preserve">B3279.H91 H43 1964</t>
  </si>
  <si>
    <t xml:space="preserve">0                      B  3279000H  91                 H  43          1964</t>
  </si>
  <si>
    <t xml:space="preserve">The phenomenology of internal time-consciousness / edited by Martin Heidegger. Translated by James S. Churchill. Introd. by Calvin O. Schrag.</t>
  </si>
  <si>
    <t xml:space="preserve">Husserl, Edmund, 1859-1938.</t>
  </si>
  <si>
    <t xml:space="preserve">Bloomington : Indiana University Press, [1964]</t>
  </si>
  <si>
    <t xml:space="preserve">8913026689:eng</t>
  </si>
  <si>
    <t xml:space="preserve">3611101</t>
  </si>
  <si>
    <t xml:space="preserve">991002563009702656</t>
  </si>
  <si>
    <t xml:space="preserve">2261751920002656</t>
  </si>
  <si>
    <t xml:space="preserve">32285000265313</t>
  </si>
  <si>
    <t xml:space="preserve">893622437</t>
  </si>
  <si>
    <t xml:space="preserve">B3279.H94 A129 v.11</t>
  </si>
  <si>
    <t xml:space="preserve">0                      B  3279000H  94                 A  129                               v.11</t>
  </si>
  <si>
    <t xml:space="preserve">The Great chain of being and Italian phenomenology / edited by Angela Ales Bello (Centro italiano di fenomenologia, Rome) and the world Institute for Advanced Phenomenological Research and Learning, Belmont Massachusetts.</t>
  </si>
  <si>
    <t xml:space="preserve">V. 11</t>
  </si>
  <si>
    <t xml:space="preserve">Dordrecht, Holland ; Boston : D. Reidel Pub. Co. ; Hingham, MA : sold and distributed in the U.S.A. by Kluwer Boston, c1981.</t>
  </si>
  <si>
    <t xml:space="preserve">Analecta Husserliana ; v. 11</t>
  </si>
  <si>
    <t xml:space="preserve">1997-09-28</t>
  </si>
  <si>
    <t xml:space="preserve">1991-03-20</t>
  </si>
  <si>
    <t xml:space="preserve">995116141:eng</t>
  </si>
  <si>
    <t xml:space="preserve">6554455</t>
  </si>
  <si>
    <t xml:space="preserve">991005002239702656</t>
  </si>
  <si>
    <t xml:space="preserve">2255367690002656</t>
  </si>
  <si>
    <t xml:space="preserve">9789027710710</t>
  </si>
  <si>
    <t xml:space="preserve">32285000536911</t>
  </si>
  <si>
    <t xml:space="preserve">893332263</t>
  </si>
  <si>
    <t xml:space="preserve">B3279.H94 A129 v.12</t>
  </si>
  <si>
    <t xml:space="preserve">0                      B  3279000H  94                 A  129                               v.12</t>
  </si>
  <si>
    <t xml:space="preserve">The Philosophical reflection of man in literature : selected papers from several conferences held by the International Society for Phenomenology and Literature in Cambridge, Massachusetts / edited by Anna-Teresa Tymieniecka.</t>
  </si>
  <si>
    <t xml:space="preserve">V. 12</t>
  </si>
  <si>
    <t xml:space="preserve">Dordrecht, Holland ; Boston : D. Reidel Pub. Co. ; Hingham, MA : sold and distributed in the U.S.A. and Canada by Kluwer Boston Inc., c1982.</t>
  </si>
  <si>
    <t xml:space="preserve">Analecta Husserliana ; v. 12</t>
  </si>
  <si>
    <t xml:space="preserve">1993-11-15</t>
  </si>
  <si>
    <t xml:space="preserve">836675749:eng</t>
  </si>
  <si>
    <t xml:space="preserve">7672178</t>
  </si>
  <si>
    <t xml:space="preserve">991005147309702656</t>
  </si>
  <si>
    <t xml:space="preserve">2272471520002656</t>
  </si>
  <si>
    <t xml:space="preserve">9789027713124</t>
  </si>
  <si>
    <t xml:space="preserve">32285000536929</t>
  </si>
  <si>
    <t xml:space="preserve">893424627</t>
  </si>
  <si>
    <t xml:space="preserve">B3279.H94 A129 v.13</t>
  </si>
  <si>
    <t xml:space="preserve">0                      B  3279000H  94                 A  129                               v.13</t>
  </si>
  <si>
    <t xml:space="preserve">The unhappy consciousness : the poetic plight of Samuel Beckett : an inquiry at the intersection of phenomenology and literature / Eugene F. Kaelin.</t>
  </si>
  <si>
    <t xml:space="preserve">V. 13</t>
  </si>
  <si>
    <t xml:space="preserve">Dordrecht, Holland ; Boston : D. Reidel ; Hingham, MA : Sold and distributed in the U.S.A. and Canada by Kluwer Boston, c1981.</t>
  </si>
  <si>
    <t xml:space="preserve">Analecta Husserliana ; v. 13</t>
  </si>
  <si>
    <t xml:space="preserve">2000-04-24</t>
  </si>
  <si>
    <t xml:space="preserve">199086564:eng</t>
  </si>
  <si>
    <t xml:space="preserve">7731856</t>
  </si>
  <si>
    <t xml:space="preserve">991005150799702656</t>
  </si>
  <si>
    <t xml:space="preserve">2263626720002656</t>
  </si>
  <si>
    <t xml:space="preserve">9789027713131</t>
  </si>
  <si>
    <t xml:space="preserve">32285000536937</t>
  </si>
  <si>
    <t xml:space="preserve">893520517</t>
  </si>
  <si>
    <t xml:space="preserve">B3279.H94 A129 v.18</t>
  </si>
  <si>
    <t xml:space="preserve">0                      B  3279000H  94                 A  129                               v.18</t>
  </si>
  <si>
    <t xml:space="preserve">The Existential coordinates of the human condition, poetic--epic--tragic : the literary genre / edited by Anna-Teresa Tymieniecka.</t>
  </si>
  <si>
    <t xml:space="preserve">V. 18</t>
  </si>
  <si>
    <t xml:space="preserve">Dordrecht ; Boston : D. Reidel ; Hingham MA, U.S.A. : Sold and distributed in the U.S.A. and Canada by Kluwer Academic Publishers, c1984.</t>
  </si>
  <si>
    <t xml:space="preserve">Analecta Husserliana ; v. 18</t>
  </si>
  <si>
    <t xml:space="preserve">1993-09-22</t>
  </si>
  <si>
    <t xml:space="preserve">889575164:eng</t>
  </si>
  <si>
    <t xml:space="preserve">10323742</t>
  </si>
  <si>
    <t xml:space="preserve">991000354339702656</t>
  </si>
  <si>
    <t xml:space="preserve">2268645860002656</t>
  </si>
  <si>
    <t xml:space="preserve">9789027717023</t>
  </si>
  <si>
    <t xml:space="preserve">32285000536986</t>
  </si>
  <si>
    <t xml:space="preserve">893425607</t>
  </si>
  <si>
    <t xml:space="preserve">B3279.H94 A129 v.23</t>
  </si>
  <si>
    <t xml:space="preserve">0                      B  3279000H  94                 A  129                               v.23</t>
  </si>
  <si>
    <t xml:space="preserve">Poetics of the elements in the human condition. Part 2 : the airy elements in poetic imagination : breath, breeze, wind, tempest, thunder, snow, flame, fire, volcano / edited by Anna-Teresa Tymieniecka.</t>
  </si>
  <si>
    <t xml:space="preserve">V. 23</t>
  </si>
  <si>
    <t xml:space="preserve">Analecta Husserliana ; v. 23</t>
  </si>
  <si>
    <t xml:space="preserve">1992-01-21</t>
  </si>
  <si>
    <t xml:space="preserve">9020751883:eng</t>
  </si>
  <si>
    <t xml:space="preserve">18793888</t>
  </si>
  <si>
    <t xml:space="preserve">991001396349702656</t>
  </si>
  <si>
    <t xml:space="preserve">2261178310002656</t>
  </si>
  <si>
    <t xml:space="preserve">32285000537034</t>
  </si>
  <si>
    <t xml:space="preserve">893602573</t>
  </si>
  <si>
    <t xml:space="preserve">B3279.H94 A129 v.27</t>
  </si>
  <si>
    <t xml:space="preserve">0                      B  3279000H  94                 A  129                               v.27</t>
  </si>
  <si>
    <t xml:space="preserve">Man within his life-world : contributions to phenomenology by scholars from east-central Europe / edited by Anna-Teresa Tymieniecka.</t>
  </si>
  <si>
    <t xml:space="preserve">V. 27</t>
  </si>
  <si>
    <t xml:space="preserve">Dordrecht ; Boston : Kluwer Academic Publishers, 1989.</t>
  </si>
  <si>
    <t xml:space="preserve">Analecta Husserliana ; v. 27</t>
  </si>
  <si>
    <t xml:space="preserve">1994-01-31</t>
  </si>
  <si>
    <t xml:space="preserve">889366212:eng</t>
  </si>
  <si>
    <t xml:space="preserve">17953641</t>
  </si>
  <si>
    <t xml:space="preserve">991001285249702656</t>
  </si>
  <si>
    <t xml:space="preserve">2271938860002656</t>
  </si>
  <si>
    <t xml:space="preserve">9789027727671</t>
  </si>
  <si>
    <t xml:space="preserve">32285000537075</t>
  </si>
  <si>
    <t xml:space="preserve">893803522</t>
  </si>
  <si>
    <t xml:space="preserve">B3279.H94 A129 v.28</t>
  </si>
  <si>
    <t xml:space="preserve">0                      B  3279000H  94                 A  129                               v.28</t>
  </si>
  <si>
    <t xml:space="preserve">Poetics of the elements in the human condition. Part 3 : the elemental passions of the soul / edited by Anna-Teresa Tymieniecka.</t>
  </si>
  <si>
    <t xml:space="preserve">V. 28</t>
  </si>
  <si>
    <t xml:space="preserve">Dordrecht ; Boston : Kluwer Academic Publishers, c1990.</t>
  </si>
  <si>
    <t xml:space="preserve">Analecta Husserliana ; v. 28</t>
  </si>
  <si>
    <t xml:space="preserve">2005-06-13</t>
  </si>
  <si>
    <t xml:space="preserve">2909516817:eng</t>
  </si>
  <si>
    <t xml:space="preserve">21925142</t>
  </si>
  <si>
    <t xml:space="preserve">991001731449702656</t>
  </si>
  <si>
    <t xml:space="preserve">2263360720002656</t>
  </si>
  <si>
    <t xml:space="preserve">32285000537083</t>
  </si>
  <si>
    <t xml:space="preserve">893791655</t>
  </si>
  <si>
    <t xml:space="preserve">B3279.H94 A129 v.29</t>
  </si>
  <si>
    <t xml:space="preserve">0                      B  3279000H  94                 A  129                               v.29</t>
  </si>
  <si>
    <t xml:space="preserve">Man's self-interpretation-in-existence : phenomenology and philosophy of life : introducing the Spanish perspective / edited by Anna-Teresa Tymieniecka.</t>
  </si>
  <si>
    <t xml:space="preserve">V. 29</t>
  </si>
  <si>
    <t xml:space="preserve">Analecta Husserliana ; v. 29</t>
  </si>
  <si>
    <t xml:space="preserve">1997-07-15</t>
  </si>
  <si>
    <t xml:space="preserve">432000579:eng</t>
  </si>
  <si>
    <t xml:space="preserve">19814296</t>
  </si>
  <si>
    <t xml:space="preserve">991001502789702656</t>
  </si>
  <si>
    <t xml:space="preserve">2268067120002656</t>
  </si>
  <si>
    <t xml:space="preserve">9780792303244</t>
  </si>
  <si>
    <t xml:space="preserve">32285000537091</t>
  </si>
  <si>
    <t xml:space="preserve">893621431</t>
  </si>
  <si>
    <t xml:space="preserve">B3279.H94 A129 v.30</t>
  </si>
  <si>
    <t xml:space="preserve">0                      B  3279000H  94                 A  129                               v.30</t>
  </si>
  <si>
    <t xml:space="preserve">Ingardeniana II : new studies in the philosophy of Roman Ingarden / edited by Hans H. Rudnick.</t>
  </si>
  <si>
    <t xml:space="preserve">V. 30</t>
  </si>
  <si>
    <t xml:space="preserve">Dordrecht ; Boston : Kluwer, 1990.</t>
  </si>
  <si>
    <t xml:space="preserve">Analecta Husserliana ; v. 30</t>
  </si>
  <si>
    <t xml:space="preserve">1994-04-02</t>
  </si>
  <si>
    <t xml:space="preserve">3144924577:eng</t>
  </si>
  <si>
    <t xml:space="preserve">20759858</t>
  </si>
  <si>
    <t xml:space="preserve">991001615309702656</t>
  </si>
  <si>
    <t xml:space="preserve">2268751850002656</t>
  </si>
  <si>
    <t xml:space="preserve">9780792306276</t>
  </si>
  <si>
    <t xml:space="preserve">32285000537109</t>
  </si>
  <si>
    <t xml:space="preserve">893250326</t>
  </si>
  <si>
    <t xml:space="preserve">B3279.H94 A129 v.32</t>
  </si>
  <si>
    <t xml:space="preserve">0                      B  3279000H  94                 A  129                               v.32</t>
  </si>
  <si>
    <t xml:space="preserve">Phenomenology and aesthetics : approaches to comparative literature and the other arts : homages to A-T. Tymieniecka / edited by Marlies Kronegger.</t>
  </si>
  <si>
    <t xml:space="preserve">V. 32</t>
  </si>
  <si>
    <t xml:space="preserve">Dordrecht ; Boston : Kluwer Academic Publishers, 1991.</t>
  </si>
  <si>
    <t xml:space="preserve">Analecta Husserliana ; v. 32</t>
  </si>
  <si>
    <t xml:space="preserve">898290460:eng</t>
  </si>
  <si>
    <t xml:space="preserve">21335481</t>
  </si>
  <si>
    <t xml:space="preserve">991001678529702656</t>
  </si>
  <si>
    <t xml:space="preserve">2263909620002656</t>
  </si>
  <si>
    <t xml:space="preserve">9780792307389</t>
  </si>
  <si>
    <t xml:space="preserve">32285000537125</t>
  </si>
  <si>
    <t xml:space="preserve">893797736</t>
  </si>
  <si>
    <t xml:space="preserve">B3279.H94 A129 v.33</t>
  </si>
  <si>
    <t xml:space="preserve">0                      B  3279000H  94                 A  129                               v.33</t>
  </si>
  <si>
    <t xml:space="preserve">Ingardeniana III : Roman Ingarden's aesthetics in a new key and the independent approaches of others : the performing arts, the fine arts, and literature / edited by Anna-Teresa Tymieniecka.</t>
  </si>
  <si>
    <t xml:space="preserve">V. 33</t>
  </si>
  <si>
    <t xml:space="preserve">Dordrecht ; Boston : Kluwer Academic Publishers, c1991.</t>
  </si>
  <si>
    <t xml:space="preserve">Analecta Husserliana ; v. 33</t>
  </si>
  <si>
    <t xml:space="preserve">2010-10-18</t>
  </si>
  <si>
    <t xml:space="preserve">1992-02-13</t>
  </si>
  <si>
    <t xml:space="preserve">3772565138:eng</t>
  </si>
  <si>
    <t xml:space="preserve">22491337</t>
  </si>
  <si>
    <t xml:space="preserve">991001783989702656</t>
  </si>
  <si>
    <t xml:space="preserve">2256666500002656</t>
  </si>
  <si>
    <t xml:space="preserve">9780792310143</t>
  </si>
  <si>
    <t xml:space="preserve">32285000935436</t>
  </si>
  <si>
    <t xml:space="preserve">893715724</t>
  </si>
  <si>
    <t xml:space="preserve">B3279.H94 A129 v.37</t>
  </si>
  <si>
    <t xml:space="preserve">0                      B  3279000H  94                 A  129                               v.37</t>
  </si>
  <si>
    <t xml:space="preserve">New queries in aesthetics and metaphysics : time, historicity, art, culture, metaphysics, the transnatural / edited by Anna-Teresa Tymieniecka.</t>
  </si>
  <si>
    <t xml:space="preserve">Analecta Husserliana ; v. 37</t>
  </si>
  <si>
    <t xml:space="preserve">898291934:eng</t>
  </si>
  <si>
    <t xml:space="preserve">24065721</t>
  </si>
  <si>
    <t xml:space="preserve">991001904039702656</t>
  </si>
  <si>
    <t xml:space="preserve">2264216490002656</t>
  </si>
  <si>
    <t xml:space="preserve">9780792311959</t>
  </si>
  <si>
    <t xml:space="preserve">32285000909639</t>
  </si>
  <si>
    <t xml:space="preserve">893226212</t>
  </si>
  <si>
    <t xml:space="preserve">B3279.H94 A129 v.8</t>
  </si>
  <si>
    <t xml:space="preserve">0                      B  3279000H  94                 A  129                               v.8</t>
  </si>
  <si>
    <t xml:space="preserve">Japanese phenomenology : phenomenology as the trans-cultural philosophical approach / edited by Yoshihiro Nitta and Hirotaka Tatematsu, in cooperation with the World Institute for Advanced Phenomenological Research and Learning, Belmont, Mass.</t>
  </si>
  <si>
    <t xml:space="preserve">V. 8</t>
  </si>
  <si>
    <t xml:space="preserve">Dordrecht, Holland ; Boston : D. Reidel Pub. Co., c1979.</t>
  </si>
  <si>
    <t xml:space="preserve">Analecta Husserliana ; v. 8</t>
  </si>
  <si>
    <t xml:space="preserve">2000-07-17</t>
  </si>
  <si>
    <t xml:space="preserve">1008138315:eng</t>
  </si>
  <si>
    <t xml:space="preserve">4497718</t>
  </si>
  <si>
    <t xml:space="preserve">991004662429702656</t>
  </si>
  <si>
    <t xml:space="preserve">2266887920002656</t>
  </si>
  <si>
    <t xml:space="preserve">9789027709240</t>
  </si>
  <si>
    <t xml:space="preserve">32285000536887</t>
  </si>
  <si>
    <t xml:space="preserve">893331875</t>
  </si>
  <si>
    <t xml:space="preserve">B3279.H94 A129 v.9</t>
  </si>
  <si>
    <t xml:space="preserve">0                      B  3279000H  94                 A  129                               v.9</t>
  </si>
  <si>
    <t xml:space="preserve">The teleologies in Husserlian phenomenology : the irreducible element in man ; part III : "Telos" as the pivotal factor of contextual phenomenology ; papers read at the VIth International Phenomenology Conference, University of Arezzo/Siena, July 1-July 6, 1976 / edited by Anna-Teresa Tymieniecka ; organized by the International Husserl and Phenomenological Research Society and Centro italiano di fenomenologia.</t>
  </si>
  <si>
    <t xml:space="preserve">V. 9</t>
  </si>
  <si>
    <t xml:space="preserve">International Phenomenology Conference (6th : 1976 : University of Arezzo/Siena)</t>
  </si>
  <si>
    <t xml:space="preserve">Dordrecht ; Boston : D. Reidel Pub. Co., c1979.</t>
  </si>
  <si>
    <t xml:space="preserve">Analecta Husserliana ; v. 9</t>
  </si>
  <si>
    <t xml:space="preserve">1995-09-30</t>
  </si>
  <si>
    <t xml:space="preserve">567634:eng</t>
  </si>
  <si>
    <t xml:space="preserve">5171670</t>
  </si>
  <si>
    <t xml:space="preserve">991004792549702656</t>
  </si>
  <si>
    <t xml:space="preserve">2259056370002656</t>
  </si>
  <si>
    <t xml:space="preserve">9789027709813</t>
  </si>
  <si>
    <t xml:space="preserve">32285000536895</t>
  </si>
  <si>
    <t xml:space="preserve">893411954</t>
  </si>
  <si>
    <t xml:space="preserve">B3279.H94 E43 1970</t>
  </si>
  <si>
    <t xml:space="preserve">0                      B  3279000H  94                 E  43          1970</t>
  </si>
  <si>
    <t xml:space="preserve">The phenomenology of Husserl / selected critical readings. Edited, translated, and with an introd. by R. O. Elveton.</t>
  </si>
  <si>
    <t xml:space="preserve">Elveton, R. O., compiler.</t>
  </si>
  <si>
    <t xml:space="preserve">Chicago : Quadrangle Books, [1970]</t>
  </si>
  <si>
    <t xml:space="preserve">747782:eng</t>
  </si>
  <si>
    <t xml:space="preserve">80616</t>
  </si>
  <si>
    <t xml:space="preserve">991000490829702656</t>
  </si>
  <si>
    <t xml:space="preserve">2269874610002656</t>
  </si>
  <si>
    <t xml:space="preserve">32285000265560</t>
  </si>
  <si>
    <t xml:space="preserve">893425764</t>
  </si>
  <si>
    <t xml:space="preserve">B3279.H94 F3</t>
  </si>
  <si>
    <t xml:space="preserve">0                      B  3279000H  94                 F  3</t>
  </si>
  <si>
    <t xml:space="preserve">The foundation of phenomenology : Edmund Husserl and the quest for a rigorous science of philosophy / by Marvin Farber.</t>
  </si>
  <si>
    <t xml:space="preserve">Farber, Marvin, 1901-1980.</t>
  </si>
  <si>
    <t xml:space="preserve">Cambridge, Mass. : Harvard university press, 1943.</t>
  </si>
  <si>
    <t xml:space="preserve">51566007:eng</t>
  </si>
  <si>
    <t xml:space="preserve">1421711</t>
  </si>
  <si>
    <t xml:space="preserve">991003748429702656</t>
  </si>
  <si>
    <t xml:space="preserve">2269453950002656</t>
  </si>
  <si>
    <t xml:space="preserve">32285000265586</t>
  </si>
  <si>
    <t xml:space="preserve">893240553</t>
  </si>
  <si>
    <t xml:space="preserve">B3279.H94 K593</t>
  </si>
  <si>
    <t xml:space="preserve">0                      B  3279000H  94                 K  593</t>
  </si>
  <si>
    <t xml:space="preserve">Edmund Husserl's phenomenological psychology : a historico-critical study / [by] Joseph J. Kockelmans. [Translated from the Dutch By Bernd Jager and rev. by the author]</t>
  </si>
  <si>
    <t xml:space="preserve">Pittsburgh : Duquesne University Press, [1967]</t>
  </si>
  <si>
    <t xml:space="preserve">Duquesne studies. Psychological series ; 4</t>
  </si>
  <si>
    <t xml:space="preserve">1991-04-25</t>
  </si>
  <si>
    <t xml:space="preserve">458963:eng</t>
  </si>
  <si>
    <t xml:space="preserve">844524</t>
  </si>
  <si>
    <t xml:space="preserve">991003318409702656</t>
  </si>
  <si>
    <t xml:space="preserve">2272544430002656</t>
  </si>
  <si>
    <t xml:space="preserve">32285000586544</t>
  </si>
  <si>
    <t xml:space="preserve">893499185</t>
  </si>
  <si>
    <t xml:space="preserve">B3279.H94 L3 1965</t>
  </si>
  <si>
    <t xml:space="preserve">0                      B  3279000H  94                 L  3           1965</t>
  </si>
  <si>
    <t xml:space="preserve">Phenomenology : its genesis and prospect.</t>
  </si>
  <si>
    <t xml:space="preserve">New York : Harper &amp; Row, [1965, c1958]</t>
  </si>
  <si>
    <t xml:space="preserve">Harper Torchbooks. The Academy Library, TB1169</t>
  </si>
  <si>
    <t xml:space="preserve">2003-07-10</t>
  </si>
  <si>
    <t xml:space="preserve">198604034:eng</t>
  </si>
  <si>
    <t xml:space="preserve">256697</t>
  </si>
  <si>
    <t xml:space="preserve">991002001939702656</t>
  </si>
  <si>
    <t xml:space="preserve">2272227520002656</t>
  </si>
  <si>
    <t xml:space="preserve">32285000586601</t>
  </si>
  <si>
    <t xml:space="preserve">893804111</t>
  </si>
  <si>
    <t xml:space="preserve">B3279.H94 L413</t>
  </si>
  <si>
    <t xml:space="preserve">0                      B  3279000H  94                 L  413</t>
  </si>
  <si>
    <t xml:space="preserve">The theory of intuition in Husserl's phenomenology / translated by André Orianne.</t>
  </si>
  <si>
    <t xml:space="preserve">Lévinas, Emmanuel.</t>
  </si>
  <si>
    <t xml:space="preserve">Evanston, [Ill.] : Northwestern University Press, 1973.</t>
  </si>
  <si>
    <t xml:space="preserve">2010-10-05</t>
  </si>
  <si>
    <t xml:space="preserve">1645544:eng</t>
  </si>
  <si>
    <t xml:space="preserve">660642</t>
  </si>
  <si>
    <t xml:space="preserve">991003115049702656</t>
  </si>
  <si>
    <t xml:space="preserve">2270421570002656</t>
  </si>
  <si>
    <t xml:space="preserve">9780810104136</t>
  </si>
  <si>
    <t xml:space="preserve">32285000586627</t>
  </si>
  <si>
    <t xml:space="preserve">893409937</t>
  </si>
  <si>
    <t xml:space="preserve">B3279.H94 M45 1984</t>
  </si>
  <si>
    <t xml:space="preserve">0                      B  3279000H  94                 M  45          1984</t>
  </si>
  <si>
    <t xml:space="preserve">Husserl, perception, and temporal awareness / Izchak Miller.</t>
  </si>
  <si>
    <t xml:space="preserve">Miller, Izchak.</t>
  </si>
  <si>
    <t xml:space="preserve">43519024:eng</t>
  </si>
  <si>
    <t xml:space="preserve">9784006</t>
  </si>
  <si>
    <t xml:space="preserve">991000257349702656</t>
  </si>
  <si>
    <t xml:space="preserve">2268645550002656</t>
  </si>
  <si>
    <t xml:space="preserve">9780262131896</t>
  </si>
  <si>
    <t xml:space="preserve">32285000586643</t>
  </si>
  <si>
    <t xml:space="preserve">893614053</t>
  </si>
  <si>
    <t xml:space="preserve">B3279.H94 P47 1970</t>
  </si>
  <si>
    <t xml:space="preserve">0                      B  3279000H  94                 P  47          1970</t>
  </si>
  <si>
    <t xml:space="preserve">Husserl and phenomenology.</t>
  </si>
  <si>
    <t xml:space="preserve">Pivčević, Edo.</t>
  </si>
  <si>
    <t xml:space="preserve">London : Hutchinson, 1970.</t>
  </si>
  <si>
    <t xml:space="preserve">1998-01-17</t>
  </si>
  <si>
    <t xml:space="preserve">1192980:eng</t>
  </si>
  <si>
    <t xml:space="preserve">107366</t>
  </si>
  <si>
    <t xml:space="preserve">991000635009702656</t>
  </si>
  <si>
    <t xml:space="preserve">2261893440002656</t>
  </si>
  <si>
    <t xml:space="preserve">9780091029807</t>
  </si>
  <si>
    <t xml:space="preserve">32285000586700</t>
  </si>
  <si>
    <t xml:space="preserve">893897070</t>
  </si>
  <si>
    <t xml:space="preserve">B3279.J3 L5 1971</t>
  </si>
  <si>
    <t xml:space="preserve">0                      B  3279000J  3                  L  5           1971</t>
  </si>
  <si>
    <t xml:space="preserve">Aspects of Jaspers' philosophy.</t>
  </si>
  <si>
    <t xml:space="preserve">Lichtigfeld, Adolph, 1904-</t>
  </si>
  <si>
    <t xml:space="preserve">2d enl. ed.</t>
  </si>
  <si>
    <t xml:space="preserve">Mededelings van die Universiteit van Suid-Afrika. Communications of the University of South Africa, C.39</t>
  </si>
  <si>
    <t xml:space="preserve">2007-04-09</t>
  </si>
  <si>
    <t xml:space="preserve">2049820:eng</t>
  </si>
  <si>
    <t xml:space="preserve">1133699</t>
  </si>
  <si>
    <t xml:space="preserve">991003562379702656</t>
  </si>
  <si>
    <t xml:space="preserve">2268024290002656</t>
  </si>
  <si>
    <t xml:space="preserve">32285000586809</t>
  </si>
  <si>
    <t xml:space="preserve">893336625</t>
  </si>
  <si>
    <t xml:space="preserve">B3305.M74 B5513</t>
  </si>
  <si>
    <t xml:space="preserve">0                      B  3305000M  74                 B  5513</t>
  </si>
  <si>
    <t xml:space="preserve">On Karl Marx / [Translated by John Maxwell.</t>
  </si>
  <si>
    <t xml:space="preserve">Bloch, Ernst, 1885-1977.</t>
  </si>
  <si>
    <t xml:space="preserve">New York] : Herder and Herder, [1971]</t>
  </si>
  <si>
    <t xml:space="preserve">An Azimuth book</t>
  </si>
  <si>
    <t xml:space="preserve">1992-10-14</t>
  </si>
  <si>
    <t xml:space="preserve">1278613:eng</t>
  </si>
  <si>
    <t xml:space="preserve">134234</t>
  </si>
  <si>
    <t xml:space="preserve">991000779139702656</t>
  </si>
  <si>
    <t xml:space="preserve">2260846500002656</t>
  </si>
  <si>
    <t xml:space="preserve">32285000587070</t>
  </si>
  <si>
    <t xml:space="preserve">893790839</t>
  </si>
  <si>
    <t xml:space="preserve">B3305.M74 D8</t>
  </si>
  <si>
    <t xml:space="preserve">0                      B  3305000M  74                 D  8</t>
  </si>
  <si>
    <t xml:space="preserve">The philosophical foundations of Marxism / [by] Louis Dupré.</t>
  </si>
  <si>
    <t xml:space="preserve">Dupré, Louis K., 1925-</t>
  </si>
  <si>
    <t xml:space="preserve">2003-07-24</t>
  </si>
  <si>
    <t xml:space="preserve">1451878:eng</t>
  </si>
  <si>
    <t xml:space="preserve">372305</t>
  </si>
  <si>
    <t xml:space="preserve">991002564279702656</t>
  </si>
  <si>
    <t xml:space="preserve">2261720420002656</t>
  </si>
  <si>
    <t xml:space="preserve">32285000587088</t>
  </si>
  <si>
    <t xml:space="preserve">893697957</t>
  </si>
  <si>
    <t xml:space="preserve">B3305.M74 F72</t>
  </si>
  <si>
    <t xml:space="preserve">0                      B  3305000M  74                 F  72</t>
  </si>
  <si>
    <t xml:space="preserve">Beyond the chains of illusion : my encounter with Marx and Freud.</t>
  </si>
  <si>
    <t xml:space="preserve">Fromm, Erich, 1900-1980.</t>
  </si>
  <si>
    <t xml:space="preserve">New York : Simon and Schuster, 1962.</t>
  </si>
  <si>
    <t xml:space="preserve">The Credo series</t>
  </si>
  <si>
    <t xml:space="preserve">2003-04-28</t>
  </si>
  <si>
    <t xml:space="preserve">1456420:eng</t>
  </si>
  <si>
    <t xml:space="preserve">373481</t>
  </si>
  <si>
    <t xml:space="preserve">991002570189702656</t>
  </si>
  <si>
    <t xml:space="preserve">2261226130002656</t>
  </si>
  <si>
    <t xml:space="preserve">32285000587096</t>
  </si>
  <si>
    <t xml:space="preserve">893616289</t>
  </si>
  <si>
    <t xml:space="preserve">0                      B  3305000M  74                 G  65          1980</t>
  </si>
  <si>
    <t xml:space="preserve">Gould, Carol C.</t>
  </si>
  <si>
    <t xml:space="preserve">Cambridge, Mass. : MIT Press, 1980, 1981 printing.</t>
  </si>
  <si>
    <t xml:space="preserve">1st MIT Press pbk. ed.</t>
  </si>
  <si>
    <t xml:space="preserve">2006-01-19</t>
  </si>
  <si>
    <t xml:space="preserve">44659708:eng</t>
  </si>
  <si>
    <t xml:space="preserve">7373948</t>
  </si>
  <si>
    <t xml:space="preserve">991005108309702656</t>
  </si>
  <si>
    <t xml:space="preserve">2264356640002656</t>
  </si>
  <si>
    <t xml:space="preserve">9780262570565</t>
  </si>
  <si>
    <t xml:space="preserve">32285000167964</t>
  </si>
  <si>
    <t xml:space="preserve">893902115</t>
  </si>
  <si>
    <t xml:space="preserve">B3305.M74 H6 1962</t>
  </si>
  <si>
    <t xml:space="preserve">0                      B  3305000M  74                 H  6           1962</t>
  </si>
  <si>
    <t xml:space="preserve">From Hegel to Marx : studies in the intellectual development of Karl Marx.</t>
  </si>
  <si>
    <t xml:space="preserve">Hook, Sidney, 1902-1989.</t>
  </si>
  <si>
    <t xml:space="preserve">[Ann Arbor] : University of Michigan Press, [1962]</t>
  </si>
  <si>
    <t xml:space="preserve">Ann Arbor paperbacks for the study of communism and Marxism ; AA66</t>
  </si>
  <si>
    <t xml:space="preserve">1997-04-08</t>
  </si>
  <si>
    <t xml:space="preserve">1102095890:eng</t>
  </si>
  <si>
    <t xml:space="preserve">373490</t>
  </si>
  <si>
    <t xml:space="preserve">991002570269702656</t>
  </si>
  <si>
    <t xml:space="preserve">2261196390002656</t>
  </si>
  <si>
    <t xml:space="preserve">32285000587112</t>
  </si>
  <si>
    <t xml:space="preserve">893504549</t>
  </si>
  <si>
    <t xml:space="preserve">B3305.M74 K274 1988</t>
  </si>
  <si>
    <t xml:space="preserve">0                      B  3305000M  74                 K  274         1988</t>
  </si>
  <si>
    <t xml:space="preserve">Marx and ethics / Philip J. Kain.</t>
  </si>
  <si>
    <t xml:space="preserve">Kain, Philip J., 1943-</t>
  </si>
  <si>
    <t xml:space="preserve">Oxford : Clarendon Press ; New York : Oxford University Press, 1988.</t>
  </si>
  <si>
    <t xml:space="preserve">2006-03-22</t>
  </si>
  <si>
    <t xml:space="preserve">17865806:eng</t>
  </si>
  <si>
    <t xml:space="preserve">18384603</t>
  </si>
  <si>
    <t xml:space="preserve">991001342249702656</t>
  </si>
  <si>
    <t xml:space="preserve">2257169620002656</t>
  </si>
  <si>
    <t xml:space="preserve">9780198244967</t>
  </si>
  <si>
    <t xml:space="preserve">32285000100734</t>
  </si>
  <si>
    <t xml:space="preserve">893439065</t>
  </si>
  <si>
    <t xml:space="preserve">B3305.M74 K3</t>
  </si>
  <si>
    <t xml:space="preserve">0                      B  3305000M  74                 K  3</t>
  </si>
  <si>
    <t xml:space="preserve">The ethical foundations of Marxism.</t>
  </si>
  <si>
    <t xml:space="preserve">Kamenka, Eugene.</t>
  </si>
  <si>
    <t xml:space="preserve">New York : Praeger, [1962]</t>
  </si>
  <si>
    <t xml:space="preserve">Books that matter</t>
  </si>
  <si>
    <t xml:space="preserve">2002-11-24</t>
  </si>
  <si>
    <t xml:space="preserve">1458726:eng</t>
  </si>
  <si>
    <t xml:space="preserve">374085</t>
  </si>
  <si>
    <t xml:space="preserve">991002572519702656</t>
  </si>
  <si>
    <t xml:space="preserve">2262183080002656</t>
  </si>
  <si>
    <t xml:space="preserve">32285000587120</t>
  </si>
  <si>
    <t xml:space="preserve">893323100</t>
  </si>
  <si>
    <t xml:space="preserve">B3305.M74 K6</t>
  </si>
  <si>
    <t xml:space="preserve">0                      B  3305000M  74                 K  6</t>
  </si>
  <si>
    <t xml:space="preserve">Marx and the authentic man : a first introduction to the philosophy of Karl Marx / by Henry J. Koren.</t>
  </si>
  <si>
    <t xml:space="preserve">Pittsburgh : Duquesne University Press, [c1967]</t>
  </si>
  <si>
    <t xml:space="preserve">2003-11-13</t>
  </si>
  <si>
    <t xml:space="preserve">1317337:eng</t>
  </si>
  <si>
    <t xml:space="preserve">178720</t>
  </si>
  <si>
    <t xml:space="preserve">991001070419702656</t>
  </si>
  <si>
    <t xml:space="preserve">2264355270002656</t>
  </si>
  <si>
    <t xml:space="preserve">32285000587138</t>
  </si>
  <si>
    <t xml:space="preserve">893503076</t>
  </si>
  <si>
    <t xml:space="preserve">B3305.M74 L28 1982</t>
  </si>
  <si>
    <t xml:space="preserve">0                      B  3305000M  74                 L  28          1982</t>
  </si>
  <si>
    <t xml:space="preserve">A matter of hope : a theologian's reflections on the thought of Karl Marx / Nicholas Lash.</t>
  </si>
  <si>
    <t xml:space="preserve">Lash, Nicholas.</t>
  </si>
  <si>
    <t xml:space="preserve">Notre Dame, Ind. : University of Notre Dame Press, 1982, c1981.</t>
  </si>
  <si>
    <t xml:space="preserve">2004-09-26</t>
  </si>
  <si>
    <t xml:space="preserve">1989-12-07</t>
  </si>
  <si>
    <t xml:space="preserve">430634:eng</t>
  </si>
  <si>
    <t xml:space="preserve">8195189</t>
  </si>
  <si>
    <t xml:space="preserve">991005216979702656</t>
  </si>
  <si>
    <t xml:space="preserve">2268195810002656</t>
  </si>
  <si>
    <t xml:space="preserve">9780268013523</t>
  </si>
  <si>
    <t xml:space="preserve">32285000030014</t>
  </si>
  <si>
    <t xml:space="preserve">893619648</t>
  </si>
  <si>
    <t xml:space="preserve">B3305.M74 L67 1986</t>
  </si>
  <si>
    <t xml:space="preserve">0                      B  3305000M  74                 L  67          1986</t>
  </si>
  <si>
    <t xml:space="preserve">Marx, Nietzsche, and modernity / Nancy S. Love.</t>
  </si>
  <si>
    <t xml:space="preserve">Love, Nancy Sue, 1954-</t>
  </si>
  <si>
    <t xml:space="preserve">1061403:eng</t>
  </si>
  <si>
    <t xml:space="preserve">13333060</t>
  </si>
  <si>
    <t xml:space="preserve">991000812109702656</t>
  </si>
  <si>
    <t xml:space="preserve">2262043420002656</t>
  </si>
  <si>
    <t xml:space="preserve">9780231062381</t>
  </si>
  <si>
    <t xml:space="preserve">32285000167998</t>
  </si>
  <si>
    <t xml:space="preserve">893231432</t>
  </si>
  <si>
    <t xml:space="preserve">0                      B  3305000M  74                 M  3513        1978</t>
  </si>
  <si>
    <t xml:space="preserve">Boston : Beacon Press, c1978.</t>
  </si>
  <si>
    <t xml:space="preserve">2010-04-25</t>
  </si>
  <si>
    <t xml:space="preserve">1150922563:eng</t>
  </si>
  <si>
    <t xml:space="preserve">3206365</t>
  </si>
  <si>
    <t xml:space="preserve">991004377609702656</t>
  </si>
  <si>
    <t xml:space="preserve">2269537230002656</t>
  </si>
  <si>
    <t xml:space="preserve">9780807015186</t>
  </si>
  <si>
    <t xml:space="preserve">32285000587187</t>
  </si>
  <si>
    <t xml:space="preserve">893901183</t>
  </si>
  <si>
    <t xml:space="preserve">B3305.M74 P5</t>
  </si>
  <si>
    <t xml:space="preserve">0                      B  3305000M  74                 P  5</t>
  </si>
  <si>
    <t xml:space="preserve">Karl Marx's philosophy of man / by John Plamenatz.</t>
  </si>
  <si>
    <t xml:space="preserve">Oxford [Eng.] : Clarendon Press, 1975.</t>
  </si>
  <si>
    <t xml:space="preserve">1998-11-01</t>
  </si>
  <si>
    <t xml:space="preserve">44623953:eng</t>
  </si>
  <si>
    <t xml:space="preserve">1969984</t>
  </si>
  <si>
    <t xml:space="preserve">991003957119702656</t>
  </si>
  <si>
    <t xml:space="preserve">2268958720002656</t>
  </si>
  <si>
    <t xml:space="preserve">9780198245513</t>
  </si>
  <si>
    <t xml:space="preserve">32285000587229</t>
  </si>
  <si>
    <t xml:space="preserve">893499926</t>
  </si>
  <si>
    <t xml:space="preserve">B3305.M74 R64</t>
  </si>
  <si>
    <t xml:space="preserve">0                      B  3305000M  74                 R  64</t>
  </si>
  <si>
    <t xml:space="preserve">Basic problems of Marx's philosophy.</t>
  </si>
  <si>
    <t xml:space="preserve">Indianapolis : Bobbs-Merrill, [c1965]</t>
  </si>
  <si>
    <t xml:space="preserve">118614788:eng</t>
  </si>
  <si>
    <t xml:space="preserve">275219</t>
  </si>
  <si>
    <t xml:space="preserve">991002165749702656</t>
  </si>
  <si>
    <t xml:space="preserve">2263599080002656</t>
  </si>
  <si>
    <t xml:space="preserve">32285000587245</t>
  </si>
  <si>
    <t xml:space="preserve">893809334</t>
  </si>
  <si>
    <t xml:space="preserve">B3305.M74 S3313</t>
  </si>
  <si>
    <t xml:space="preserve">0                      B  3305000M  74                 S  3313</t>
  </si>
  <si>
    <t xml:space="preserve">History and structure : an essay on Hegelian-Marxist and structuralist theories of history / Alfred Schmidt ; translated by Jeffrey Herf.</t>
  </si>
  <si>
    <t xml:space="preserve">Schmidt, Alfred, 1937-</t>
  </si>
  <si>
    <t xml:space="preserve">Cambridge, Mass. : MIT Press, c1981.</t>
  </si>
  <si>
    <t xml:space="preserve">2003-04-15</t>
  </si>
  <si>
    <t xml:space="preserve">3901136867:eng</t>
  </si>
  <si>
    <t xml:space="preserve">7653691</t>
  </si>
  <si>
    <t xml:space="preserve">991005144989702656</t>
  </si>
  <si>
    <t xml:space="preserve">2258844900002656</t>
  </si>
  <si>
    <t xml:space="preserve">9780262191982</t>
  </si>
  <si>
    <t xml:space="preserve">32285000587252</t>
  </si>
  <si>
    <t xml:space="preserve">893606902</t>
  </si>
  <si>
    <t xml:space="preserve">B3309.M24 G76</t>
  </si>
  <si>
    <t xml:space="preserve">0                      B  3309000M  24                 G  76</t>
  </si>
  <si>
    <t xml:space="preserve">Meinong / Reinhardt Grossmann.</t>
  </si>
  <si>
    <t xml:space="preserve">London ; Boston : Routledge &amp; K. Paul, 1974.</t>
  </si>
  <si>
    <t xml:space="preserve">445604:eng</t>
  </si>
  <si>
    <t xml:space="preserve">1087728</t>
  </si>
  <si>
    <t xml:space="preserve">991003525289702656</t>
  </si>
  <si>
    <t xml:space="preserve">2267064480002656</t>
  </si>
  <si>
    <t xml:space="preserve">9780710078315</t>
  </si>
  <si>
    <t xml:space="preserve">32285000587286</t>
  </si>
  <si>
    <t xml:space="preserve">893887557</t>
  </si>
  <si>
    <t xml:space="preserve">B3309.N32 E5 1965</t>
  </si>
  <si>
    <t xml:space="preserve">0                      B  3309000N  32                 E  5           1965</t>
  </si>
  <si>
    <t xml:space="preserve">Socratic method and critical philosophy : selected essays / translated by Thomas K. Brown, III. Foreword by Brand Blanshard. Introd. by Julius Kraft.</t>
  </si>
  <si>
    <t xml:space="preserve">Nelson, Leonard, 1882-1927.</t>
  </si>
  <si>
    <t xml:space="preserve">New York : Dover Publications, [1965,c1949]</t>
  </si>
  <si>
    <t xml:space="preserve">2006-10-05</t>
  </si>
  <si>
    <t xml:space="preserve">1456837:eng</t>
  </si>
  <si>
    <t xml:space="preserve">373588</t>
  </si>
  <si>
    <t xml:space="preserve">991002570669702656</t>
  </si>
  <si>
    <t xml:space="preserve">2261231990002656</t>
  </si>
  <si>
    <t xml:space="preserve">32285000587294</t>
  </si>
  <si>
    <t xml:space="preserve">893716618</t>
  </si>
  <si>
    <t xml:space="preserve">B3316 .A26</t>
  </si>
  <si>
    <t xml:space="preserve">0                      B  3316000A  26</t>
  </si>
  <si>
    <t xml:space="preserve">Nietzsche : a self-portrait from his letters / edited and translated by Peter Fuss and Henry Shapiro.</t>
  </si>
  <si>
    <t xml:space="preserve">Cambridge, Mass. : Harvard University Press, 1971.</t>
  </si>
  <si>
    <t xml:space="preserve">1992-01-09</t>
  </si>
  <si>
    <t xml:space="preserve">1991-04-26</t>
  </si>
  <si>
    <t xml:space="preserve">4095444651:eng</t>
  </si>
  <si>
    <t xml:space="preserve">133068</t>
  </si>
  <si>
    <t xml:space="preserve">991000776539702656</t>
  </si>
  <si>
    <t xml:space="preserve">2256190330002656</t>
  </si>
  <si>
    <t xml:space="preserve">9780674624252</t>
  </si>
  <si>
    <t xml:space="preserve">32285000587534</t>
  </si>
  <si>
    <t xml:space="preserve">893884747</t>
  </si>
  <si>
    <t xml:space="preserve">B3316 .M9 1911</t>
  </si>
  <si>
    <t xml:space="preserve">0                      B  3316000M  9           1911</t>
  </si>
  <si>
    <t xml:space="preserve">Friedrich Nietzsche : his life and work / by M. A. Mügge.</t>
  </si>
  <si>
    <t xml:space="preserve">Mügge, Maximilian A. (Maximilian August), 1878-1963.</t>
  </si>
  <si>
    <t xml:space="preserve">London : T. Fisher Unwin, 1911.</t>
  </si>
  <si>
    <t xml:space="preserve">1911</t>
  </si>
  <si>
    <t xml:space="preserve">3d. ed.</t>
  </si>
  <si>
    <t xml:space="preserve">1998-01-22</t>
  </si>
  <si>
    <t xml:space="preserve">4927875181:eng</t>
  </si>
  <si>
    <t xml:space="preserve">4163438</t>
  </si>
  <si>
    <t xml:space="preserve">991004599419702656</t>
  </si>
  <si>
    <t xml:space="preserve">2267474610002656</t>
  </si>
  <si>
    <t xml:space="preserve">32285000040377</t>
  </si>
  <si>
    <t xml:space="preserve">893782415</t>
  </si>
  <si>
    <t xml:space="preserve">B3317 .E89 1988</t>
  </si>
  <si>
    <t xml:space="preserve">0                      B  3317000E  89          1988</t>
  </si>
  <si>
    <t xml:space="preserve">Exceedingly Nietzsche : aspects of contemporary Nietzsche-interpretation / edited by David Farrell Krell and David Wood.</t>
  </si>
  <si>
    <t xml:space="preserve">London ; New York : Routledge, 1988.</t>
  </si>
  <si>
    <t xml:space="preserve">Warwick studies in philosophy and literature</t>
  </si>
  <si>
    <t xml:space="preserve">2007-11-02</t>
  </si>
  <si>
    <t xml:space="preserve">1991-02-08</t>
  </si>
  <si>
    <t xml:space="preserve">917648532:eng</t>
  </si>
  <si>
    <t xml:space="preserve">16276119</t>
  </si>
  <si>
    <t xml:space="preserve">991001096759702656</t>
  </si>
  <si>
    <t xml:space="preserve">2262330180002656</t>
  </si>
  <si>
    <t xml:space="preserve">9780415001892</t>
  </si>
  <si>
    <t xml:space="preserve">32285000464221</t>
  </si>
  <si>
    <t xml:space="preserve">893321631</t>
  </si>
  <si>
    <t xml:space="preserve">B3317 .F5</t>
  </si>
  <si>
    <t xml:space="preserve">0                      B  3317000F  5</t>
  </si>
  <si>
    <t xml:space="preserve">The will to freedom ; or, The gospel of Nietzsche and the gospel of Christ.</t>
  </si>
  <si>
    <t xml:space="preserve">Figgis, John Neville, 1866-1919.</t>
  </si>
  <si>
    <t xml:space="preserve">New York : Charles Scribner's Sons, 1917.</t>
  </si>
  <si>
    <t xml:space="preserve">1917</t>
  </si>
  <si>
    <t xml:space="preserve">The Bross lectures, 1915</t>
  </si>
  <si>
    <t xml:space="preserve">1367388:eng</t>
  </si>
  <si>
    <t xml:space="preserve">1430495</t>
  </si>
  <si>
    <t xml:space="preserve">991003752469702656</t>
  </si>
  <si>
    <t xml:space="preserve">2259078450002656</t>
  </si>
  <si>
    <t xml:space="preserve">32285000587666</t>
  </si>
  <si>
    <t xml:space="preserve">893711741</t>
  </si>
  <si>
    <t xml:space="preserve">B3317 .I7413 1991</t>
  </si>
  <si>
    <t xml:space="preserve">0                      B  3317000I  7413        1991</t>
  </si>
  <si>
    <t xml:space="preserve">Marine lover of Friedrich Nietzsche / Luce Irigaray ; translated by Gillian C. Gill.</t>
  </si>
  <si>
    <t xml:space="preserve">Irigaray, Luce.</t>
  </si>
  <si>
    <t xml:space="preserve">New York : Columbia University Press, 1991.</t>
  </si>
  <si>
    <t xml:space="preserve">Gender and culture</t>
  </si>
  <si>
    <t xml:space="preserve">1992-01-02</t>
  </si>
  <si>
    <t xml:space="preserve">1061729:eng</t>
  </si>
  <si>
    <t xml:space="preserve">22909915</t>
  </si>
  <si>
    <t xml:space="preserve">991001824119702656</t>
  </si>
  <si>
    <t xml:space="preserve">2260915240002656</t>
  </si>
  <si>
    <t xml:space="preserve">9780231070829</t>
  </si>
  <si>
    <t xml:space="preserve">32285000862846</t>
  </si>
  <si>
    <t xml:space="preserve">893697066</t>
  </si>
  <si>
    <t xml:space="preserve">B3317 .J39 1983</t>
  </si>
  <si>
    <t xml:space="preserve">0                      B  3317000J  39          1983</t>
  </si>
  <si>
    <t xml:space="preserve">Nietzsche as affirmative thinker : papers presented at the Fifth Jerusalem Philosophical Encounter, April 1983 / edited by Yirmiyahu Yovel.</t>
  </si>
  <si>
    <t xml:space="preserve">Jerusalem Philosophical Encounter (5th : 1983)</t>
  </si>
  <si>
    <t xml:space="preserve">Dordrecht ; Boston : M. Nijhoff Publishers ; Hingham, MA, USA : Distributors for the United States and Canada, Kluwer Academic Publishers, c1986.</t>
  </si>
  <si>
    <t xml:space="preserve">Martinus Nijhoff philosophy library ; v. 13</t>
  </si>
  <si>
    <t xml:space="preserve">836678017:eng</t>
  </si>
  <si>
    <t xml:space="preserve">12804294</t>
  </si>
  <si>
    <t xml:space="preserve">991000737879702656</t>
  </si>
  <si>
    <t xml:space="preserve">2257011170002656</t>
  </si>
  <si>
    <t xml:space="preserve">9789024732692</t>
  </si>
  <si>
    <t xml:space="preserve">32285000587757</t>
  </si>
  <si>
    <t xml:space="preserve">893702394</t>
  </si>
  <si>
    <t xml:space="preserve">B3317 .K4 1910</t>
  </si>
  <si>
    <t xml:space="preserve">0                      B  3317000K  4           1910</t>
  </si>
  <si>
    <t xml:space="preserve">The quintessence of Nietzsche.</t>
  </si>
  <si>
    <t xml:space="preserve">Kennedy, J. M. (John McFarland)</t>
  </si>
  <si>
    <t xml:space="preserve">New York : Duffield, 1910.</t>
  </si>
  <si>
    <t xml:space="preserve">1910</t>
  </si>
  <si>
    <t xml:space="preserve">2000-11-30</t>
  </si>
  <si>
    <t xml:space="preserve">1436103:eng</t>
  </si>
  <si>
    <t xml:space="preserve">3197696</t>
  </si>
  <si>
    <t xml:space="preserve">991004372219702656</t>
  </si>
  <si>
    <t xml:space="preserve">2263709960002656</t>
  </si>
  <si>
    <t xml:space="preserve">32285000587773</t>
  </si>
  <si>
    <t xml:space="preserve">893722395</t>
  </si>
  <si>
    <t xml:space="preserve">B3317 .L52 1912</t>
  </si>
  <si>
    <t xml:space="preserve">0                      B  3317000L  52          1912</t>
  </si>
  <si>
    <t xml:space="preserve">The gospel of superman : the philosophy of Friedrich Nietzsche / translated from the French of Henri Lichtenberger, with an introduction, by J. M. Kennedy.</t>
  </si>
  <si>
    <t xml:space="preserve">Lichtenberger, Henri, 1864-1941.</t>
  </si>
  <si>
    <t xml:space="preserve">New York : Macmillan, 1912.</t>
  </si>
  <si>
    <t xml:space="preserve">1912</t>
  </si>
  <si>
    <t xml:space="preserve">2002-12-06</t>
  </si>
  <si>
    <t xml:space="preserve">348279939:eng</t>
  </si>
  <si>
    <t xml:space="preserve">9151208</t>
  </si>
  <si>
    <t xml:space="preserve">991000138579702656</t>
  </si>
  <si>
    <t xml:space="preserve">2260680890002656</t>
  </si>
  <si>
    <t xml:space="preserve">32285000587815</t>
  </si>
  <si>
    <t xml:space="preserve">893877841</t>
  </si>
  <si>
    <t xml:space="preserve">B3317 .M24 1978</t>
  </si>
  <si>
    <t xml:space="preserve">0                      B  3317000M  24          1978</t>
  </si>
  <si>
    <t xml:space="preserve">Nietzsche and Kazantzakis / B. T. McDonough.</t>
  </si>
  <si>
    <t xml:space="preserve">McDonough, B. T.</t>
  </si>
  <si>
    <t xml:space="preserve">Washington, D. C. : University Press of America, 1978.</t>
  </si>
  <si>
    <t xml:space="preserve">2006-11-20</t>
  </si>
  <si>
    <t xml:space="preserve">17014600:eng</t>
  </si>
  <si>
    <t xml:space="preserve">5148933</t>
  </si>
  <si>
    <t xml:space="preserve">991004786809702656</t>
  </si>
  <si>
    <t xml:space="preserve">2269302480002656</t>
  </si>
  <si>
    <t xml:space="preserve">9780819106070</t>
  </si>
  <si>
    <t xml:space="preserve">32285000587823</t>
  </si>
  <si>
    <t xml:space="preserve">893446395</t>
  </si>
  <si>
    <t xml:space="preserve">B3317 .N44</t>
  </si>
  <si>
    <t xml:space="preserve">0                      B  3317000N  44</t>
  </si>
  <si>
    <t xml:space="preserve">The New Nietzsche : contemporary styles of interpretation / edited and introduced by David B. Allison.</t>
  </si>
  <si>
    <t xml:space="preserve">New York : Dell Pub. Co., 1977.</t>
  </si>
  <si>
    <t xml:space="preserve">A Delta original</t>
  </si>
  <si>
    <t xml:space="preserve">2001-05-03</t>
  </si>
  <si>
    <t xml:space="preserve">799861062:eng</t>
  </si>
  <si>
    <t xml:space="preserve">3164268</t>
  </si>
  <si>
    <t xml:space="preserve">991004360209702656</t>
  </si>
  <si>
    <t xml:space="preserve">2258372490002656</t>
  </si>
  <si>
    <t xml:space="preserve">9780440558767</t>
  </si>
  <si>
    <t xml:space="preserve">32285000587856</t>
  </si>
  <si>
    <t xml:space="preserve">893876010</t>
  </si>
  <si>
    <t xml:space="preserve">B3317 .S33 1995</t>
  </si>
  <si>
    <t xml:space="preserve">0                      B  3317000S  33          1995</t>
  </si>
  <si>
    <t xml:space="preserve">The Nietzsche canon : a publication history and bibliography / William H. Schaberg.</t>
  </si>
  <si>
    <t xml:space="preserve">Schaberg, William H.</t>
  </si>
  <si>
    <t xml:space="preserve">Chicago : University of Chicago Press, 1995.</t>
  </si>
  <si>
    <t xml:space="preserve">2001-02-21</t>
  </si>
  <si>
    <t xml:space="preserve">1996-07-10</t>
  </si>
  <si>
    <t xml:space="preserve">34221466:eng</t>
  </si>
  <si>
    <t xml:space="preserve">32508803</t>
  </si>
  <si>
    <t xml:space="preserve">991002498369702656</t>
  </si>
  <si>
    <t xml:space="preserve">2261799130002656</t>
  </si>
  <si>
    <t xml:space="preserve">9780226735757</t>
  </si>
  <si>
    <t xml:space="preserve">32285002211133</t>
  </si>
  <si>
    <t xml:space="preserve">893517357</t>
  </si>
  <si>
    <t xml:space="preserve">B3318.E88 S73</t>
  </si>
  <si>
    <t xml:space="preserve">0                      B  3318000E  88                 S  73</t>
  </si>
  <si>
    <t xml:space="preserve">Nietzsche's thought of eternal return.</t>
  </si>
  <si>
    <t xml:space="preserve">Stambaugh, Joan, 1932-</t>
  </si>
  <si>
    <t xml:space="preserve">Baltimore : Johns Hopkins University Press, [1972]</t>
  </si>
  <si>
    <t xml:space="preserve">1999-05-04</t>
  </si>
  <si>
    <t xml:space="preserve">1417153:eng</t>
  </si>
  <si>
    <t xml:space="preserve">326675</t>
  </si>
  <si>
    <t xml:space="preserve">991002366969702656</t>
  </si>
  <si>
    <t xml:space="preserve">2272030040002656</t>
  </si>
  <si>
    <t xml:space="preserve">9780801812880</t>
  </si>
  <si>
    <t xml:space="preserve">32285000587955</t>
  </si>
  <si>
    <t xml:space="preserve">893232873</t>
  </si>
  <si>
    <t xml:space="preserve">B3318.K7 W54 1974</t>
  </si>
  <si>
    <t xml:space="preserve">0                      B  3318000K  7                  W  54          1974</t>
  </si>
  <si>
    <t xml:space="preserve">Truth and value in Nietzsche : a study of his metaethics and epistemology / [by] John T. Wilcox. With a foreword by Walter Kaufmann.</t>
  </si>
  <si>
    <t xml:space="preserve">Wilcox, John T.</t>
  </si>
  <si>
    <t xml:space="preserve">Ann Arbor : University of Michigan Press, [1974]</t>
  </si>
  <si>
    <t xml:space="preserve">2008-04-20</t>
  </si>
  <si>
    <t xml:space="preserve">1836652:eng</t>
  </si>
  <si>
    <t xml:space="preserve">867536</t>
  </si>
  <si>
    <t xml:space="preserve">991003336949702656</t>
  </si>
  <si>
    <t xml:space="preserve">2265831460002656</t>
  </si>
  <si>
    <t xml:space="preserve">9780472974009</t>
  </si>
  <si>
    <t xml:space="preserve">32285000587971</t>
  </si>
  <si>
    <t xml:space="preserve">893799619</t>
  </si>
  <si>
    <t xml:space="preserve">B3318.M4 K6413 1993</t>
  </si>
  <si>
    <t xml:space="preserve">0                      B  3318000M  4                  K  6413        1993</t>
  </si>
  <si>
    <t xml:space="preserve">Nietzsche and metaphor / Sarah Kofman ; translated, with an introduction, additional notes, and a bibliography by Duncan Large.</t>
  </si>
  <si>
    <t xml:space="preserve">Kofman, Sarah.</t>
  </si>
  <si>
    <t xml:space="preserve">Stanford, Calif. : Stanford University Press, c1993.</t>
  </si>
  <si>
    <t xml:space="preserve">2002-04-29</t>
  </si>
  <si>
    <t xml:space="preserve">1994-12-13</t>
  </si>
  <si>
    <t xml:space="preserve">352260:eng</t>
  </si>
  <si>
    <t xml:space="preserve">29981056</t>
  </si>
  <si>
    <t xml:space="preserve">991002310459702656</t>
  </si>
  <si>
    <t xml:space="preserve">2265373530002656</t>
  </si>
  <si>
    <t xml:space="preserve">9780804721868</t>
  </si>
  <si>
    <t xml:space="preserve">32285001976355</t>
  </si>
  <si>
    <t xml:space="preserve">893804452</t>
  </si>
  <si>
    <t xml:space="preserve">B3318.M5 P64 1995</t>
  </si>
  <si>
    <t xml:space="preserve">0                      B  3318000M  5                  P  64          1995</t>
  </si>
  <si>
    <t xml:space="preserve">Nietzsche and metaphysics / Peter Poellner.</t>
  </si>
  <si>
    <t xml:space="preserve">Poellner, Peter.</t>
  </si>
  <si>
    <t xml:space="preserve">Oxford : Clarendon Press ; New York : Oxford University Press, 1995.</t>
  </si>
  <si>
    <t xml:space="preserve">Oxford philosophical monographs</t>
  </si>
  <si>
    <t xml:space="preserve">1997-01-22</t>
  </si>
  <si>
    <t xml:space="preserve">4927385230:eng</t>
  </si>
  <si>
    <t xml:space="preserve">32236481</t>
  </si>
  <si>
    <t xml:space="preserve">991002475399702656</t>
  </si>
  <si>
    <t xml:space="preserve">2266299440002656</t>
  </si>
  <si>
    <t xml:space="preserve">9780198235170</t>
  </si>
  <si>
    <t xml:space="preserve">32285002410081</t>
  </si>
  <si>
    <t xml:space="preserve">893316852</t>
  </si>
  <si>
    <t xml:space="preserve">B3318.T5 S713 1987</t>
  </si>
  <si>
    <t xml:space="preserve">0                      B  3318000T  5                  S  713         1987</t>
  </si>
  <si>
    <t xml:space="preserve">The problem of time in Nietzsche / Joan Stambaugh ; translated by John F. Humphrey.</t>
  </si>
  <si>
    <t xml:space="preserve">Lewisburg [Pa.] : Bucknell University Press ; London : Associated University Presses, c1987.</t>
  </si>
  <si>
    <t xml:space="preserve">2009-04-19</t>
  </si>
  <si>
    <t xml:space="preserve">1151014747:eng</t>
  </si>
  <si>
    <t xml:space="preserve">14693278</t>
  </si>
  <si>
    <t xml:space="preserve">991000953659702656</t>
  </si>
  <si>
    <t xml:space="preserve">2259437540002656</t>
  </si>
  <si>
    <t xml:space="preserve">9780838751138</t>
  </si>
  <si>
    <t xml:space="preserve">32285000587989</t>
  </si>
  <si>
    <t xml:space="preserve">893884910</t>
  </si>
  <si>
    <t xml:space="preserve">B3323 .P55 S35 V2</t>
  </si>
  <si>
    <t xml:space="preserve">0                      B  3323000P  55                 S  35                 V  2</t>
  </si>
  <si>
    <t xml:space="preserve">The Philosophy of Karl Popper / edited by Paul Arthur Schilpp.</t>
  </si>
  <si>
    <t xml:space="preserve">La Salle, Ill. : Open Court, c1974.</t>
  </si>
  <si>
    <t xml:space="preserve">The Library of living philosophers ; v. 14</t>
  </si>
  <si>
    <t xml:space="preserve">1998-04-15</t>
  </si>
  <si>
    <t xml:space="preserve">2790482266:eng</t>
  </si>
  <si>
    <t xml:space="preserve">2580491</t>
  </si>
  <si>
    <t xml:space="preserve">991004170819702656</t>
  </si>
  <si>
    <t xml:space="preserve">2261604730002656</t>
  </si>
  <si>
    <t xml:space="preserve">9780875481418</t>
  </si>
  <si>
    <t xml:space="preserve">32285000588037</t>
  </si>
  <si>
    <t xml:space="preserve">893519324</t>
  </si>
  <si>
    <t xml:space="preserve">B3323.P55 S35</t>
  </si>
  <si>
    <t xml:space="preserve">0                      B  3323000P  55                 S  35</t>
  </si>
  <si>
    <t xml:space="preserve">32285000588029</t>
  </si>
  <si>
    <t xml:space="preserve">893512894</t>
  </si>
  <si>
    <t xml:space="preserve">B3329.S484 N5913 1984</t>
  </si>
  <si>
    <t xml:space="preserve">0                      B  3329000S  484                N  5913        1984</t>
  </si>
  <si>
    <t xml:space="preserve">Max Scheler, the man and his work / by John H. Nota ; translated by Theodore Plantinga and the author.</t>
  </si>
  <si>
    <t xml:space="preserve">Nota, John H. (John Hille), 1913-</t>
  </si>
  <si>
    <t xml:space="preserve">Chicago : Franciscan Herald Press, 1984.</t>
  </si>
  <si>
    <t xml:space="preserve">2001-09-18</t>
  </si>
  <si>
    <t xml:space="preserve">3944114598:eng</t>
  </si>
  <si>
    <t xml:space="preserve">8670264</t>
  </si>
  <si>
    <t xml:space="preserve">991000048269702656</t>
  </si>
  <si>
    <t xml:space="preserve">2267482280002656</t>
  </si>
  <si>
    <t xml:space="preserve">9780819908520</t>
  </si>
  <si>
    <t xml:space="preserve">32285000588144</t>
  </si>
  <si>
    <t xml:space="preserve">893431626</t>
  </si>
  <si>
    <t xml:space="preserve">B3329.S484 R3</t>
  </si>
  <si>
    <t xml:space="preserve">0                      B  3329000S  484                R  3</t>
  </si>
  <si>
    <t xml:space="preserve">Scheler's phenomenology of community / by Ernest W. Ranly.</t>
  </si>
  <si>
    <t xml:space="preserve">Ranly, Ernest W.</t>
  </si>
  <si>
    <t xml:space="preserve">The Hague : Martinus Nijhoff, 1966 [1967]</t>
  </si>
  <si>
    <t xml:space="preserve">1480930:eng</t>
  </si>
  <si>
    <t xml:space="preserve">512822</t>
  </si>
  <si>
    <t xml:space="preserve">991002893779702656</t>
  </si>
  <si>
    <t xml:space="preserve">2263265440002656</t>
  </si>
  <si>
    <t xml:space="preserve">32285000588151</t>
  </si>
  <si>
    <t xml:space="preserve">893780363</t>
  </si>
  <si>
    <t xml:space="preserve">B3329.S52 E5 1947</t>
  </si>
  <si>
    <t xml:space="preserve">0                      B  3329000S  52                 E  5           1947</t>
  </si>
  <si>
    <t xml:space="preserve">An anthology / Albert Schweitzer ; edited by Charles R. Joy.</t>
  </si>
  <si>
    <t xml:space="preserve">Schweitzer, Albert, 1875-1965.</t>
  </si>
  <si>
    <t xml:space="preserve">New York : Harper, [c1947]</t>
  </si>
  <si>
    <t xml:space="preserve">2908456994:eng</t>
  </si>
  <si>
    <t xml:space="preserve">5308717</t>
  </si>
  <si>
    <t xml:space="preserve">991004815499702656</t>
  </si>
  <si>
    <t xml:space="preserve">2258651450002656</t>
  </si>
  <si>
    <t xml:space="preserve">32285000588235</t>
  </si>
  <si>
    <t xml:space="preserve">893513704</t>
  </si>
  <si>
    <t xml:space="preserve">B3329.S64 W4 1962</t>
  </si>
  <si>
    <t xml:space="preserve">0                      B  3329000S  64                 W  4           1962</t>
  </si>
  <si>
    <t xml:space="preserve">Experience and culture : the philosophy of Georg Simmel.</t>
  </si>
  <si>
    <t xml:space="preserve">Weingartner, Rudolph H. (Rudolph Herbert)</t>
  </si>
  <si>
    <t xml:space="preserve">Middletown, Conn. : Wesleyan University Press, [1962]</t>
  </si>
  <si>
    <t xml:space="preserve">2007-11-10</t>
  </si>
  <si>
    <t xml:space="preserve">40708223:eng</t>
  </si>
  <si>
    <t xml:space="preserve">606822</t>
  </si>
  <si>
    <t xml:space="preserve">991003046409702656</t>
  </si>
  <si>
    <t xml:space="preserve">2264019580002656</t>
  </si>
  <si>
    <t xml:space="preserve">32285000588250</t>
  </si>
  <si>
    <t xml:space="preserve">893422122</t>
  </si>
  <si>
    <t xml:space="preserve">B3354.V5 P6 1952</t>
  </si>
  <si>
    <t xml:space="preserve">0                      B  3354000V  5                  P  6           1952</t>
  </si>
  <si>
    <t xml:space="preserve">The philosophy of 'as if' : a system of the theoretical, practical and religious fictions of mankind / by H. Vaihinger. Translated by C. K. Ogden.</t>
  </si>
  <si>
    <t xml:space="preserve">Vaihinger, Hans, 1852-1933.</t>
  </si>
  <si>
    <t xml:space="preserve">New York : Barnes &amp; Noble, 1952.</t>
  </si>
  <si>
    <t xml:space="preserve">[2d ed.] London, Routledge &amp; K. Paul.</t>
  </si>
  <si>
    <t xml:space="preserve">431115311:eng</t>
  </si>
  <si>
    <t xml:space="preserve">5022092</t>
  </si>
  <si>
    <t xml:space="preserve">991004764079702656</t>
  </si>
  <si>
    <t xml:space="preserve">2258046840002656</t>
  </si>
  <si>
    <t xml:space="preserve">32285000588300</t>
  </si>
  <si>
    <t xml:space="preserve">893430468</t>
  </si>
  <si>
    <t xml:space="preserve">B3361.Z7 R67</t>
  </si>
  <si>
    <t xml:space="preserve">0                      B  3361000Z  7                  R  67</t>
  </si>
  <si>
    <t xml:space="preserve">Max Weber's vision of history : ethics and methods / Guenther Roth and Wolfgang Schluchter.</t>
  </si>
  <si>
    <t xml:space="preserve">Roth, Guenther, 1931-2019.</t>
  </si>
  <si>
    <t xml:space="preserve">1995-11-21</t>
  </si>
  <si>
    <t xml:space="preserve">353832053:eng</t>
  </si>
  <si>
    <t xml:space="preserve">4999203</t>
  </si>
  <si>
    <t xml:space="preserve">991004760869702656</t>
  </si>
  <si>
    <t xml:space="preserve">2265861750002656</t>
  </si>
  <si>
    <t xml:space="preserve">9780520036048</t>
  </si>
  <si>
    <t xml:space="preserve">32285000588326</t>
  </si>
  <si>
    <t xml:space="preserve">893411913</t>
  </si>
  <si>
    <t xml:space="preserve">B3361.Z7 T87 1984</t>
  </si>
  <si>
    <t xml:space="preserve">0                      B  3361000Z  7                  T  87          1984</t>
  </si>
  <si>
    <t xml:space="preserve">Max Weber and the dispute over reason and value : a study in philosophy, ethics, and politics / Stephen P. Turner, Regis A. Factor.</t>
  </si>
  <si>
    <t xml:space="preserve">Turner, Stephen P., 1951-</t>
  </si>
  <si>
    <t xml:space="preserve">London ; Boston : Routledge &amp; Kegan Paul, 1984.</t>
  </si>
  <si>
    <t xml:space="preserve">138449219:eng</t>
  </si>
  <si>
    <t xml:space="preserve">9575669</t>
  </si>
  <si>
    <t xml:space="preserve">991000219839702656</t>
  </si>
  <si>
    <t xml:space="preserve">2266995880002656</t>
  </si>
  <si>
    <t xml:space="preserve">9780710098894</t>
  </si>
  <si>
    <t xml:space="preserve">32285000588342</t>
  </si>
  <si>
    <t xml:space="preserve">893419306</t>
  </si>
  <si>
    <t xml:space="preserve">B3376.W563 P5322</t>
  </si>
  <si>
    <t xml:space="preserve">0                      B  3376000W  563                P  5322</t>
  </si>
  <si>
    <t xml:space="preserve">Wittgenstein, understanding and meaning : an analytical commentary on the Philosophical investigations / by G. P. Baker and P. M. S. Hacker.</t>
  </si>
  <si>
    <t xml:space="preserve">Baker, Gordon P.</t>
  </si>
  <si>
    <t xml:space="preserve">Chicago : University of Chicago Press, 1980-</t>
  </si>
  <si>
    <t xml:space="preserve">1998-05-01</t>
  </si>
  <si>
    <t xml:space="preserve">1990-07-20</t>
  </si>
  <si>
    <t xml:space="preserve">4921561901:eng</t>
  </si>
  <si>
    <t xml:space="preserve">5101409</t>
  </si>
  <si>
    <t xml:space="preserve">991004776599702656</t>
  </si>
  <si>
    <t xml:space="preserve">2259258330002656</t>
  </si>
  <si>
    <t xml:space="preserve">9780226035260</t>
  </si>
  <si>
    <t xml:space="preserve">32285000227040</t>
  </si>
  <si>
    <t xml:space="preserve">893895475</t>
  </si>
  <si>
    <t xml:space="preserve">B3376.W563 P5324</t>
  </si>
  <si>
    <t xml:space="preserve">0                      B  3376000W  563                P  5324</t>
  </si>
  <si>
    <t xml:space="preserve">Wittgenstein--the later philosophy : an exposition of the Philosophical investigations / by Henry LeRoy Finch.</t>
  </si>
  <si>
    <t xml:space="preserve">Finch, Henry Le Roy.</t>
  </si>
  <si>
    <t xml:space="preserve">Atlantic Highlands, N.J. : Humanities Press, c1977.</t>
  </si>
  <si>
    <t xml:space="preserve">2009-03-19</t>
  </si>
  <si>
    <t xml:space="preserve">814146:eng</t>
  </si>
  <si>
    <t xml:space="preserve">2523381</t>
  </si>
  <si>
    <t xml:space="preserve">991004150149702656</t>
  </si>
  <si>
    <t xml:space="preserve">2270125390002656</t>
  </si>
  <si>
    <t xml:space="preserve">9780391006805</t>
  </si>
  <si>
    <t xml:space="preserve">32285000227065</t>
  </si>
  <si>
    <t xml:space="preserve">893532047</t>
  </si>
  <si>
    <t xml:space="preserve">B3376.W563 T7322 1985</t>
  </si>
  <si>
    <t xml:space="preserve">0                      B  3376000W  563                T  7322        1985</t>
  </si>
  <si>
    <t xml:space="preserve">Wittgenstein's Tractatus and the modern arts / by Jorn K. Bramann.</t>
  </si>
  <si>
    <t xml:space="preserve">Bramann, Jorn K.</t>
  </si>
  <si>
    <t xml:space="preserve">Rochester, N.Y. : Adler Pub. Co., c1985.</t>
  </si>
  <si>
    <t xml:space="preserve">4458658:eng</t>
  </si>
  <si>
    <t xml:space="preserve">11622720</t>
  </si>
  <si>
    <t xml:space="preserve">991000567019702656</t>
  </si>
  <si>
    <t xml:space="preserve">2260819280002656</t>
  </si>
  <si>
    <t xml:space="preserve">9780913623053</t>
  </si>
  <si>
    <t xml:space="preserve">32285000227099</t>
  </si>
  <si>
    <t xml:space="preserve">893419583</t>
  </si>
  <si>
    <t xml:space="preserve">B3376.W564 F33 1969b</t>
  </si>
  <si>
    <t xml:space="preserve">0                      B  3376000W  564                F  33          1969b</t>
  </si>
  <si>
    <t xml:space="preserve">Wittgenstein's conception of philosophy / [by] K. T. Fann.</t>
  </si>
  <si>
    <t xml:space="preserve">Fann, K. T., 1937-</t>
  </si>
  <si>
    <t xml:space="preserve">Berkeley : University of California Press, 1969.</t>
  </si>
  <si>
    <t xml:space="preserve">2010-04-06</t>
  </si>
  <si>
    <t xml:space="preserve">500520:eng</t>
  </si>
  <si>
    <t xml:space="preserve">62361</t>
  </si>
  <si>
    <t xml:space="preserve">991000180639702656</t>
  </si>
  <si>
    <t xml:space="preserve">2255115150002656</t>
  </si>
  <si>
    <t xml:space="preserve">32285000189828</t>
  </si>
  <si>
    <t xml:space="preserve">893601552</t>
  </si>
  <si>
    <t xml:space="preserve">B3376.W564 H24</t>
  </si>
  <si>
    <t xml:space="preserve">0                      B  3376000W  564                H  24</t>
  </si>
  <si>
    <t xml:space="preserve">Insight and illusion : Wittgenstein on philosophy and the metaphysics of experience / [by] P. M. S. Hacker.</t>
  </si>
  <si>
    <t xml:space="preserve">Hacker, P. M. S. (Peter Michael Stephan)</t>
  </si>
  <si>
    <t xml:space="preserve">2001-03-18</t>
  </si>
  <si>
    <t xml:space="preserve">793885101:eng</t>
  </si>
  <si>
    <t xml:space="preserve">521349</t>
  </si>
  <si>
    <t xml:space="preserve">991002909959702656</t>
  </si>
  <si>
    <t xml:space="preserve">2260509200002656</t>
  </si>
  <si>
    <t xml:space="preserve">9780198243694</t>
  </si>
  <si>
    <t xml:space="preserve">32285000189877</t>
  </si>
  <si>
    <t xml:space="preserve">893867859</t>
  </si>
  <si>
    <t xml:space="preserve">B3376.W564 H32</t>
  </si>
  <si>
    <t xml:space="preserve">0                      B  3376000W  564                H  32</t>
  </si>
  <si>
    <t xml:space="preserve">Language learning in Wittgenstein's later philosophy / by Charles S. Hardwick.</t>
  </si>
  <si>
    <t xml:space="preserve">Hardwick, Charles S.</t>
  </si>
  <si>
    <t xml:space="preserve">Janua linguarum. Series minor ; 104</t>
  </si>
  <si>
    <t xml:space="preserve">1402600:eng</t>
  </si>
  <si>
    <t xml:space="preserve">246787</t>
  </si>
  <si>
    <t xml:space="preserve">991001926359702656</t>
  </si>
  <si>
    <t xml:space="preserve">2257438480002656</t>
  </si>
  <si>
    <t xml:space="preserve">32285000034230</t>
  </si>
  <si>
    <t xml:space="preserve">893879312</t>
  </si>
  <si>
    <t xml:space="preserve">B3376.W564 K55</t>
  </si>
  <si>
    <t xml:space="preserve">0                      B  3376000W  564                K  55</t>
  </si>
  <si>
    <t xml:space="preserve">Essays on Wittgenstein / edited by E. D. Klemke.</t>
  </si>
  <si>
    <t xml:space="preserve">Urbana : University of Illinois Press, [1971]</t>
  </si>
  <si>
    <t xml:space="preserve">Illini books, IB-69</t>
  </si>
  <si>
    <t xml:space="preserve">1994-03-03</t>
  </si>
  <si>
    <t xml:space="preserve">352279016:eng</t>
  </si>
  <si>
    <t xml:space="preserve">158276</t>
  </si>
  <si>
    <t xml:space="preserve">991000907699702656</t>
  </si>
  <si>
    <t xml:space="preserve">2258513400002656</t>
  </si>
  <si>
    <t xml:space="preserve">9780252001710</t>
  </si>
  <si>
    <t xml:space="preserve">32285000190008</t>
  </si>
  <si>
    <t xml:space="preserve">893626499</t>
  </si>
  <si>
    <t xml:space="preserve">B3376.W564 M23 1986</t>
  </si>
  <si>
    <t xml:space="preserve">0                      B  3376000W  564                M  23          1986</t>
  </si>
  <si>
    <t xml:space="preserve">Nothing is hidden : Wittgenstein's criticism of his early thought / Norman Malcolm.</t>
  </si>
  <si>
    <t xml:space="preserve">Oxford, OX, UK ; New York, NY, USA : Blackwell, 1986.</t>
  </si>
  <si>
    <t xml:space="preserve">2007-10-12</t>
  </si>
  <si>
    <t xml:space="preserve">836697073:eng</t>
  </si>
  <si>
    <t xml:space="preserve">12972987</t>
  </si>
  <si>
    <t xml:space="preserve">991000760729702656</t>
  </si>
  <si>
    <t xml:space="preserve">2263672900002656</t>
  </si>
  <si>
    <t xml:space="preserve">9780631137443</t>
  </si>
  <si>
    <t xml:space="preserve">32285000255066</t>
  </si>
  <si>
    <t xml:space="preserve">893614480</t>
  </si>
  <si>
    <t xml:space="preserve">B3376.W564 P54</t>
  </si>
  <si>
    <t xml:space="preserve">0                      B  3376000W  564                P  54</t>
  </si>
  <si>
    <t xml:space="preserve">Wittgenstein and justice : on the significance of Ludwig Wittgenstein for social and political thought.</t>
  </si>
  <si>
    <t xml:space="preserve">Pitkin, Hanna Fenichel.</t>
  </si>
  <si>
    <t xml:space="preserve">Berkeley : University of California Press, 1972.</t>
  </si>
  <si>
    <t xml:space="preserve">342261:eng</t>
  </si>
  <si>
    <t xml:space="preserve">446946</t>
  </si>
  <si>
    <t xml:space="preserve">991001639919702656</t>
  </si>
  <si>
    <t xml:space="preserve">2266088220002656</t>
  </si>
  <si>
    <t xml:space="preserve">9780520018419</t>
  </si>
  <si>
    <t xml:space="preserve">32285000255199</t>
  </si>
  <si>
    <t xml:space="preserve">893503549</t>
  </si>
  <si>
    <t xml:space="preserve">B3376.W564 S5 1969</t>
  </si>
  <si>
    <t xml:space="preserve">0                      B  3376000W  564                S  5           1969</t>
  </si>
  <si>
    <t xml:space="preserve">Wittgenstein : language &amp; philosophy / Warren Shibles.</t>
  </si>
  <si>
    <t xml:space="preserve">Shibles, Warren A.</t>
  </si>
  <si>
    <t xml:space="preserve">Dubuque, Iowa : Kendall/Hunt Pub. Co., 1969.</t>
  </si>
  <si>
    <t xml:space="preserve">1131736:eng</t>
  </si>
  <si>
    <t xml:space="preserve">2810723</t>
  </si>
  <si>
    <t xml:space="preserve">991004250509702656</t>
  </si>
  <si>
    <t xml:space="preserve">2263106360002656</t>
  </si>
  <si>
    <t xml:space="preserve">9780840303189</t>
  </si>
  <si>
    <t xml:space="preserve">32285000255215</t>
  </si>
  <si>
    <t xml:space="preserve">893718682</t>
  </si>
  <si>
    <t xml:space="preserve">B3376.W564 W5</t>
  </si>
  <si>
    <t xml:space="preserve">0                      B  3376000W  564                W  5</t>
  </si>
  <si>
    <t xml:space="preserve">Studies in the philosophy of Wittgenstein / edited by Peter Winch.</t>
  </si>
  <si>
    <t xml:space="preserve">Winch, Peter.</t>
  </si>
  <si>
    <t xml:space="preserve">London : Routledge &amp; K. Paul ; New York : Humanities P., 1969.</t>
  </si>
  <si>
    <t xml:space="preserve">2004-01-28</t>
  </si>
  <si>
    <t xml:space="preserve">4783366460:eng</t>
  </si>
  <si>
    <t xml:space="preserve">34988</t>
  </si>
  <si>
    <t xml:space="preserve">991000089059702656</t>
  </si>
  <si>
    <t xml:space="preserve">2261786590002656</t>
  </si>
  <si>
    <t xml:space="preserve">9780710063939</t>
  </si>
  <si>
    <t xml:space="preserve">32285000255272</t>
  </si>
  <si>
    <t xml:space="preserve">893589110</t>
  </si>
  <si>
    <t xml:space="preserve">B3515.M33 L6</t>
  </si>
  <si>
    <t xml:space="preserve">0                      B  3515000M  33                 L  6</t>
  </si>
  <si>
    <t xml:space="preserve">The Logos and the Holy Spirit in the unity of Christian thought : according to the teachings of the Orthodox Church / by Apostolos Makrakis ; translated out of the original Greek by Denver Cummings.</t>
  </si>
  <si>
    <t xml:space="preserve">Makrakēs, Apostolos, 1831-1905.</t>
  </si>
  <si>
    <t xml:space="preserve">Chicago : Orthodox Christian Educational Society, c1977.</t>
  </si>
  <si>
    <t xml:space="preserve">il </t>
  </si>
  <si>
    <t xml:space="preserve">2004-04-18</t>
  </si>
  <si>
    <t xml:space="preserve">10466643:eng</t>
  </si>
  <si>
    <t xml:space="preserve">3614688</t>
  </si>
  <si>
    <t xml:space="preserve">991004477949702656</t>
  </si>
  <si>
    <t xml:space="preserve">2268075280002656</t>
  </si>
  <si>
    <t xml:space="preserve">32285000255363</t>
  </si>
  <si>
    <t xml:space="preserve">893436330</t>
  </si>
  <si>
    <t xml:space="preserve">32285000255348</t>
  </si>
  <si>
    <t xml:space="preserve">893436331</t>
  </si>
  <si>
    <t xml:space="preserve">32285000255389</t>
  </si>
  <si>
    <t xml:space="preserve">893442657</t>
  </si>
  <si>
    <t xml:space="preserve">32285000255371</t>
  </si>
  <si>
    <t xml:space="preserve">893417665</t>
  </si>
  <si>
    <t xml:space="preserve">32285000255355</t>
  </si>
  <si>
    <t xml:space="preserve">893417666</t>
  </si>
  <si>
    <t xml:space="preserve">B355 .J6</t>
  </si>
  <si>
    <t xml:space="preserve">0                      B  0355000J  6</t>
  </si>
  <si>
    <t xml:space="preserve">Best known works of Plato; including the Republic, the Symposium and many famous passages. Tr. into English by B. Jowett.</t>
  </si>
  <si>
    <t xml:space="preserve">Plato.</t>
  </si>
  <si>
    <t xml:space="preserve">Garden City, N.Y. : Blue Ribbon [1942]</t>
  </si>
  <si>
    <t xml:space="preserve">1942</t>
  </si>
  <si>
    <t xml:space="preserve">2000-02-13</t>
  </si>
  <si>
    <t xml:space="preserve">1990-05-10</t>
  </si>
  <si>
    <t xml:space="preserve">2386909:eng</t>
  </si>
  <si>
    <t xml:space="preserve">1484847</t>
  </si>
  <si>
    <t xml:space="preserve">991003776599702656</t>
  </si>
  <si>
    <t xml:space="preserve">2269613480002656</t>
  </si>
  <si>
    <t xml:space="preserve">32285000151158</t>
  </si>
  <si>
    <t xml:space="preserve">893887884</t>
  </si>
  <si>
    <t xml:space="preserve">B358 .B8</t>
  </si>
  <si>
    <t xml:space="preserve">0                      B  0358000B  8</t>
  </si>
  <si>
    <t xml:space="preserve">Plato the teacher : being selections from the Apology, Euthydemus, Protagoras, Symposium, Phædrus, Republic, and Phædo of Plato / edited with introduction and notes by William Lowe Bryan and Charlotte Lowe Bryan.</t>
  </si>
  <si>
    <t xml:space="preserve">New York : C. Scribner's Sons, 1897.</t>
  </si>
  <si>
    <t xml:space="preserve">1897</t>
  </si>
  <si>
    <t xml:space="preserve">2006-03-20</t>
  </si>
  <si>
    <t xml:space="preserve">2591043831:eng</t>
  </si>
  <si>
    <t xml:space="preserve">757450</t>
  </si>
  <si>
    <t xml:space="preserve">991003233029702656</t>
  </si>
  <si>
    <t xml:space="preserve">2272463870002656</t>
  </si>
  <si>
    <t xml:space="preserve">32285000143494</t>
  </si>
  <si>
    <t xml:space="preserve">893499079</t>
  </si>
  <si>
    <t xml:space="preserve">B358 .C57 1963</t>
  </si>
  <si>
    <t xml:space="preserve">0                      B  0358000C  57          1963</t>
  </si>
  <si>
    <t xml:space="preserve">The collected dialogues of Plato : including the letters / edited by Edith Hamilton and Huntington Cairns ; with introd. and prefatory notes ; [translators: Lane Cooper and others].</t>
  </si>
  <si>
    <t xml:space="preserve">Princeton, N.J. : Princeton University Press, 1963, c1961.</t>
  </si>
  <si>
    <t xml:space="preserve">Bollingen series ; 71</t>
  </si>
  <si>
    <t xml:space="preserve">2009-04-07</t>
  </si>
  <si>
    <t xml:space="preserve">2008-03-25</t>
  </si>
  <si>
    <t xml:space="preserve">163836867:eng</t>
  </si>
  <si>
    <t xml:space="preserve">2787710</t>
  </si>
  <si>
    <t xml:space="preserve">991005196729702656</t>
  </si>
  <si>
    <t xml:space="preserve">2271463640002656</t>
  </si>
  <si>
    <t xml:space="preserve">32285005397988</t>
  </si>
  <si>
    <t xml:space="preserve">893777018</t>
  </si>
  <si>
    <t xml:space="preserve">B3583 .K86 1987</t>
  </si>
  <si>
    <t xml:space="preserve">0                      B  3583000K  86          1987</t>
  </si>
  <si>
    <t xml:space="preserve">Thought and place : the architecture of eternal place in the philosophy of Giambattista Vico / Donald Kunze.</t>
  </si>
  <si>
    <t xml:space="preserve">Kunze, Donald, 1947-</t>
  </si>
  <si>
    <t xml:space="preserve">New York : P. Lang, c1987.</t>
  </si>
  <si>
    <t xml:space="preserve">Emory Vico studies ; v. 2</t>
  </si>
  <si>
    <t xml:space="preserve">2001-09-06</t>
  </si>
  <si>
    <t xml:space="preserve">223618475:eng</t>
  </si>
  <si>
    <t xml:space="preserve">15253020</t>
  </si>
  <si>
    <t xml:space="preserve">991001008339702656</t>
  </si>
  <si>
    <t xml:space="preserve">2255930840002656</t>
  </si>
  <si>
    <t xml:space="preserve">9780820404776</t>
  </si>
  <si>
    <t xml:space="preserve">32285000257229</t>
  </si>
  <si>
    <t xml:space="preserve">893778471</t>
  </si>
  <si>
    <t xml:space="preserve">B3583 .M33</t>
  </si>
  <si>
    <t xml:space="preserve">0                      B  3583000M  33</t>
  </si>
  <si>
    <t xml:space="preserve">The theory of knowledge of Giambattista Vico.</t>
  </si>
  <si>
    <t xml:space="preserve">Manson, Richard.</t>
  </si>
  <si>
    <t xml:space="preserve">[Hamden, Conn.] : Archon Books, 1969.</t>
  </si>
  <si>
    <t xml:space="preserve">1213988:eng</t>
  </si>
  <si>
    <t xml:space="preserve">44623</t>
  </si>
  <si>
    <t xml:space="preserve">991000101339702656</t>
  </si>
  <si>
    <t xml:space="preserve">2260931610002656</t>
  </si>
  <si>
    <t xml:space="preserve">9780208008992</t>
  </si>
  <si>
    <t xml:space="preserve">32285000257237</t>
  </si>
  <si>
    <t xml:space="preserve">893701842</t>
  </si>
  <si>
    <t xml:space="preserve">B3614.C72 E53</t>
  </si>
  <si>
    <t xml:space="preserve">0                      B  3614000C  72                 E  53</t>
  </si>
  <si>
    <t xml:space="preserve">My philosophy, and other essays on the moral and political problems of our time / selected by R. Klibansky. Translated by E. F. Carritt.</t>
  </si>
  <si>
    <t xml:space="preserve">Croce, Benedetto, 1866-1952.</t>
  </si>
  <si>
    <t xml:space="preserve">London : Allen &amp; Unwin, [1949]</t>
  </si>
  <si>
    <t xml:space="preserve">2001-09-15</t>
  </si>
  <si>
    <t xml:space="preserve">1412800:eng</t>
  </si>
  <si>
    <t xml:space="preserve">541943</t>
  </si>
  <si>
    <t xml:space="preserve">991002955649702656</t>
  </si>
  <si>
    <t xml:space="preserve">2268325590002656</t>
  </si>
  <si>
    <t xml:space="preserve">32285000257278</t>
  </si>
  <si>
    <t xml:space="preserve">893434496</t>
  </si>
  <si>
    <t xml:space="preserve">B3614.C74 O7</t>
  </si>
  <si>
    <t xml:space="preserve">0                      B  3614000C  74                 O  7</t>
  </si>
  <si>
    <t xml:space="preserve">Benedetto Croce : philosopher of art and literary critic.</t>
  </si>
  <si>
    <t xml:space="preserve">Orsini, Gian Napoleone Giordano, 1903-</t>
  </si>
  <si>
    <t xml:space="preserve">Carbondale : Southern Illinois University Press, [1961]</t>
  </si>
  <si>
    <t xml:space="preserve">2004-09-23</t>
  </si>
  <si>
    <t xml:space="preserve">1486169:eng</t>
  </si>
  <si>
    <t xml:space="preserve">293926</t>
  </si>
  <si>
    <t xml:space="preserve">991002230819702656</t>
  </si>
  <si>
    <t xml:space="preserve">2266582560002656</t>
  </si>
  <si>
    <t xml:space="preserve">32285000257310</t>
  </si>
  <si>
    <t xml:space="preserve">893414971</t>
  </si>
  <si>
    <t xml:space="preserve">B3614.C74 S6 1952</t>
  </si>
  <si>
    <t xml:space="preserve">0                      B  3614000C  74                 S  6           1952</t>
  </si>
  <si>
    <t xml:space="preserve">Benedetto Croce, man and thinker.</t>
  </si>
  <si>
    <t xml:space="preserve">Sprigge, Cecil J. S. (Cecil Jackson Squire), 1896-</t>
  </si>
  <si>
    <t xml:space="preserve">Cambridge, [Eng.] : Bowes &amp; Bowes, [1952]</t>
  </si>
  <si>
    <t xml:space="preserve">1460487:eng</t>
  </si>
  <si>
    <t xml:space="preserve">374544</t>
  </si>
  <si>
    <t xml:space="preserve">991002574709702656</t>
  </si>
  <si>
    <t xml:space="preserve">2262352700002656</t>
  </si>
  <si>
    <t xml:space="preserve">32285000257328</t>
  </si>
  <si>
    <t xml:space="preserve">893523786</t>
  </si>
  <si>
    <t xml:space="preserve">B370 .V47</t>
  </si>
  <si>
    <t xml:space="preserve">0                      B  0370000V  47</t>
  </si>
  <si>
    <t xml:space="preserve">Holiness and justice : an interpretation of Plato's Euthyphro / Laszlo Versenyi.</t>
  </si>
  <si>
    <t xml:space="preserve">2007-08-27</t>
  </si>
  <si>
    <t xml:space="preserve">483506:eng</t>
  </si>
  <si>
    <t xml:space="preserve">8171915</t>
  </si>
  <si>
    <t xml:space="preserve">991005214049702656</t>
  </si>
  <si>
    <t xml:space="preserve">2255511140002656</t>
  </si>
  <si>
    <t xml:space="preserve">9780819123169</t>
  </si>
  <si>
    <t xml:space="preserve">32285000007814</t>
  </si>
  <si>
    <t xml:space="preserve">893594676</t>
  </si>
  <si>
    <t xml:space="preserve">B380 .F52 1981</t>
  </si>
  <si>
    <t xml:space="preserve">0                      B  0380000F  52          1981</t>
  </si>
  <si>
    <t xml:space="preserve">Marsilio Ficino and the Phaedran charioteer : introduction, texts, translations / [edited by] Michael J. B. Allen.</t>
  </si>
  <si>
    <t xml:space="preserve">Ficino, Marsilio, 1433-1499.</t>
  </si>
  <si>
    <t xml:space="preserve">Berkeley : University of California Press, 1981.</t>
  </si>
  <si>
    <t xml:space="preserve">2007-03-30</t>
  </si>
  <si>
    <t xml:space="preserve">502312:eng</t>
  </si>
  <si>
    <t xml:space="preserve">6626510</t>
  </si>
  <si>
    <t xml:space="preserve">991005016219702656</t>
  </si>
  <si>
    <t xml:space="preserve">2256237210002656</t>
  </si>
  <si>
    <t xml:space="preserve">9780520042223</t>
  </si>
  <si>
    <t xml:space="preserve">32285000142397</t>
  </si>
  <si>
    <t xml:space="preserve">893248216</t>
  </si>
  <si>
    <t xml:space="preserve">B380 .G75 1986</t>
  </si>
  <si>
    <t xml:space="preserve">0                      B  0380000G  75          1986</t>
  </si>
  <si>
    <t xml:space="preserve">Self-knowledge in Plato's Phaedrus / Charles L. Griswold, Jr.</t>
  </si>
  <si>
    <t xml:space="preserve">Griswold, Charles L., 1951-</t>
  </si>
  <si>
    <t xml:space="preserve">2009-09-27</t>
  </si>
  <si>
    <t xml:space="preserve">7456676:eng</t>
  </si>
  <si>
    <t xml:space="preserve">13330626</t>
  </si>
  <si>
    <t xml:space="preserve">991000810079702656</t>
  </si>
  <si>
    <t xml:space="preserve">2266054530002656</t>
  </si>
  <si>
    <t xml:space="preserve">9780300035940</t>
  </si>
  <si>
    <t xml:space="preserve">32285000142405</t>
  </si>
  <si>
    <t xml:space="preserve">893696197</t>
  </si>
  <si>
    <t xml:space="preserve">B380 .P5</t>
  </si>
  <si>
    <t xml:space="preserve">0                      B  0380000P  5</t>
  </si>
  <si>
    <t xml:space="preserve">Begeisterung und göttlicher Wahnsinn : über den platonischen Dialog "Phaidros" / Josef Pieper.</t>
  </si>
  <si>
    <t xml:space="preserve">München : Kösel-Verlag, c1962.</t>
  </si>
  <si>
    <t xml:space="preserve">2008-05-17</t>
  </si>
  <si>
    <t xml:space="preserve">2908768091:ger</t>
  </si>
  <si>
    <t xml:space="preserve">4295023</t>
  </si>
  <si>
    <t xml:space="preserve">991004620999702656</t>
  </si>
  <si>
    <t xml:space="preserve">2271928910002656</t>
  </si>
  <si>
    <t xml:space="preserve">32285000142413</t>
  </si>
  <si>
    <t xml:space="preserve">893442830</t>
  </si>
  <si>
    <t xml:space="preserve">B381 .G3313 1991</t>
  </si>
  <si>
    <t xml:space="preserve">0                      B  0381000G  3313        1991</t>
  </si>
  <si>
    <t xml:space="preserve">Plato's dialectical ethics : phenomenological interpretations relating to the Philebus / Hans-Georg Gadamer ; translated and with an introduction by Robert M. Wallace.</t>
  </si>
  <si>
    <t xml:space="preserve">Gadamer, Hans-Georg, 1900-2002.</t>
  </si>
  <si>
    <t xml:space="preserve">New Haven : Yale University Press, c1991.</t>
  </si>
  <si>
    <t xml:space="preserve">2001-11-01</t>
  </si>
  <si>
    <t xml:space="preserve">1994-04-14</t>
  </si>
  <si>
    <t xml:space="preserve">4095477739:eng</t>
  </si>
  <si>
    <t xml:space="preserve">23219606</t>
  </si>
  <si>
    <t xml:space="preserve">991001850709702656</t>
  </si>
  <si>
    <t xml:space="preserve">2256368830002656</t>
  </si>
  <si>
    <t xml:space="preserve">9780300048070</t>
  </si>
  <si>
    <t xml:space="preserve">32285001875953</t>
  </si>
  <si>
    <t xml:space="preserve">893334660</t>
  </si>
  <si>
    <t xml:space="preserve">B381.A5 F6</t>
  </si>
  <si>
    <t xml:space="preserve">0                      B  0381000A  5                  F  6</t>
  </si>
  <si>
    <t xml:space="preserve">The Statesman ; [and] Philebus / Plato ; with translation by Harold N. Fowler. Ion / with translation by W. R. M. Lamb.</t>
  </si>
  <si>
    <t xml:space="preserve">Cambridge, Mass. : Harvard University Press, c1925, 1990 printing.</t>
  </si>
  <si>
    <t xml:space="preserve">Loeb classical library ; 164</t>
  </si>
  <si>
    <t xml:space="preserve">1995-05-11</t>
  </si>
  <si>
    <t xml:space="preserve">1993-01-18</t>
  </si>
  <si>
    <t xml:space="preserve">3769577170:eng</t>
  </si>
  <si>
    <t xml:space="preserve">21777650</t>
  </si>
  <si>
    <t xml:space="preserve">991001721969702656</t>
  </si>
  <si>
    <t xml:space="preserve">2255439270002656</t>
  </si>
  <si>
    <t xml:space="preserve">9780674991828</t>
  </si>
  <si>
    <t xml:space="preserve">32285001446094</t>
  </si>
  <si>
    <t xml:space="preserve">893684566</t>
  </si>
  <si>
    <t xml:space="preserve">B382 .H82 1984</t>
  </si>
  <si>
    <t xml:space="preserve">0                      B  0382000H  82          1984</t>
  </si>
  <si>
    <t xml:space="preserve">Plato's Protagoras : a Socratic commentary / B.A.F. Hubbard &amp; E.S. Karnofsky ; with a foreword by M.F. Burnyeat.</t>
  </si>
  <si>
    <t xml:space="preserve">Hubbard, B. A. F.</t>
  </si>
  <si>
    <t xml:space="preserve">Chicago : University of Chicago Press, 1984, c1982.</t>
  </si>
  <si>
    <t xml:space="preserve">4919673263:eng</t>
  </si>
  <si>
    <t xml:space="preserve">10146989</t>
  </si>
  <si>
    <t xml:space="preserve">991000320889702656</t>
  </si>
  <si>
    <t xml:space="preserve">2255670570002656</t>
  </si>
  <si>
    <t xml:space="preserve">9780226670362</t>
  </si>
  <si>
    <t xml:space="preserve">32285000142546</t>
  </si>
  <si>
    <t xml:space="preserve">893589346</t>
  </si>
  <si>
    <t xml:space="preserve">B383 .A9</t>
  </si>
  <si>
    <t xml:space="preserve">0                      B  0383000A  9</t>
  </si>
  <si>
    <t xml:space="preserve">Commentary on Plato's Republic / edited with an introd., translation, and notes by E. I. J. Rosenthal.</t>
  </si>
  <si>
    <t xml:space="preserve">Averroës, 1126-1198.</t>
  </si>
  <si>
    <t xml:space="preserve">Cambridge, [Eng.] : University Press, 1956.</t>
  </si>
  <si>
    <t xml:space="preserve">University of Cambridge oriental publications ; no. 1</t>
  </si>
  <si>
    <t xml:space="preserve">1709923:eng</t>
  </si>
  <si>
    <t xml:space="preserve">2081871</t>
  </si>
  <si>
    <t xml:space="preserve">991004004699702656</t>
  </si>
  <si>
    <t xml:space="preserve">2259002210002656</t>
  </si>
  <si>
    <t xml:space="preserve">32285000142553</t>
  </si>
  <si>
    <t xml:space="preserve">893435754</t>
  </si>
  <si>
    <t xml:space="preserve">B383.A9 N4</t>
  </si>
  <si>
    <t xml:space="preserve">0                      B  0383000A  9                  N  4</t>
  </si>
  <si>
    <t xml:space="preserve">Lectures on the Republic of Plato / by Richard Lewis.</t>
  </si>
  <si>
    <t xml:space="preserve">Nettleship, Richard Lewis, 1846-1892.</t>
  </si>
  <si>
    <t xml:space="preserve">London : Macmillan and co., limited, 1937.</t>
  </si>
  <si>
    <t xml:space="preserve">1591504:eng</t>
  </si>
  <si>
    <t xml:space="preserve">1543774</t>
  </si>
  <si>
    <t xml:space="preserve">991003813839702656</t>
  </si>
  <si>
    <t xml:space="preserve">2265909120002656</t>
  </si>
  <si>
    <t xml:space="preserve">32285000142603</t>
  </si>
  <si>
    <t xml:space="preserve">893705660</t>
  </si>
  <si>
    <t xml:space="preserve">B384 .R67 1983</t>
  </si>
  <si>
    <t xml:space="preserve">0                      B  0384000R  67          1983</t>
  </si>
  <si>
    <t xml:space="preserve">Plato's Sophist : the drama of original and image / Stanley Rosen.</t>
  </si>
  <si>
    <t xml:space="preserve">Rosen, Stanley, 1929-2014.</t>
  </si>
  <si>
    <t xml:space="preserve">2010-08-17</t>
  </si>
  <si>
    <t xml:space="preserve">836665586:eng</t>
  </si>
  <si>
    <t xml:space="preserve">9370952</t>
  </si>
  <si>
    <t xml:space="preserve">991005402109702656</t>
  </si>
  <si>
    <t xml:space="preserve">2267592640002656</t>
  </si>
  <si>
    <t xml:space="preserve">9780300029642</t>
  </si>
  <si>
    <t xml:space="preserve">32285000142678</t>
  </si>
  <si>
    <t xml:space="preserve">893501969</t>
  </si>
  <si>
    <t xml:space="preserve">B387 .C3</t>
  </si>
  <si>
    <t xml:space="preserve">0                      B  0387000C  3</t>
  </si>
  <si>
    <t xml:space="preserve">Calcidius on matter : his doctrine and sources : a chapter in the history of Platonism.</t>
  </si>
  <si>
    <t xml:space="preserve">Winden, J. C. M. van.</t>
  </si>
  <si>
    <t xml:space="preserve">Leiden : E. J. Brill, 1959.</t>
  </si>
  <si>
    <t xml:space="preserve">Philosophia antiqua; a series of monographs on ancient philosophy, v.9</t>
  </si>
  <si>
    <t xml:space="preserve">2008-09-08</t>
  </si>
  <si>
    <t xml:space="preserve">9658012201:eng</t>
  </si>
  <si>
    <t xml:space="preserve">566554</t>
  </si>
  <si>
    <t xml:space="preserve">991002998149702656</t>
  </si>
  <si>
    <t xml:space="preserve">2256303190002656</t>
  </si>
  <si>
    <t xml:space="preserve">32285000142777</t>
  </si>
  <si>
    <t xml:space="preserve">893518046</t>
  </si>
  <si>
    <t xml:space="preserve">B387 .T3</t>
  </si>
  <si>
    <t xml:space="preserve">0                      B  0387000T  3</t>
  </si>
  <si>
    <t xml:space="preserve">A commentary on Plato's Timaeus / by A. E. Taylor.</t>
  </si>
  <si>
    <t xml:space="preserve">Oxford : The Clarendon press, 1928.</t>
  </si>
  <si>
    <t xml:space="preserve">2007-09-07</t>
  </si>
  <si>
    <t xml:space="preserve">1425056:eng</t>
  </si>
  <si>
    <t xml:space="preserve">422028</t>
  </si>
  <si>
    <t xml:space="preserve">991002743959702656</t>
  </si>
  <si>
    <t xml:space="preserve">2267513690002656</t>
  </si>
  <si>
    <t xml:space="preserve">32285000142801</t>
  </si>
  <si>
    <t xml:space="preserve">893317204</t>
  </si>
  <si>
    <t xml:space="preserve">B387.A5 M65 1985</t>
  </si>
  <si>
    <t xml:space="preserve">0                      B  0387000A  5                  M  65          1985</t>
  </si>
  <si>
    <t xml:space="preserve">The Platonic cosmology / Richard D. Mohr.</t>
  </si>
  <si>
    <t xml:space="preserve">Mohr, Richard D.</t>
  </si>
  <si>
    <t xml:space="preserve">Leiden : E. J. Brill, 1985.</t>
  </si>
  <si>
    <t xml:space="preserve">Philosophia antiqua ; vol. 42</t>
  </si>
  <si>
    <t xml:space="preserve">2002-10-28</t>
  </si>
  <si>
    <t xml:space="preserve">5486207:eng</t>
  </si>
  <si>
    <t xml:space="preserve">12719187</t>
  </si>
  <si>
    <t xml:space="preserve">991000728239702656</t>
  </si>
  <si>
    <t xml:space="preserve">2271976450002656</t>
  </si>
  <si>
    <t xml:space="preserve">32285000142769</t>
  </si>
  <si>
    <t xml:space="preserve">893696102</t>
  </si>
  <si>
    <t xml:space="preserve">B393 .M35</t>
  </si>
  <si>
    <t xml:space="preserve">0                      B  0393000M  35</t>
  </si>
  <si>
    <t xml:space="preserve">Plato and Dionysius : a double biography / tr. by Joel Ames [pseud.] from the German.</t>
  </si>
  <si>
    <t xml:space="preserve">Marcuse, Ludwig, 1894-1971.</t>
  </si>
  <si>
    <t xml:space="preserve">New York : A. A. Knopf, 1947.</t>
  </si>
  <si>
    <t xml:space="preserve">805345551:eng</t>
  </si>
  <si>
    <t xml:space="preserve">531870</t>
  </si>
  <si>
    <t xml:space="preserve">991002934139702656</t>
  </si>
  <si>
    <t xml:space="preserve">2262676130002656</t>
  </si>
  <si>
    <t xml:space="preserve">32285000142918</t>
  </si>
  <si>
    <t xml:space="preserve">893342042</t>
  </si>
  <si>
    <t xml:space="preserve">B393 .T38 1971</t>
  </si>
  <si>
    <t xml:space="preserve">0                      B  0393000T  38          1971</t>
  </si>
  <si>
    <t xml:space="preserve">Freeport, N.Y. : Books for Libraries Press, [1971]</t>
  </si>
  <si>
    <t xml:space="preserve">3860305227:eng</t>
  </si>
  <si>
    <t xml:space="preserve">157751</t>
  </si>
  <si>
    <t xml:space="preserve">991000906939702656</t>
  </si>
  <si>
    <t xml:space="preserve">2256047650002656</t>
  </si>
  <si>
    <t xml:space="preserve">9780836958638</t>
  </si>
  <si>
    <t xml:space="preserve">32285000142942</t>
  </si>
  <si>
    <t xml:space="preserve">893602156</t>
  </si>
  <si>
    <t xml:space="preserve">B393 .W6</t>
  </si>
  <si>
    <t xml:space="preserve">0                      B  0393000W  6</t>
  </si>
  <si>
    <t xml:space="preserve">The son of Apollo : themes of Plato / by Frederick J.E. Woodbridge.</t>
  </si>
  <si>
    <t xml:space="preserve">Woodbridge, Frederick James Eugene, 1867-1940.</t>
  </si>
  <si>
    <t xml:space="preserve">Boston ; New York : Houghton Mifflin Company, 1929.</t>
  </si>
  <si>
    <t xml:space="preserve">484430:eng</t>
  </si>
  <si>
    <t xml:space="preserve">1474650</t>
  </si>
  <si>
    <t xml:space="preserve">991003772689702656</t>
  </si>
  <si>
    <t xml:space="preserve">2255012470002656</t>
  </si>
  <si>
    <t xml:space="preserve">32285000142959</t>
  </si>
  <si>
    <t xml:space="preserve">893349115</t>
  </si>
  <si>
    <t xml:space="preserve">B395 .B58</t>
  </si>
  <si>
    <t xml:space="preserve">0                      B  0395000B  58</t>
  </si>
  <si>
    <t xml:space="preserve">Plato's life and thought / with a trans. of the Seventh letter.</t>
  </si>
  <si>
    <t xml:space="preserve">Bluck, R. S. (Richard Stanley)</t>
  </si>
  <si>
    <t xml:space="preserve">London : Routledge &amp; Paul, [1949]</t>
  </si>
  <si>
    <t xml:space="preserve">9071561111:eng</t>
  </si>
  <si>
    <t xml:space="preserve">1383000</t>
  </si>
  <si>
    <t xml:space="preserve">991003731429702656</t>
  </si>
  <si>
    <t xml:space="preserve">2264167530002656</t>
  </si>
  <si>
    <t xml:space="preserve">32285000142967</t>
  </si>
  <si>
    <t xml:space="preserve">893336864</t>
  </si>
  <si>
    <t xml:space="preserve">B395 .D4</t>
  </si>
  <si>
    <t xml:space="preserve">0                      B  0395000D  4</t>
  </si>
  <si>
    <t xml:space="preserve">The philosophy of Plato / by Raphael Demos.</t>
  </si>
  <si>
    <t xml:space="preserve">Demos, Raphael, 1892-1968.</t>
  </si>
  <si>
    <t xml:space="preserve">New York ; Chicago [etc.] : C. Scribner's Sons, [c1939]</t>
  </si>
  <si>
    <t xml:space="preserve">1990-05-15</t>
  </si>
  <si>
    <t xml:space="preserve">1435087:eng</t>
  </si>
  <si>
    <t xml:space="preserve">1316735</t>
  </si>
  <si>
    <t xml:space="preserve">991003687749702656</t>
  </si>
  <si>
    <t xml:space="preserve">2267092790002656</t>
  </si>
  <si>
    <t xml:space="preserve">32285000143023</t>
  </si>
  <si>
    <t xml:space="preserve">893435307</t>
  </si>
  <si>
    <t xml:space="preserve">B395 .G58</t>
  </si>
  <si>
    <t xml:space="preserve">0                      B  0395000G  58</t>
  </si>
  <si>
    <t xml:space="preserve">The great thinkers on Plato / edited and selected by Barry Gross.</t>
  </si>
  <si>
    <t xml:space="preserve">Gross, Barry R., 1936- compiler.</t>
  </si>
  <si>
    <t xml:space="preserve">New York : Putnam, [1968]</t>
  </si>
  <si>
    <t xml:space="preserve">1457126:eng</t>
  </si>
  <si>
    <t xml:space="preserve">1511887</t>
  </si>
  <si>
    <t xml:space="preserve">991003792529702656</t>
  </si>
  <si>
    <t xml:space="preserve">2260089400002656</t>
  </si>
  <si>
    <t xml:space="preserve">32285000143130</t>
  </si>
  <si>
    <t xml:space="preserve">893318415</t>
  </si>
  <si>
    <t xml:space="preserve">B395 .G67 1958</t>
  </si>
  <si>
    <t xml:space="preserve">0                      B  0395000G  67          1958</t>
  </si>
  <si>
    <t xml:space="preserve">Plato's thought.</t>
  </si>
  <si>
    <t xml:space="preserve">Grube, G. M. A. (George Maximilian Anthony)</t>
  </si>
  <si>
    <t xml:space="preserve">Boston : Beacon Press, [1958]</t>
  </si>
  <si>
    <t xml:space="preserve">Beacon paperback no. 60</t>
  </si>
  <si>
    <t xml:space="preserve">2008-06-24</t>
  </si>
  <si>
    <t xml:space="preserve">559733:eng</t>
  </si>
  <si>
    <t xml:space="preserve">373630</t>
  </si>
  <si>
    <t xml:space="preserve">991002570839702656</t>
  </si>
  <si>
    <t xml:space="preserve">2261127490002656</t>
  </si>
  <si>
    <t xml:space="preserve">32285000675016</t>
  </si>
  <si>
    <t xml:space="preserve">893352397</t>
  </si>
  <si>
    <t xml:space="preserve">B395 .L6</t>
  </si>
  <si>
    <t xml:space="preserve">0                      B  0395000L  6</t>
  </si>
  <si>
    <t xml:space="preserve">The philosophy of Plato.</t>
  </si>
  <si>
    <t xml:space="preserve">Lodge, R. C. (Rupert Clendon), 1886-1961.</t>
  </si>
  <si>
    <t xml:space="preserve">New York : Humanities Press, 1956.</t>
  </si>
  <si>
    <t xml:space="preserve">2003-02-23</t>
  </si>
  <si>
    <t xml:space="preserve">375497900:eng</t>
  </si>
  <si>
    <t xml:space="preserve">4690852</t>
  </si>
  <si>
    <t xml:space="preserve">991004703419702656</t>
  </si>
  <si>
    <t xml:space="preserve">2258799020002656</t>
  </si>
  <si>
    <t xml:space="preserve">32285000143239</t>
  </si>
  <si>
    <t xml:space="preserve">893901653</t>
  </si>
  <si>
    <t xml:space="preserve">B395 .P54 1988</t>
  </si>
  <si>
    <t xml:space="preserve">0                      B  0395000P  54          1988</t>
  </si>
  <si>
    <t xml:space="preserve">Platonic writings/Platonic readings / edited by Charles L. Griswold, Jr.</t>
  </si>
  <si>
    <t xml:space="preserve">New York : Routledge, 1988.</t>
  </si>
  <si>
    <t xml:space="preserve">2006-04-27</t>
  </si>
  <si>
    <t xml:space="preserve">55024838:eng</t>
  </si>
  <si>
    <t xml:space="preserve">16924062</t>
  </si>
  <si>
    <t xml:space="preserve">991001166579702656</t>
  </si>
  <si>
    <t xml:space="preserve">2271121100002656</t>
  </si>
  <si>
    <t xml:space="preserve">9780415001878</t>
  </si>
  <si>
    <t xml:space="preserve">32285000511237</t>
  </si>
  <si>
    <t xml:space="preserve">893407906</t>
  </si>
  <si>
    <t xml:space="preserve">B395 .S48</t>
  </si>
  <si>
    <t xml:space="preserve">0                      B  0395000S  48</t>
  </si>
  <si>
    <t xml:space="preserve">Platonism : ancient and modern / by Paul Shorey.</t>
  </si>
  <si>
    <t xml:space="preserve">Shorey, Paul, 1857-1934.</t>
  </si>
  <si>
    <t xml:space="preserve">Berkeley, Calif. : University of California press, 1938.</t>
  </si>
  <si>
    <t xml:space="preserve">Sather classical lectures ; v. 14, 1938</t>
  </si>
  <si>
    <t xml:space="preserve">2005-11-03</t>
  </si>
  <si>
    <t xml:space="preserve">1990-05-18</t>
  </si>
  <si>
    <t xml:space="preserve">1364133820:eng</t>
  </si>
  <si>
    <t xml:space="preserve">1430581</t>
  </si>
  <si>
    <t xml:space="preserve">991003752519702656</t>
  </si>
  <si>
    <t xml:space="preserve">2259084910002656</t>
  </si>
  <si>
    <t xml:space="preserve">32285000143718</t>
  </si>
  <si>
    <t xml:space="preserve">893505949</t>
  </si>
  <si>
    <t xml:space="preserve">B395 .S53 1965</t>
  </si>
  <si>
    <t xml:space="preserve">0                      B  0395000S  53          1965</t>
  </si>
  <si>
    <t xml:space="preserve">What Plato said.</t>
  </si>
  <si>
    <t xml:space="preserve">Abridged ed.</t>
  </si>
  <si>
    <t xml:space="preserve">Phoenix books ; P184</t>
  </si>
  <si>
    <t xml:space="preserve">1998-05-26</t>
  </si>
  <si>
    <t xml:space="preserve">419277:eng</t>
  </si>
  <si>
    <t xml:space="preserve">372550</t>
  </si>
  <si>
    <t xml:space="preserve">991002565549702656</t>
  </si>
  <si>
    <t xml:space="preserve">2261577160002656</t>
  </si>
  <si>
    <t xml:space="preserve">32285000143742</t>
  </si>
  <si>
    <t xml:space="preserve">893227004</t>
  </si>
  <si>
    <t xml:space="preserve">B395 .T24 1960</t>
  </si>
  <si>
    <t xml:space="preserve">0                      B  0395000T  24          1960</t>
  </si>
  <si>
    <t xml:space="preserve">The mind of Plato (originally Plato)</t>
  </si>
  <si>
    <t xml:space="preserve">[Ann Arbor] : University of Michigan Press, [1960]</t>
  </si>
  <si>
    <t xml:space="preserve">Ann Arbor paperbacks ; AA41</t>
  </si>
  <si>
    <t xml:space="preserve">2002-07-26</t>
  </si>
  <si>
    <t xml:space="preserve">12509008:eng</t>
  </si>
  <si>
    <t xml:space="preserve">31373007</t>
  </si>
  <si>
    <t xml:space="preserve">991002565519702656</t>
  </si>
  <si>
    <t xml:space="preserve">2261575930002656</t>
  </si>
  <si>
    <t xml:space="preserve">32285000143783</t>
  </si>
  <si>
    <t xml:space="preserve">893697959</t>
  </si>
  <si>
    <t xml:space="preserve">B395 .T25</t>
  </si>
  <si>
    <t xml:space="preserve">0                      B  0395000T  25</t>
  </si>
  <si>
    <t xml:space="preserve">Plato : the man and his work / by A. E. Taylor.</t>
  </si>
  <si>
    <t xml:space="preserve">London : Methuen, 1948.</t>
  </si>
  <si>
    <t xml:space="preserve">5th ed.</t>
  </si>
  <si>
    <t xml:space="preserve">1679938:eng</t>
  </si>
  <si>
    <t xml:space="preserve">4763911</t>
  </si>
  <si>
    <t xml:space="preserve">991004710929702656</t>
  </si>
  <si>
    <t xml:space="preserve">2261475140002656</t>
  </si>
  <si>
    <t xml:space="preserve">32285000143791</t>
  </si>
  <si>
    <t xml:space="preserve">893722567</t>
  </si>
  <si>
    <t xml:space="preserve">B395 .V58 1981</t>
  </si>
  <si>
    <t xml:space="preserve">0                      B  0395000V  58          1981</t>
  </si>
  <si>
    <t xml:space="preserve">Platonic studies / Gregory Vlastos.</t>
  </si>
  <si>
    <t xml:space="preserve">Vlastos, Gregory.</t>
  </si>
  <si>
    <t xml:space="preserve">Princeton, N.J. : Princeton University Press, 1981.</t>
  </si>
  <si>
    <t xml:space="preserve">Second ed.</t>
  </si>
  <si>
    <t xml:space="preserve">2001-02-20</t>
  </si>
  <si>
    <t xml:space="preserve">1723757:eng</t>
  </si>
  <si>
    <t xml:space="preserve">8350154</t>
  </si>
  <si>
    <t xml:space="preserve">991005234249702656</t>
  </si>
  <si>
    <t xml:space="preserve">2260176470002656</t>
  </si>
  <si>
    <t xml:space="preserve">9780691071626</t>
  </si>
  <si>
    <t xml:space="preserve">32285000143841</t>
  </si>
  <si>
    <t xml:space="preserve">893326434</t>
  </si>
  <si>
    <t xml:space="preserve">B395 .W67</t>
  </si>
  <si>
    <t xml:space="preserve">0                      B  0395000W  67</t>
  </si>
  <si>
    <t xml:space="preserve">Plato's theory of man : an introduction to the realistic philosophy of culture / by John Wild.</t>
  </si>
  <si>
    <t xml:space="preserve">Wild, John, 1902-1972.</t>
  </si>
  <si>
    <t xml:space="preserve">Cambridge, Mass. : Harvard University Press, 1946.</t>
  </si>
  <si>
    <t xml:space="preserve">2004-04-21</t>
  </si>
  <si>
    <t xml:space="preserve">572568:eng</t>
  </si>
  <si>
    <t xml:space="preserve">13954546</t>
  </si>
  <si>
    <t xml:space="preserve">991002033369702656</t>
  </si>
  <si>
    <t xml:space="preserve">2262535200002656</t>
  </si>
  <si>
    <t xml:space="preserve">32285000143908</t>
  </si>
  <si>
    <t xml:space="preserve">893334853</t>
  </si>
  <si>
    <t xml:space="preserve">B398.A4 J36 1995</t>
  </si>
  <si>
    <t xml:space="preserve">0                      B  0398000A  4                  J  36          1995</t>
  </si>
  <si>
    <t xml:space="preserve">Images of excellence : Plato's critique of the arts / Christopher Janaway.</t>
  </si>
  <si>
    <t xml:space="preserve">Janaway, Christopher.</t>
  </si>
  <si>
    <t xml:space="preserve">1996-03-25</t>
  </si>
  <si>
    <t xml:space="preserve">27887582:eng</t>
  </si>
  <si>
    <t xml:space="preserve">32791288</t>
  </si>
  <si>
    <t xml:space="preserve">991002522029702656</t>
  </si>
  <si>
    <t xml:space="preserve">2260378730002656</t>
  </si>
  <si>
    <t xml:space="preserve">9780198240075</t>
  </si>
  <si>
    <t xml:space="preserve">32285002146420</t>
  </si>
  <si>
    <t xml:space="preserve">893245281</t>
  </si>
  <si>
    <t xml:space="preserve">B398.A9 A4</t>
  </si>
  <si>
    <t xml:space="preserve">0                      B  0398000A  9                  A  4</t>
  </si>
  <si>
    <t xml:space="preserve">Studies in Plato's metaphysics / edited by R.E. Allen.</t>
  </si>
  <si>
    <t xml:space="preserve">Allen, Reginald E., 1931-2007, editor.</t>
  </si>
  <si>
    <t xml:space="preserve">New York : Humanities Press, [1965]</t>
  </si>
  <si>
    <t xml:space="preserve">1998-07-10</t>
  </si>
  <si>
    <t xml:space="preserve">1452550:eng</t>
  </si>
  <si>
    <t xml:space="preserve">372490</t>
  </si>
  <si>
    <t xml:space="preserve">991004450749702656</t>
  </si>
  <si>
    <t xml:space="preserve">2258781920002656</t>
  </si>
  <si>
    <t xml:space="preserve">32285000143965</t>
  </si>
  <si>
    <t xml:space="preserve">893430072</t>
  </si>
  <si>
    <t xml:space="preserve">B398.E8 G2913 1986</t>
  </si>
  <si>
    <t xml:space="preserve">0                      B  0398000E  8                  G  2913        1986</t>
  </si>
  <si>
    <t xml:space="preserve">The idea of the good in Platonic-Aristotelian philosophy / Hans-Georg Gadamer ; translated and with an introduction and annotation by P. Christopher Smith.</t>
  </si>
  <si>
    <t xml:space="preserve">New Haven, CT : Yale University Press, c1986.</t>
  </si>
  <si>
    <t xml:space="preserve">2908495406:eng</t>
  </si>
  <si>
    <t xml:space="preserve">12584472</t>
  </si>
  <si>
    <t xml:space="preserve">991000711799702656</t>
  </si>
  <si>
    <t xml:space="preserve">2271167640002656</t>
  </si>
  <si>
    <t xml:space="preserve">9780300034639</t>
  </si>
  <si>
    <t xml:space="preserve">32285000143973</t>
  </si>
  <si>
    <t xml:space="preserve">893407443</t>
  </si>
  <si>
    <t xml:space="preserve">B398.E8 O2</t>
  </si>
  <si>
    <t xml:space="preserve">0                      B  0398000E  8                  O  2</t>
  </si>
  <si>
    <t xml:space="preserve">The Socratic paradoxes and the Greek mind / [by] Michael J. O'Brien.</t>
  </si>
  <si>
    <t xml:space="preserve">O'Brien, Michael J. (Michael John), 1950-</t>
  </si>
  <si>
    <t xml:space="preserve">Chapel Hill : University of North Carolina Press, [1967]</t>
  </si>
  <si>
    <t xml:space="preserve">ncu</t>
  </si>
  <si>
    <t xml:space="preserve">2005-03-11</t>
  </si>
  <si>
    <t xml:space="preserve">118299551:eng</t>
  </si>
  <si>
    <t xml:space="preserve">712505</t>
  </si>
  <si>
    <t xml:space="preserve">991003184529702656</t>
  </si>
  <si>
    <t xml:space="preserve">2256667330002656</t>
  </si>
  <si>
    <t xml:space="preserve">32285000144039</t>
  </si>
  <si>
    <t xml:space="preserve">893323842</t>
  </si>
  <si>
    <t xml:space="preserve">B398.K7 G8</t>
  </si>
  <si>
    <t xml:space="preserve">0                      B  0398000K  7                  G  8</t>
  </si>
  <si>
    <t xml:space="preserve">Plato's theory of knowledge.</t>
  </si>
  <si>
    <t xml:space="preserve">Gulley, Norman.</t>
  </si>
  <si>
    <t xml:space="preserve">London : Methuen ; New York : Barnes &amp; Noble, [1962]</t>
  </si>
  <si>
    <t xml:space="preserve">1999-03-19</t>
  </si>
  <si>
    <t xml:space="preserve">4155206737:eng</t>
  </si>
  <si>
    <t xml:space="preserve">368440</t>
  </si>
  <si>
    <t xml:space="preserve">991002544239702656</t>
  </si>
  <si>
    <t xml:space="preserve">2267723840002656</t>
  </si>
  <si>
    <t xml:space="preserve">32285000144120</t>
  </si>
  <si>
    <t xml:space="preserve">893329219</t>
  </si>
  <si>
    <t xml:space="preserve">B398.K7 R8</t>
  </si>
  <si>
    <t xml:space="preserve">0                      B  0398000K  7                  R  8</t>
  </si>
  <si>
    <t xml:space="preserve">Plato's later epistemology.</t>
  </si>
  <si>
    <t xml:space="preserve">Runciman, W. G. (Walter Garrison), 1934-</t>
  </si>
  <si>
    <t xml:space="preserve">Cambridge [Eng.] : University Press, 1962.</t>
  </si>
  <si>
    <t xml:space="preserve">Cambridge classical studies</t>
  </si>
  <si>
    <t xml:space="preserve">2008-06-25</t>
  </si>
  <si>
    <t xml:space="preserve">2440101:eng</t>
  </si>
  <si>
    <t xml:space="preserve">1542591</t>
  </si>
  <si>
    <t xml:space="preserve">991003813369702656</t>
  </si>
  <si>
    <t xml:space="preserve">2262895010002656</t>
  </si>
  <si>
    <t xml:space="preserve">32285000232909</t>
  </si>
  <si>
    <t xml:space="preserve">893318439</t>
  </si>
  <si>
    <t xml:space="preserve">B3997 .A44</t>
  </si>
  <si>
    <t xml:space="preserve">0                      B  3997000A  44</t>
  </si>
  <si>
    <t xml:space="preserve">Benedict de Spinoza / by Henry E. Allison.</t>
  </si>
  <si>
    <t xml:space="preserve">Allison, Henry E.</t>
  </si>
  <si>
    <t xml:space="preserve">Boston : Twayne Publishers, [1975]</t>
  </si>
  <si>
    <t xml:space="preserve">Twayne's world authors series ; TWAS 351 : The Netherlands</t>
  </si>
  <si>
    <t xml:space="preserve">2009-03-02</t>
  </si>
  <si>
    <t xml:space="preserve">1991-02-13</t>
  </si>
  <si>
    <t xml:space="preserve">3855363386:eng</t>
  </si>
  <si>
    <t xml:space="preserve">1176849</t>
  </si>
  <si>
    <t xml:space="preserve">991003599069702656</t>
  </si>
  <si>
    <t xml:space="preserve">2269663280002656</t>
  </si>
  <si>
    <t xml:space="preserve">9780805728538</t>
  </si>
  <si>
    <t xml:space="preserve">32285000458520</t>
  </si>
  <si>
    <t xml:space="preserve">893799921</t>
  </si>
  <si>
    <t xml:space="preserve">B3997 .S34 1986</t>
  </si>
  <si>
    <t xml:space="preserve">0                      B  3997000S  34          1986</t>
  </si>
  <si>
    <t xml:space="preserve">Spinoza / Roger Scruton.</t>
  </si>
  <si>
    <t xml:space="preserve">Scruton, Roger.</t>
  </si>
  <si>
    <t xml:space="preserve">Oxford [Oxfordshire] ; New York : Oxford University Press, 1986.</t>
  </si>
  <si>
    <t xml:space="preserve">3943379732:eng</t>
  </si>
  <si>
    <t xml:space="preserve">13794510</t>
  </si>
  <si>
    <t xml:space="preserve">991000873079702656</t>
  </si>
  <si>
    <t xml:space="preserve">2269711370002656</t>
  </si>
  <si>
    <t xml:space="preserve">9780192876317</t>
  </si>
  <si>
    <t xml:space="preserve">32285000458546</t>
  </si>
  <si>
    <t xml:space="preserve">893231495</t>
  </si>
  <si>
    <t xml:space="preserve">B3998 .D8 1970</t>
  </si>
  <si>
    <t xml:space="preserve">0                      B  3998000D  8           1970</t>
  </si>
  <si>
    <t xml:space="preserve">Spinoza's political and ethical philosophy / by Robert A. Duff.</t>
  </si>
  <si>
    <t xml:space="preserve">Duff, Robert Alexander.</t>
  </si>
  <si>
    <t xml:space="preserve">New York : A. M. Kelley, 1970.</t>
  </si>
  <si>
    <t xml:space="preserve">431573:eng</t>
  </si>
  <si>
    <t xml:space="preserve">74825</t>
  </si>
  <si>
    <t xml:space="preserve">991000425159702656</t>
  </si>
  <si>
    <t xml:space="preserve">2272226670002656</t>
  </si>
  <si>
    <t xml:space="preserve">9780678006153</t>
  </si>
  <si>
    <t xml:space="preserve">32285000458579</t>
  </si>
  <si>
    <t xml:space="preserve">893351519</t>
  </si>
  <si>
    <t xml:space="preserve">B3998 .F7 1975</t>
  </si>
  <si>
    <t xml:space="preserve">0                      B  3998000F  7           1975</t>
  </si>
  <si>
    <t xml:space="preserve">Spinoza : essays in interpretation / edited by Eugene Freeman and Maurice Mandelbaum.</t>
  </si>
  <si>
    <t xml:space="preserve">Freeman, Eugene, 1906-1986, compiler.</t>
  </si>
  <si>
    <t xml:space="preserve">La Salle, Ill. : Open Court, [1975]</t>
  </si>
  <si>
    <t xml:space="preserve">2002-10-09</t>
  </si>
  <si>
    <t xml:space="preserve">918678904:eng</t>
  </si>
  <si>
    <t xml:space="preserve">745709</t>
  </si>
  <si>
    <t xml:space="preserve">991003219599702656</t>
  </si>
  <si>
    <t xml:space="preserve">2268874900002656</t>
  </si>
  <si>
    <t xml:space="preserve">9780875480794</t>
  </si>
  <si>
    <t xml:space="preserve">32285000458595</t>
  </si>
  <si>
    <t xml:space="preserve">893227811</t>
  </si>
  <si>
    <t xml:space="preserve">B3998 .H27</t>
  </si>
  <si>
    <t xml:space="preserve">0                      B  3998000H  27</t>
  </si>
  <si>
    <t xml:space="preserve">Salvation from despair : a reappraisal of Spinoza's philosophy / [by] Errol E. Harris.</t>
  </si>
  <si>
    <t xml:space="preserve">Harris, Errol E.</t>
  </si>
  <si>
    <t xml:space="preserve">The Hague : Martinus Nijhoff, 1973.</t>
  </si>
  <si>
    <t xml:space="preserve">International archives of the history of ideas, 59</t>
  </si>
  <si>
    <t xml:space="preserve">198264133:eng</t>
  </si>
  <si>
    <t xml:space="preserve">798256</t>
  </si>
  <si>
    <t xml:space="preserve">991003273369702656</t>
  </si>
  <si>
    <t xml:space="preserve">2261225060002656</t>
  </si>
  <si>
    <t xml:space="preserve">9789024751587</t>
  </si>
  <si>
    <t xml:space="preserve">32285000458645</t>
  </si>
  <si>
    <t xml:space="preserve">893246204</t>
  </si>
  <si>
    <t xml:space="preserve">B3998 .S744</t>
  </si>
  <si>
    <t xml:space="preserve">0                      B  3998000S  744</t>
  </si>
  <si>
    <t xml:space="preserve">Spinoza : new perspectives / edited by Robert W. Shahan and J. I. Biro. --</t>
  </si>
  <si>
    <t xml:space="preserve">Norman : University of Oklahoma, c1978.</t>
  </si>
  <si>
    <t xml:space="preserve">oku</t>
  </si>
  <si>
    <t xml:space="preserve">2008-07-01</t>
  </si>
  <si>
    <t xml:space="preserve">3857188788:eng</t>
  </si>
  <si>
    <t xml:space="preserve">3516587</t>
  </si>
  <si>
    <t xml:space="preserve">991004453009702656</t>
  </si>
  <si>
    <t xml:space="preserve">2272477340002656</t>
  </si>
  <si>
    <t xml:space="preserve">9780806114590</t>
  </si>
  <si>
    <t xml:space="preserve">32285000458694</t>
  </si>
  <si>
    <t xml:space="preserve">893253702</t>
  </si>
  <si>
    <t xml:space="preserve">B3998 .S75 1973</t>
  </si>
  <si>
    <t xml:space="preserve">0                      B  3998000S  75          1973</t>
  </si>
  <si>
    <t xml:space="preserve">Spinoza on knowing, being and freedom; proceedings of the Spinoza Symposium at the International School of Philosophy in the Netherlands, Leusden, September 1973. Edited by J. G. van der Bend.</t>
  </si>
  <si>
    <t xml:space="preserve">Spinoza Symposium (1973 : Leusden-Zuid, Netherlands)</t>
  </si>
  <si>
    <t xml:space="preserve">Assen, Van Gorcum, 1974.</t>
  </si>
  <si>
    <t xml:space="preserve">2002-11-11</t>
  </si>
  <si>
    <t xml:space="preserve">2058978:eng</t>
  </si>
  <si>
    <t xml:space="preserve">1089435</t>
  </si>
  <si>
    <t xml:space="preserve">991003526269702656</t>
  </si>
  <si>
    <t xml:space="preserve">2272365370002656</t>
  </si>
  <si>
    <t xml:space="preserve">9789023211501</t>
  </si>
  <si>
    <t xml:space="preserve">32285000458702</t>
  </si>
  <si>
    <t xml:space="preserve">893874852</t>
  </si>
  <si>
    <t xml:space="preserve">B3998 .W48</t>
  </si>
  <si>
    <t xml:space="preserve">0                      B  3998000W  48</t>
  </si>
  <si>
    <t xml:space="preserve">The sage and the way : Spinoza's ethics of freedom / Jon Wetlesen.</t>
  </si>
  <si>
    <t xml:space="preserve">Wetlesen, Jon.</t>
  </si>
  <si>
    <t xml:space="preserve">Assen : Van Gorcum, 1979.</t>
  </si>
  <si>
    <t xml:space="preserve">Philosophia Spinozae perennis ; 4</t>
  </si>
  <si>
    <t xml:space="preserve">1991-02-18</t>
  </si>
  <si>
    <t xml:space="preserve">5091336449:eng</t>
  </si>
  <si>
    <t xml:space="preserve">5401493</t>
  </si>
  <si>
    <t xml:space="preserve">991004781759702656</t>
  </si>
  <si>
    <t xml:space="preserve">2270057230002656</t>
  </si>
  <si>
    <t xml:space="preserve">9789023215967</t>
  </si>
  <si>
    <t xml:space="preserve">32285000459452</t>
  </si>
  <si>
    <t xml:space="preserve">893332039</t>
  </si>
  <si>
    <t xml:space="preserve">B3998 .W65 1969</t>
  </si>
  <si>
    <t xml:space="preserve">0                      B  3998000W  65          1969</t>
  </si>
  <si>
    <t xml:space="preserve">The philosophy of Spinoza : unfolding the latent processes of his reasoning.</t>
  </si>
  <si>
    <t xml:space="preserve">Wolfson, Harry Austryn, 1887-1974.</t>
  </si>
  <si>
    <t xml:space="preserve">New York : Schocken Books, [1969, c1934]</t>
  </si>
  <si>
    <t xml:space="preserve">4535624117:eng</t>
  </si>
  <si>
    <t xml:space="preserve">45178</t>
  </si>
  <si>
    <t xml:space="preserve">991000102719702656</t>
  </si>
  <si>
    <t xml:space="preserve">2261625160002656</t>
  </si>
  <si>
    <t xml:space="preserve">32285000459478</t>
  </si>
  <si>
    <t xml:space="preserve">893689430</t>
  </si>
  <si>
    <t xml:space="preserve">B3998 .W65 1969 V2</t>
  </si>
  <si>
    <t xml:space="preserve">0                      B  3998000W  65          1969   V  2</t>
  </si>
  <si>
    <t xml:space="preserve">32285000459486</t>
  </si>
  <si>
    <t xml:space="preserve">893714310</t>
  </si>
  <si>
    <t xml:space="preserve">B3998 .Y67 1992</t>
  </si>
  <si>
    <t xml:space="preserve">0                      B  3998000Y  67          1992</t>
  </si>
  <si>
    <t xml:space="preserve">Spinoza and other heretics / Yirmiyahu Yovel ; with a new afterword by the author.</t>
  </si>
  <si>
    <t xml:space="preserve">Yovel, Yirmiyahu.</t>
  </si>
  <si>
    <t xml:space="preserve">Princeton, N.J. : Princeton University Press, 1992.</t>
  </si>
  <si>
    <t xml:space="preserve">1992-10-19</t>
  </si>
  <si>
    <t xml:space="preserve">4820471637:eng</t>
  </si>
  <si>
    <t xml:space="preserve">24378397</t>
  </si>
  <si>
    <t xml:space="preserve">991001931309702656</t>
  </si>
  <si>
    <t xml:space="preserve">2266413770002656</t>
  </si>
  <si>
    <t xml:space="preserve">9780691020785</t>
  </si>
  <si>
    <t xml:space="preserve">32285001318475</t>
  </si>
  <si>
    <t xml:space="preserve">893408490</t>
  </si>
  <si>
    <t xml:space="preserve">B3999.K7 P3 1964</t>
  </si>
  <si>
    <t xml:space="preserve">0                      B  3999000K  7                  P  3           1964</t>
  </si>
  <si>
    <t xml:space="preserve">Spinoza's theory of knowledge.</t>
  </si>
  <si>
    <t xml:space="preserve">Parkinson, G. H. R. (George Henry Radcliffe)</t>
  </si>
  <si>
    <t xml:space="preserve">Oxford : Clarendon Press, 1964.</t>
  </si>
  <si>
    <t xml:space="preserve">1556289:eng</t>
  </si>
  <si>
    <t xml:space="preserve">40284861</t>
  </si>
  <si>
    <t xml:space="preserve">991002569639702656</t>
  </si>
  <si>
    <t xml:space="preserve">2261186380002656</t>
  </si>
  <si>
    <t xml:space="preserve">32285000459528</t>
  </si>
  <si>
    <t xml:space="preserve">893886456</t>
  </si>
  <si>
    <t xml:space="preserve">B3999.L3 B45</t>
  </si>
  <si>
    <t xml:space="preserve">0                      B  3999000L  3                  B  45</t>
  </si>
  <si>
    <t xml:space="preserve">Spinoza's philosophy of law.</t>
  </si>
  <si>
    <t xml:space="preserve">Belaief, Gail.</t>
  </si>
  <si>
    <t xml:space="preserve">Studies in philosophy ; 24</t>
  </si>
  <si>
    <t xml:space="preserve">2004-12-22</t>
  </si>
  <si>
    <t xml:space="preserve">1506191:eng</t>
  </si>
  <si>
    <t xml:space="preserve">298673</t>
  </si>
  <si>
    <t xml:space="preserve">991002250349702656</t>
  </si>
  <si>
    <t xml:space="preserve">2264972090002656</t>
  </si>
  <si>
    <t xml:space="preserve">32285000459536</t>
  </si>
  <si>
    <t xml:space="preserve">893257066</t>
  </si>
  <si>
    <t xml:space="preserve">B3999.M45 S68</t>
  </si>
  <si>
    <t xml:space="preserve">0                      B  3999000M  45                 S  68</t>
  </si>
  <si>
    <t xml:space="preserve">Spinoza's metaphysics : essays in critical appreciation / ed. by James B. Wilbur.</t>
  </si>
  <si>
    <t xml:space="preserve">Assen : Van Gorcum, 1976.</t>
  </si>
  <si>
    <t xml:space="preserve">Philosophia Spinozae perennis ; 1</t>
  </si>
  <si>
    <t xml:space="preserve">2010-11-18</t>
  </si>
  <si>
    <t xml:space="preserve">6057629:eng</t>
  </si>
  <si>
    <t xml:space="preserve">2807287</t>
  </si>
  <si>
    <t xml:space="preserve">991004249989702656</t>
  </si>
  <si>
    <t xml:space="preserve">2267952700002656</t>
  </si>
  <si>
    <t xml:space="preserve">9789023213611</t>
  </si>
  <si>
    <t xml:space="preserve">32285000459551</t>
  </si>
  <si>
    <t xml:space="preserve">893423566</t>
  </si>
  <si>
    <t xml:space="preserve">B401 .O7 1966</t>
  </si>
  <si>
    <t xml:space="preserve">0                      B  0401000O  7           1966</t>
  </si>
  <si>
    <t xml:space="preserve">An index to Aristotle in English translation.</t>
  </si>
  <si>
    <t xml:space="preserve">New York : Gordian Press, 1966.</t>
  </si>
  <si>
    <t xml:space="preserve">1997-08-14</t>
  </si>
  <si>
    <t xml:space="preserve">1457117:eng</t>
  </si>
  <si>
    <t xml:space="preserve">373668</t>
  </si>
  <si>
    <t xml:space="preserve">991002571149702656</t>
  </si>
  <si>
    <t xml:space="preserve">2261187670002656</t>
  </si>
  <si>
    <t xml:space="preserve">32285000144393</t>
  </si>
  <si>
    <t xml:space="preserve">893603750</t>
  </si>
  <si>
    <t xml:space="preserve">B41 .G8</t>
  </si>
  <si>
    <t xml:space="preserve">0                      B  0041000G  8</t>
  </si>
  <si>
    <t xml:space="preserve">Philosophy A to Z / edited under the supervision of James Gutmann.</t>
  </si>
  <si>
    <t xml:space="preserve">Gutmann, James, 1897-1988.</t>
  </si>
  <si>
    <t xml:space="preserve">New York : Grosset &amp; Dunlap, [1963]</t>
  </si>
  <si>
    <t xml:space="preserve">Universal reference library</t>
  </si>
  <si>
    <t xml:space="preserve">3856210657:eng</t>
  </si>
  <si>
    <t xml:space="preserve">368665</t>
  </si>
  <si>
    <t xml:space="preserve">991002545359702656</t>
  </si>
  <si>
    <t xml:space="preserve">2267602140002656</t>
  </si>
  <si>
    <t xml:space="preserve">32285000068063</t>
  </si>
  <si>
    <t xml:space="preserve">893409216</t>
  </si>
  <si>
    <t xml:space="preserve">B415 .A955</t>
  </si>
  <si>
    <t xml:space="preserve">0                      B  0415000A  955</t>
  </si>
  <si>
    <t xml:space="preserve">Commentarium magnum in Aristotelis De anima libros / Recensuit F. Stuart Crawford.</t>
  </si>
  <si>
    <t xml:space="preserve">Cambridge, Mass. : Mediaeval Academy of America, 1953.</t>
  </si>
  <si>
    <t xml:space="preserve">His Corpus commentariorum in Aristotelem. Versio Latina, v. VI, 1</t>
  </si>
  <si>
    <t xml:space="preserve">2006-02-13</t>
  </si>
  <si>
    <t xml:space="preserve">3857282365:lat</t>
  </si>
  <si>
    <t xml:space="preserve">24782807</t>
  </si>
  <si>
    <t xml:space="preserve">991003534159702656</t>
  </si>
  <si>
    <t xml:space="preserve">2266584340002656</t>
  </si>
  <si>
    <t xml:space="preserve">32285000144559</t>
  </si>
  <si>
    <t xml:space="preserve">893805886</t>
  </si>
  <si>
    <t xml:space="preserve">B415 .W4</t>
  </si>
  <si>
    <t xml:space="preserve">0                      B  0415000W  4</t>
  </si>
  <si>
    <t xml:space="preserve">Hegel's critique of Aristotle's philosophy of mind.</t>
  </si>
  <si>
    <t xml:space="preserve">The Hague : Martinus Nijhoff, 1969.</t>
  </si>
  <si>
    <t xml:space="preserve">1224385:eng</t>
  </si>
  <si>
    <t xml:space="preserve">62156</t>
  </si>
  <si>
    <t xml:space="preserve">991000176909702656</t>
  </si>
  <si>
    <t xml:space="preserve">2255263640002656</t>
  </si>
  <si>
    <t xml:space="preserve">32285000144583</t>
  </si>
  <si>
    <t xml:space="preserve">893249158</t>
  </si>
  <si>
    <t xml:space="preserve">B415.A9 A5</t>
  </si>
  <si>
    <t xml:space="preserve">0                      B  0415000A  9                  A  5</t>
  </si>
  <si>
    <t xml:space="preserve">Aristole's theory of practical cognition / by Takatura Ando.</t>
  </si>
  <si>
    <t xml:space="preserve">Andō, Takatsura, 1911-1984.</t>
  </si>
  <si>
    <t xml:space="preserve">Hague : Nijhoff, 1965.</t>
  </si>
  <si>
    <t xml:space="preserve">2003-04-01</t>
  </si>
  <si>
    <t xml:space="preserve">1845406:eng</t>
  </si>
  <si>
    <t xml:space="preserve">873312</t>
  </si>
  <si>
    <t xml:space="preserve">991005039169702656</t>
  </si>
  <si>
    <t xml:space="preserve">2261941200002656</t>
  </si>
  <si>
    <t xml:space="preserve">32285000144542</t>
  </si>
  <si>
    <t xml:space="preserve">893263569</t>
  </si>
  <si>
    <t xml:space="preserve">B415.T34 P5</t>
  </si>
  <si>
    <t xml:space="preserve">0                      B  0415000T  34                 P  5</t>
  </si>
  <si>
    <t xml:space="preserve">In Aristotelis librum de anima : commentarium.</t>
  </si>
  <si>
    <t xml:space="preserve">Thomas, Aquinas, Saint, 1225?-1274.</t>
  </si>
  <si>
    <t xml:space="preserve">Taurini : Marietti, 1936.</t>
  </si>
  <si>
    <t xml:space="preserve">2d. ed.</t>
  </si>
  <si>
    <t xml:space="preserve">3856500409:lat</t>
  </si>
  <si>
    <t xml:space="preserve">6957515</t>
  </si>
  <si>
    <t xml:space="preserve">991005386619702656</t>
  </si>
  <si>
    <t xml:space="preserve">2256290000002656</t>
  </si>
  <si>
    <t xml:space="preserve">32285000156181</t>
  </si>
  <si>
    <t xml:space="preserve">893802220</t>
  </si>
  <si>
    <t xml:space="preserve">B4201 .Z413</t>
  </si>
  <si>
    <t xml:space="preserve">0                      B  4201000Z  413</t>
  </si>
  <si>
    <t xml:space="preserve">A history of Russian philosophy / authorized translation from the Russian by George L. Kline.</t>
  </si>
  <si>
    <t xml:space="preserve">Zenʹkovskiĭ, V. V. (Vasiliĭ Vasilʹevich), 1881-1962.</t>
  </si>
  <si>
    <t xml:space="preserve">New York : Columbia University Press, 1953.</t>
  </si>
  <si>
    <t xml:space="preserve">Columbia Slavic studies</t>
  </si>
  <si>
    <t xml:space="preserve">2004-08-26</t>
  </si>
  <si>
    <t xml:space="preserve">10252267576:eng</t>
  </si>
  <si>
    <t xml:space="preserve">373371</t>
  </si>
  <si>
    <t xml:space="preserve">991002569709702656</t>
  </si>
  <si>
    <t xml:space="preserve">2261131440002656</t>
  </si>
  <si>
    <t xml:space="preserve">32285000459627</t>
  </si>
  <si>
    <t xml:space="preserve">893329255</t>
  </si>
  <si>
    <t xml:space="preserve">B4201 .Z413 V2</t>
  </si>
  <si>
    <t xml:space="preserve">0                      B  4201000Z  413                V  2</t>
  </si>
  <si>
    <t xml:space="preserve">32285000459635</t>
  </si>
  <si>
    <t xml:space="preserve">893323097</t>
  </si>
  <si>
    <t xml:space="preserve">B4238.B44 V3</t>
  </si>
  <si>
    <t xml:space="preserve">0                      B  4238000B  44                 V  3</t>
  </si>
  <si>
    <t xml:space="preserve">An apostle of freedom : life and teachings of Nicolas Berdyaev.</t>
  </si>
  <si>
    <t xml:space="preserve">Vallon, Michel Alexander.</t>
  </si>
  <si>
    <t xml:space="preserve">2000-07-06</t>
  </si>
  <si>
    <t xml:space="preserve">2227206:eng</t>
  </si>
  <si>
    <t xml:space="preserve">1338524</t>
  </si>
  <si>
    <t xml:space="preserve">991003702049702656</t>
  </si>
  <si>
    <t xml:space="preserve">2257727140002656</t>
  </si>
  <si>
    <t xml:space="preserve">32285000459767</t>
  </si>
  <si>
    <t xml:space="preserve">893349031</t>
  </si>
  <si>
    <t xml:space="preserve">B43 .R59</t>
  </si>
  <si>
    <t xml:space="preserve">0                      B  0043000R  59</t>
  </si>
  <si>
    <t xml:space="preserve">Historisches Wörterbuch der Philosophie. Unter Mitw. von mehr als 700 Fachgelehrten in Verb. mit Günther Bien [u. a.] Hrsg. von Joachim Ritter.</t>
  </si>
  <si>
    <t xml:space="preserve">Basel, Stuttgart, Schwabe (1971-</t>
  </si>
  <si>
    <t xml:space="preserve">Völlig neubearb. Ausg. des Wörterbuchs der philosophischen Begriffe von Rudolf Eisler.</t>
  </si>
  <si>
    <t xml:space="preserve">2002-04-04</t>
  </si>
  <si>
    <t xml:space="preserve">2005-07-06</t>
  </si>
  <si>
    <t xml:space="preserve">2007-09-17</t>
  </si>
  <si>
    <t xml:space="preserve">4915955652:ger</t>
  </si>
  <si>
    <t xml:space="preserve">7835999</t>
  </si>
  <si>
    <t xml:space="preserve">991001557629702656</t>
  </si>
  <si>
    <t xml:space="preserve">2256539320002656</t>
  </si>
  <si>
    <t xml:space="preserve">9783796501159</t>
  </si>
  <si>
    <t xml:space="preserve">32285004466552</t>
  </si>
  <si>
    <t xml:space="preserve">893897861</t>
  </si>
  <si>
    <t xml:space="preserve">31065-12001</t>
  </si>
  <si>
    <t xml:space="preserve">893903457</t>
  </si>
  <si>
    <t xml:space="preserve">1993-02-11</t>
  </si>
  <si>
    <t xml:space="preserve">32285001533248</t>
  </si>
  <si>
    <t xml:space="preserve">893897860</t>
  </si>
  <si>
    <t xml:space="preserve">32285005306161</t>
  </si>
  <si>
    <t xml:space="preserve">893903454</t>
  </si>
  <si>
    <t xml:space="preserve">32285003392205</t>
  </si>
  <si>
    <t xml:space="preserve">893878955</t>
  </si>
  <si>
    <t xml:space="preserve">2017-09-07</t>
  </si>
  <si>
    <t xml:space="preserve">32285003576211</t>
  </si>
  <si>
    <t xml:space="preserve">893866310</t>
  </si>
  <si>
    <t xml:space="preserve">V. 7</t>
  </si>
  <si>
    <t xml:space="preserve">32285003392247</t>
  </si>
  <si>
    <t xml:space="preserve">893903458</t>
  </si>
  <si>
    <t xml:space="preserve">2007-07-20</t>
  </si>
  <si>
    <t xml:space="preserve">32285005254551</t>
  </si>
  <si>
    <t xml:space="preserve">893903455</t>
  </si>
  <si>
    <t xml:space="preserve">32285003392189</t>
  </si>
  <si>
    <t xml:space="preserve">893897862</t>
  </si>
  <si>
    <t xml:space="preserve">32285004934997</t>
  </si>
  <si>
    <t xml:space="preserve">893903456</t>
  </si>
  <si>
    <t xml:space="preserve">32285003392213</t>
  </si>
  <si>
    <t xml:space="preserve">893866311</t>
  </si>
  <si>
    <t xml:space="preserve">32285003392239</t>
  </si>
  <si>
    <t xml:space="preserve">893872597</t>
  </si>
  <si>
    <t xml:space="preserve">B430 .C76 1995</t>
  </si>
  <si>
    <t xml:space="preserve">0                      B  0430000C  76          1995</t>
  </si>
  <si>
    <t xml:space="preserve">The Crossroads of norm and nature : essays on Aristotle's Ethics and Metaphysics / edited by May Sim.</t>
  </si>
  <si>
    <t xml:space="preserve">Lanham, Md. : Rowman &amp; Littlefield, c1995.</t>
  </si>
  <si>
    <t xml:space="preserve">1996-04-28</t>
  </si>
  <si>
    <t xml:space="preserve">1995-07-21</t>
  </si>
  <si>
    <t xml:space="preserve">891637539:eng</t>
  </si>
  <si>
    <t xml:space="preserve">31328463</t>
  </si>
  <si>
    <t xml:space="preserve">991002407559702656</t>
  </si>
  <si>
    <t xml:space="preserve">2256858850002656</t>
  </si>
  <si>
    <t xml:space="preserve">9780847679393</t>
  </si>
  <si>
    <t xml:space="preserve">32285002075546</t>
  </si>
  <si>
    <t xml:space="preserve">893421318</t>
  </si>
  <si>
    <t xml:space="preserve">B434 .A926 1989</t>
  </si>
  <si>
    <t xml:space="preserve">0                      B  0434000A  926         1989</t>
  </si>
  <si>
    <t xml:space="preserve">On Aristotle's Metaphysics / Alexander of Aphrodisias ; translated by W.E. Dooley.</t>
  </si>
  <si>
    <t xml:space="preserve">Alexander, of Aphrodisias.</t>
  </si>
  <si>
    <t xml:space="preserve">Ithaca, N.Y. : Cornell University Press, 1989-</t>
  </si>
  <si>
    <t xml:space="preserve">1994-11-12</t>
  </si>
  <si>
    <t xml:space="preserve">1995-02-28</t>
  </si>
  <si>
    <t xml:space="preserve">4032359556:eng</t>
  </si>
  <si>
    <t xml:space="preserve">18813940</t>
  </si>
  <si>
    <t xml:space="preserve">991001398099702656</t>
  </si>
  <si>
    <t xml:space="preserve">2264649330002656</t>
  </si>
  <si>
    <t xml:space="preserve">9780801422355</t>
  </si>
  <si>
    <t xml:space="preserve">32285002010964</t>
  </si>
  <si>
    <t xml:space="preserve">893602583</t>
  </si>
  <si>
    <t xml:space="preserve">32285000511195</t>
  </si>
  <si>
    <t xml:space="preserve">893621327</t>
  </si>
  <si>
    <t xml:space="preserve">B434 .E5 1961</t>
  </si>
  <si>
    <t xml:space="preserve">0                      B  0434000E  5           1961</t>
  </si>
  <si>
    <t xml:space="preserve">Aristotle's theory of the One : a commentary on book x of the Metaphysics.</t>
  </si>
  <si>
    <t xml:space="preserve">Elders, Leo.</t>
  </si>
  <si>
    <t xml:space="preserve">Assen : Van Gorcum, 1961 [c1960]</t>
  </si>
  <si>
    <t xml:space="preserve">Wijsgerige teksten en studies ; 5</t>
  </si>
  <si>
    <t xml:space="preserve">1848395:eng</t>
  </si>
  <si>
    <t xml:space="preserve">910392</t>
  </si>
  <si>
    <t xml:space="preserve">991003373969702656</t>
  </si>
  <si>
    <t xml:space="preserve">2265333840002656</t>
  </si>
  <si>
    <t xml:space="preserve">32285000144906</t>
  </si>
  <si>
    <t xml:space="preserve">893518431</t>
  </si>
  <si>
    <t xml:space="preserve">B434 .O85 1978</t>
  </si>
  <si>
    <t xml:space="preserve">0                      B  0434000O  85          1978</t>
  </si>
  <si>
    <t xml:space="preserve">The doctrine of being in the Aristotelian Metaphysics : a study in the Greek background of mediaeval thought / Joseph Owens ; with a pref. by Etienne Gilson.</t>
  </si>
  <si>
    <t xml:space="preserve">Toronto : Pontifical Institute of Mediaeval Studies, 1978.</t>
  </si>
  <si>
    <t xml:space="preserve">3d ed., rev.</t>
  </si>
  <si>
    <t xml:space="preserve">545729:eng</t>
  </si>
  <si>
    <t xml:space="preserve">3877550</t>
  </si>
  <si>
    <t xml:space="preserve">991004537829702656</t>
  </si>
  <si>
    <t xml:space="preserve">2272281500002656</t>
  </si>
  <si>
    <t xml:space="preserve">32285000144948</t>
  </si>
  <si>
    <t xml:space="preserve">893593790</t>
  </si>
  <si>
    <t xml:space="preserve">B434 .T53</t>
  </si>
  <si>
    <t xml:space="preserve">0                      B  0434000T  53</t>
  </si>
  <si>
    <t xml:space="preserve">Commentary on the Metaphysics of Aristotle / translated by John P. Rowan.</t>
  </si>
  <si>
    <t xml:space="preserve">Chicago : H. Regnery Co., 1961.</t>
  </si>
  <si>
    <t xml:space="preserve">Library of living Catholic thought</t>
  </si>
  <si>
    <t xml:space="preserve">2908428084:eng</t>
  </si>
  <si>
    <t xml:space="preserve">312731</t>
  </si>
  <si>
    <t xml:space="preserve">991002290139702656</t>
  </si>
  <si>
    <t xml:space="preserve">2271209100002656</t>
  </si>
  <si>
    <t xml:space="preserve">32285000160019</t>
  </si>
  <si>
    <t xml:space="preserve">893408925</t>
  </si>
  <si>
    <t xml:space="preserve">B434 .T53 V2</t>
  </si>
  <si>
    <t xml:space="preserve">0                      B  0434000T  53                 V  2</t>
  </si>
  <si>
    <t xml:space="preserve">32285000160027</t>
  </si>
  <si>
    <t xml:space="preserve">893408924</t>
  </si>
  <si>
    <t xml:space="preserve">B437 .P37 1995</t>
  </si>
  <si>
    <t xml:space="preserve">0                      B  0437000P  37          1995</t>
  </si>
  <si>
    <t xml:space="preserve">Aristotle's modal logic : essence and entailment in the Organon / Richard Patterson.</t>
  </si>
  <si>
    <t xml:space="preserve">Patterson, Richard, 1946-</t>
  </si>
  <si>
    <t xml:space="preserve">Cambridge ; New York, NY, USA : Cambridge University Press, 1995.</t>
  </si>
  <si>
    <t xml:space="preserve">1996-11-12</t>
  </si>
  <si>
    <t xml:space="preserve">837028136:eng</t>
  </si>
  <si>
    <t xml:space="preserve">32052201</t>
  </si>
  <si>
    <t xml:space="preserve">991002460689702656</t>
  </si>
  <si>
    <t xml:space="preserve">2267085220002656</t>
  </si>
  <si>
    <t xml:space="preserve">9780521451680</t>
  </si>
  <si>
    <t xml:space="preserve">32285002371952</t>
  </si>
  <si>
    <t xml:space="preserve">893710316</t>
  </si>
  <si>
    <t xml:space="preserve">B4376 .G3</t>
  </si>
  <si>
    <t xml:space="preserve">0                      B  4376000G  3</t>
  </si>
  <si>
    <t xml:space="preserve">The life and thought of Kierkegaard for everyman.</t>
  </si>
  <si>
    <t xml:space="preserve">Gates, John A. (John Alexander), 1898-1979.</t>
  </si>
  <si>
    <t xml:space="preserve">Philadelphia : Westminster Press, [1960]</t>
  </si>
  <si>
    <t xml:space="preserve">2010-05-24</t>
  </si>
  <si>
    <t xml:space="preserve">1991-02-20</t>
  </si>
  <si>
    <t xml:space="preserve">1462759:eng</t>
  </si>
  <si>
    <t xml:space="preserve">1664361</t>
  </si>
  <si>
    <t xml:space="preserve">991003888409702656</t>
  </si>
  <si>
    <t xml:space="preserve">2261229680002656</t>
  </si>
  <si>
    <t xml:space="preserve">32285000525104</t>
  </si>
  <si>
    <t xml:space="preserve">893718177</t>
  </si>
  <si>
    <t xml:space="preserve">B4376 .L6</t>
  </si>
  <si>
    <t xml:space="preserve">0                      B  4376000L  6</t>
  </si>
  <si>
    <t xml:space="preserve">A short life of Kierkegaard.</t>
  </si>
  <si>
    <t xml:space="preserve">Lowrie, Walter, 1868-1959.</t>
  </si>
  <si>
    <t xml:space="preserve">Princeton, N.J. : Princeton university press, 1942.</t>
  </si>
  <si>
    <t xml:space="preserve">2006-03-27</t>
  </si>
  <si>
    <t xml:space="preserve">1322302:eng</t>
  </si>
  <si>
    <t xml:space="preserve">803874</t>
  </si>
  <si>
    <t xml:space="preserve">991003281409702656</t>
  </si>
  <si>
    <t xml:space="preserve">2269137900002656</t>
  </si>
  <si>
    <t xml:space="preserve">32285000525153</t>
  </si>
  <si>
    <t xml:space="preserve">893511778</t>
  </si>
  <si>
    <t xml:space="preserve">B4377 .H32 1950</t>
  </si>
  <si>
    <t xml:space="preserve">0                      B  4377000H  32          1950</t>
  </si>
  <si>
    <t xml:space="preserve">Kierkegaard the cripple / translated by C. Van O. Bruyn, with an introd. by A. Dru.</t>
  </si>
  <si>
    <t xml:space="preserve">Haecker, Theodor, 1879-1945.</t>
  </si>
  <si>
    <t xml:space="preserve">New York : Philosophical Library, [1950]</t>
  </si>
  <si>
    <t xml:space="preserve">1769197:eng</t>
  </si>
  <si>
    <t xml:space="preserve">733177</t>
  </si>
  <si>
    <t xml:space="preserve">991003207909702656</t>
  </si>
  <si>
    <t xml:space="preserve">2258852100002656</t>
  </si>
  <si>
    <t xml:space="preserve">32285000525286</t>
  </si>
  <si>
    <t xml:space="preserve">893598365</t>
  </si>
  <si>
    <t xml:space="preserve">B4377 .H37</t>
  </si>
  <si>
    <t xml:space="preserve">0                      B  4377000H  37</t>
  </si>
  <si>
    <t xml:space="preserve">The seventh solitude : man's isolation in Kierkegaard, Dostoevsky, and Nietzsche.</t>
  </si>
  <si>
    <t xml:space="preserve">Harper, Ralph, 1915-1996.</t>
  </si>
  <si>
    <t xml:space="preserve">Baltimore : Johns Hopkins Press, [1965]</t>
  </si>
  <si>
    <t xml:space="preserve">1993-11-22</t>
  </si>
  <si>
    <t xml:space="preserve">3901139928:eng</t>
  </si>
  <si>
    <t xml:space="preserve">374502</t>
  </si>
  <si>
    <t xml:space="preserve">991002574259702656</t>
  </si>
  <si>
    <t xml:space="preserve">2262363630002656</t>
  </si>
  <si>
    <t xml:space="preserve">32285000525294</t>
  </si>
  <si>
    <t xml:space="preserve">893880129</t>
  </si>
  <si>
    <t xml:space="preserve">B4377 .K54</t>
  </si>
  <si>
    <t xml:space="preserve">0                      B  4377000K  54</t>
  </si>
  <si>
    <t xml:space="preserve">Studies in the philosophy of Kierkegaard / by E. D. Klemke.</t>
  </si>
  <si>
    <t xml:space="preserve">Klemke, E. D. (Elmer Daniel), 1926-2000.</t>
  </si>
  <si>
    <t xml:space="preserve">The Hague : Nijhoff, 1976.</t>
  </si>
  <si>
    <t xml:space="preserve">5728511:eng</t>
  </si>
  <si>
    <t xml:space="preserve">2597826</t>
  </si>
  <si>
    <t xml:space="preserve">991004177729702656</t>
  </si>
  <si>
    <t xml:space="preserve">2265745550002656</t>
  </si>
  <si>
    <t xml:space="preserve">9789024718528</t>
  </si>
  <si>
    <t xml:space="preserve">32285000034248</t>
  </si>
  <si>
    <t xml:space="preserve">893869389</t>
  </si>
  <si>
    <t xml:space="preserve">B4377 .M26</t>
  </si>
  <si>
    <t xml:space="preserve">0                      B  4377000M  26</t>
  </si>
  <si>
    <t xml:space="preserve">Kierkegaard, a kind of poet.</t>
  </si>
  <si>
    <t xml:space="preserve">Mackey, Louis.</t>
  </si>
  <si>
    <t xml:space="preserve">Philadelphia : University of Pennsylvania Press, [c1971]</t>
  </si>
  <si>
    <t xml:space="preserve">2005-12-06</t>
  </si>
  <si>
    <t xml:space="preserve">472313:eng</t>
  </si>
  <si>
    <t xml:space="preserve">258004</t>
  </si>
  <si>
    <t xml:space="preserve">991002005419702656</t>
  </si>
  <si>
    <t xml:space="preserve">2271452590002656</t>
  </si>
  <si>
    <t xml:space="preserve">9780812276411</t>
  </si>
  <si>
    <t xml:space="preserve">32285000525328</t>
  </si>
  <si>
    <t xml:space="preserve">893709756</t>
  </si>
  <si>
    <t xml:space="preserve">B4377 .S73 1976</t>
  </si>
  <si>
    <t xml:space="preserve">0                      B  4377000S  73          1976</t>
  </si>
  <si>
    <t xml:space="preserve">Søren Kierkegaard / by Brita K. Stendahl.</t>
  </si>
  <si>
    <t xml:space="preserve">Stendahl, Brita K.</t>
  </si>
  <si>
    <t xml:space="preserve">Boston : Twayne Publishers, c1976.</t>
  </si>
  <si>
    <t xml:space="preserve">Twayne's world authors series ; TWAS 392 : Denmark</t>
  </si>
  <si>
    <t xml:space="preserve">2946012553:eng</t>
  </si>
  <si>
    <t xml:space="preserve">2089598</t>
  </si>
  <si>
    <t xml:space="preserve">991004009069702656</t>
  </si>
  <si>
    <t xml:space="preserve">2263402710002656</t>
  </si>
  <si>
    <t xml:space="preserve">9780805762341</t>
  </si>
  <si>
    <t xml:space="preserve">32285000525385</t>
  </si>
  <si>
    <t xml:space="preserve">893525515</t>
  </si>
  <si>
    <t xml:space="preserve">B4377 .S75 1997</t>
  </si>
  <si>
    <t xml:space="preserve">0                      B  4377000S  75          1997</t>
  </si>
  <si>
    <t xml:space="preserve">Both/and : reading Kierkegaard from irony to edification / by Michael Strawser II.</t>
  </si>
  <si>
    <t xml:space="preserve">Strawser, Michael.</t>
  </si>
  <si>
    <t xml:space="preserve">New York : Fordham University Press, 1997.</t>
  </si>
  <si>
    <t xml:space="preserve">Perspectives in continental philosophy, 1089-3938 ; no. 2</t>
  </si>
  <si>
    <t xml:space="preserve">34565009:eng</t>
  </si>
  <si>
    <t xml:space="preserve">35990197</t>
  </si>
  <si>
    <t xml:space="preserve">991003731129702656</t>
  </si>
  <si>
    <t xml:space="preserve">2264458580002656</t>
  </si>
  <si>
    <t xml:space="preserve">9780823217007</t>
  </si>
  <si>
    <t xml:space="preserve">32285004462866</t>
  </si>
  <si>
    <t xml:space="preserve">893623831</t>
  </si>
  <si>
    <t xml:space="preserve">B4377 .W85</t>
  </si>
  <si>
    <t xml:space="preserve">0                      B  4377000W  85</t>
  </si>
  <si>
    <t xml:space="preserve">Kierkegaard and Heidegger : the ontology of existence.</t>
  </si>
  <si>
    <t xml:space="preserve">Wyschogrod, Michael, 1928-</t>
  </si>
  <si>
    <t xml:space="preserve">London : Routledge &amp; Paul, [1954]</t>
  </si>
  <si>
    <t xml:space="preserve">1353096:eng</t>
  </si>
  <si>
    <t xml:space="preserve">1496477</t>
  </si>
  <si>
    <t xml:space="preserve">991003782489702656</t>
  </si>
  <si>
    <t xml:space="preserve">2270037060002656</t>
  </si>
  <si>
    <t xml:space="preserve">32285000525427</t>
  </si>
  <si>
    <t xml:space="preserve">893445859</t>
  </si>
  <si>
    <t xml:space="preserve">B4378.R44 E83 1989</t>
  </si>
  <si>
    <t xml:space="preserve">0                      B  4378000R  44                 E  83          1989</t>
  </si>
  <si>
    <t xml:space="preserve">Kierkegaard's "Fragments" and "Postscript" : the religious philosophy of Johannes Climacus / by C. Stephen Evans.</t>
  </si>
  <si>
    <t xml:space="preserve">Evans, C. Stephen.</t>
  </si>
  <si>
    <t xml:space="preserve">Atlantic Highlands, N.J. : Humanities Press International, 1989, c1983.</t>
  </si>
  <si>
    <t xml:space="preserve">2005-11-30</t>
  </si>
  <si>
    <t xml:space="preserve">1992-07-15</t>
  </si>
  <si>
    <t xml:space="preserve">937755:eng</t>
  </si>
  <si>
    <t xml:space="preserve">23063225</t>
  </si>
  <si>
    <t xml:space="preserve">991001836139702656</t>
  </si>
  <si>
    <t xml:space="preserve">2267777480002656</t>
  </si>
  <si>
    <t xml:space="preserve">9780391036062</t>
  </si>
  <si>
    <t xml:space="preserve">32285001158517</t>
  </si>
  <si>
    <t xml:space="preserve">893891875</t>
  </si>
  <si>
    <t xml:space="preserve">B4378.S4 T38</t>
  </si>
  <si>
    <t xml:space="preserve">0                      B  4378000S  4                  T  38</t>
  </si>
  <si>
    <t xml:space="preserve">Journeys to selfhood, Hegel &amp; Kierkegaard / Mark C. Taylor.</t>
  </si>
  <si>
    <t xml:space="preserve">Berkeley : University of California Press, c1980.</t>
  </si>
  <si>
    <t xml:space="preserve">1990-05-03</t>
  </si>
  <si>
    <t xml:space="preserve">502249:eng</t>
  </si>
  <si>
    <t xml:space="preserve">6487553</t>
  </si>
  <si>
    <t xml:space="preserve">991004991889702656</t>
  </si>
  <si>
    <t xml:space="preserve">2271788090002656</t>
  </si>
  <si>
    <t xml:space="preserve">9780520041677</t>
  </si>
  <si>
    <t xml:space="preserve">32285000147206</t>
  </si>
  <si>
    <t xml:space="preserve">893501173</t>
  </si>
  <si>
    <t xml:space="preserve">B4378.T5 T39</t>
  </si>
  <si>
    <t xml:space="preserve">0                      B  4378000T  5                  T  39</t>
  </si>
  <si>
    <t xml:space="preserve">Kierkegaard's pseudonymous authorship : a study of time and the self / Mark C. Taylor.</t>
  </si>
  <si>
    <t xml:space="preserve">Princeton, N.J. : Princeton University Press, [1975]</t>
  </si>
  <si>
    <t xml:space="preserve">2002-05-23</t>
  </si>
  <si>
    <t xml:space="preserve">896980198:eng</t>
  </si>
  <si>
    <t xml:space="preserve">1104386</t>
  </si>
  <si>
    <t xml:space="preserve">991003540409702656</t>
  </si>
  <si>
    <t xml:space="preserve">2256314640002656</t>
  </si>
  <si>
    <t xml:space="preserve">9780691072029</t>
  </si>
  <si>
    <t xml:space="preserve">32285000525500</t>
  </si>
  <si>
    <t xml:space="preserve">893524914</t>
  </si>
  <si>
    <t xml:space="preserve">B439 .T34</t>
  </si>
  <si>
    <t xml:space="preserve">0                      B  0439000T  34</t>
  </si>
  <si>
    <t xml:space="preserve">In Aristotelis libros Peri hermeneias et posteriorum analyticorum : expositio, cum textu ex recensione leonina / Cura et studio P. Fr. Raymundi M. Spiazzi.</t>
  </si>
  <si>
    <t xml:space="preserve">Taurini : Marietti Editori, 1955.</t>
  </si>
  <si>
    <t xml:space="preserve">10596218127:lat</t>
  </si>
  <si>
    <t xml:space="preserve">2344618</t>
  </si>
  <si>
    <t xml:space="preserve">991005369619702656</t>
  </si>
  <si>
    <t xml:space="preserve">2263983780002656</t>
  </si>
  <si>
    <t xml:space="preserve">32285000160035</t>
  </si>
  <si>
    <t xml:space="preserve">893443877</t>
  </si>
  <si>
    <t xml:space="preserve">B4568.O74 M27</t>
  </si>
  <si>
    <t xml:space="preserve">0                      B  4568000O  74                 M  27</t>
  </si>
  <si>
    <t xml:space="preserve">José Ortega y Gasset, circumstance and vocation, by Julian Marías. Translated by Frances M. López-Morillas.</t>
  </si>
  <si>
    <t xml:space="preserve">Marías, Julián, 1914-2005.</t>
  </si>
  <si>
    <t xml:space="preserve">Norman, University of Oklahoma Press [1970]</t>
  </si>
  <si>
    <t xml:space="preserve">1995-05-30</t>
  </si>
  <si>
    <t xml:space="preserve">1991-02-26</t>
  </si>
  <si>
    <t xml:space="preserve">196662402:eng</t>
  </si>
  <si>
    <t xml:space="preserve">91720</t>
  </si>
  <si>
    <t xml:space="preserve">991000547189702656</t>
  </si>
  <si>
    <t xml:space="preserve">2264696210002656</t>
  </si>
  <si>
    <t xml:space="preserve">9780806108797</t>
  </si>
  <si>
    <t xml:space="preserve">32285000525823</t>
  </si>
  <si>
    <t xml:space="preserve">893720727</t>
  </si>
  <si>
    <t xml:space="preserve">B4568.O74 O84</t>
  </si>
  <si>
    <t xml:space="preserve">0                      B  4568000O  74                 O  84</t>
  </si>
  <si>
    <t xml:space="preserve">Jose Ortega y Gasset / by Victor Ouimette.</t>
  </si>
  <si>
    <t xml:space="preserve">Ouimette, Victor.</t>
  </si>
  <si>
    <t xml:space="preserve">Boston : Twayne Publishers, c1982.</t>
  </si>
  <si>
    <t xml:space="preserve">Twayne's world authors series, Spain ; TWAS 624</t>
  </si>
  <si>
    <t xml:space="preserve">1995-05-05</t>
  </si>
  <si>
    <t xml:space="preserve">3901358156:eng</t>
  </si>
  <si>
    <t xml:space="preserve">7552730</t>
  </si>
  <si>
    <t xml:space="preserve">991005124849702656</t>
  </si>
  <si>
    <t xml:space="preserve">2262957670002656</t>
  </si>
  <si>
    <t xml:space="preserve">9780805764666</t>
  </si>
  <si>
    <t xml:space="preserve">32285000525856</t>
  </si>
  <si>
    <t xml:space="preserve">893344683</t>
  </si>
  <si>
    <t xml:space="preserve">B4568.S34 M33</t>
  </si>
  <si>
    <t xml:space="preserve">0                      B  4568000S  34                 M  33</t>
  </si>
  <si>
    <t xml:space="preserve">La teología de Sanz del Río y del krausismo español / Fernando Martín Buezas ; prólogo de Sergio Rábade Romeo.</t>
  </si>
  <si>
    <t xml:space="preserve">Martín Buezas, Fernando.</t>
  </si>
  <si>
    <t xml:space="preserve">Madrid : Editorial Gredos, c1977.</t>
  </si>
  <si>
    <t xml:space="preserve">Biblioteca hispánica de filosofía ; 90</t>
  </si>
  <si>
    <t xml:space="preserve">2008-04-28</t>
  </si>
  <si>
    <t xml:space="preserve">349029391:spa</t>
  </si>
  <si>
    <t xml:space="preserve">4053971</t>
  </si>
  <si>
    <t xml:space="preserve">991004578069702656</t>
  </si>
  <si>
    <t xml:space="preserve">2271449080002656</t>
  </si>
  <si>
    <t xml:space="preserve">9788424922269</t>
  </si>
  <si>
    <t xml:space="preserve">32285000525898</t>
  </si>
  <si>
    <t xml:space="preserve">893436441</t>
  </si>
  <si>
    <t xml:space="preserve">B4568.S83 D5713 1994</t>
  </si>
  <si>
    <t xml:space="preserve">0                      B  4568000S  83                 D  5713        1994</t>
  </si>
  <si>
    <t xml:space="preserve">On efficient causality : metaphysical disputations 17, 18, and 19 / Francisco Suárez ; translated by Alfred J. Freddoso.</t>
  </si>
  <si>
    <t xml:space="preserve">Suárez, Francisco, 1548-1617.</t>
  </si>
  <si>
    <t xml:space="preserve">Yale library of medieval philosophy</t>
  </si>
  <si>
    <t xml:space="preserve">32628765:eng</t>
  </si>
  <si>
    <t xml:space="preserve">30437461</t>
  </si>
  <si>
    <t xml:space="preserve">991002338349702656</t>
  </si>
  <si>
    <t xml:space="preserve">2256385820002656</t>
  </si>
  <si>
    <t xml:space="preserve">9780300060072</t>
  </si>
  <si>
    <t xml:space="preserve">32285001994408</t>
  </si>
  <si>
    <t xml:space="preserve">893804494</t>
  </si>
  <si>
    <t xml:space="preserve">B4568.U54 F43</t>
  </si>
  <si>
    <t xml:space="preserve">0                      B  4568000U  54                 F  43</t>
  </si>
  <si>
    <t xml:space="preserve">Unamuno, a philosophy of tragedy / translated by Philip Silver.</t>
  </si>
  <si>
    <t xml:space="preserve">Berkeley : University of California Press, 1962.</t>
  </si>
  <si>
    <t xml:space="preserve">2009-04-20</t>
  </si>
  <si>
    <t xml:space="preserve">197338772:eng</t>
  </si>
  <si>
    <t xml:space="preserve">777864</t>
  </si>
  <si>
    <t xml:space="preserve">991003253279702656</t>
  </si>
  <si>
    <t xml:space="preserve">2267944750002656</t>
  </si>
  <si>
    <t xml:space="preserve">32285000525971</t>
  </si>
  <si>
    <t xml:space="preserve">893535401</t>
  </si>
  <si>
    <t xml:space="preserve">B4568.U54 I4</t>
  </si>
  <si>
    <t xml:space="preserve">0                      B  4568000U  54                 I  4</t>
  </si>
  <si>
    <t xml:space="preserve">Unamuno : an existential view of self and society.</t>
  </si>
  <si>
    <t xml:space="preserve">Ilie, Paul, 1932-</t>
  </si>
  <si>
    <t xml:space="preserve">Madison : University of Wisconsin Press, 1967.</t>
  </si>
  <si>
    <t xml:space="preserve">2002-06-24</t>
  </si>
  <si>
    <t xml:space="preserve">1455399:eng</t>
  </si>
  <si>
    <t xml:space="preserve">373194</t>
  </si>
  <si>
    <t xml:space="preserve">991002568899702656</t>
  </si>
  <si>
    <t xml:space="preserve">2261148900002656</t>
  </si>
  <si>
    <t xml:space="preserve">32285000525989</t>
  </si>
  <si>
    <t xml:space="preserve">893440277</t>
  </si>
  <si>
    <t xml:space="preserve">B4568.U54 O9 1974</t>
  </si>
  <si>
    <t xml:space="preserve">0                      B  4568000U  54                 O  9           1974</t>
  </si>
  <si>
    <t xml:space="preserve">Reason aflame : Unamuno and the heroic will.</t>
  </si>
  <si>
    <t xml:space="preserve">New Haven : Yale University Press, 1974.</t>
  </si>
  <si>
    <t xml:space="preserve">Yale Romanic studies ; 2d ser., 24</t>
  </si>
  <si>
    <t xml:space="preserve">9988705368:eng</t>
  </si>
  <si>
    <t xml:space="preserve">827990</t>
  </si>
  <si>
    <t xml:space="preserve">991003305079702656</t>
  </si>
  <si>
    <t xml:space="preserve">2270651570002656</t>
  </si>
  <si>
    <t xml:space="preserve">9780300016666</t>
  </si>
  <si>
    <t xml:space="preserve">32285000526003</t>
  </si>
  <si>
    <t xml:space="preserve">893336355</t>
  </si>
  <si>
    <t xml:space="preserve">B4715 W74 P45 1989</t>
  </si>
  <si>
    <t xml:space="preserve">0                      B  4715000W  74                 P  45          1989</t>
  </si>
  <si>
    <t xml:space="preserve">The Philosophy of Georg Henrik von Wright / edited by Paul Arthur Schilpp and Lewis Edwin Hahn.</t>
  </si>
  <si>
    <t xml:space="preserve">La Salle, Ill. : Open Court, c1989.</t>
  </si>
  <si>
    <t xml:space="preserve">The Library of living philosophers ; v. 19</t>
  </si>
  <si>
    <t xml:space="preserve">2010-09-10</t>
  </si>
  <si>
    <t xml:space="preserve">347292409:eng</t>
  </si>
  <si>
    <t xml:space="preserve">20635918</t>
  </si>
  <si>
    <t xml:space="preserve">991001599219702656</t>
  </si>
  <si>
    <t xml:space="preserve">2258205710002656</t>
  </si>
  <si>
    <t xml:space="preserve">9780875483726</t>
  </si>
  <si>
    <t xml:space="preserve">32285000103290</t>
  </si>
  <si>
    <t xml:space="preserve">893522670</t>
  </si>
  <si>
    <t xml:space="preserve">B485 .A45 1963</t>
  </si>
  <si>
    <t xml:space="preserve">0                      B  0485000A  45          1963</t>
  </si>
  <si>
    <t xml:space="preserve">The philosophy of Aristotle.</t>
  </si>
  <si>
    <t xml:space="preserve">Allan, D. J. (Donald James)</t>
  </si>
  <si>
    <t xml:space="preserve">London ; New York : Oxford University Press, 1952</t>
  </si>
  <si>
    <t xml:space="preserve">The Home university library of modern knowledge, 222</t>
  </si>
  <si>
    <t xml:space="preserve">1999-08-07</t>
  </si>
  <si>
    <t xml:space="preserve">416545:eng</t>
  </si>
  <si>
    <t xml:space="preserve">1516539</t>
  </si>
  <si>
    <t xml:space="preserve">991003795439702656</t>
  </si>
  <si>
    <t xml:space="preserve">2262033870002656</t>
  </si>
  <si>
    <t xml:space="preserve">32285000160365</t>
  </si>
  <si>
    <t xml:space="preserve">893343024</t>
  </si>
  <si>
    <t xml:space="preserve">B485 .A48</t>
  </si>
  <si>
    <t xml:space="preserve">0                      B  0485000A  48</t>
  </si>
  <si>
    <t xml:space="preserve">Three philosophers / by G. E. M. Anscombe and P. T. Geach.</t>
  </si>
  <si>
    <t xml:space="preserve">Ithaca, N.Y. : Cornell University Press, 1961.</t>
  </si>
  <si>
    <t xml:space="preserve">2003-11-19</t>
  </si>
  <si>
    <t xml:space="preserve">1434816:eng</t>
  </si>
  <si>
    <t xml:space="preserve">368400</t>
  </si>
  <si>
    <t xml:space="preserve">991002543979702656</t>
  </si>
  <si>
    <t xml:space="preserve">2267713060002656</t>
  </si>
  <si>
    <t xml:space="preserve">32285000160381</t>
  </si>
  <si>
    <t xml:space="preserve">893257434</t>
  </si>
  <si>
    <t xml:space="preserve">B485 .G584 1987</t>
  </si>
  <si>
    <t xml:space="preserve">0                      B  0485000G  584         1987</t>
  </si>
  <si>
    <t xml:space="preserve">Aristotle's two systems / Daniel W. Graham.</t>
  </si>
  <si>
    <t xml:space="preserve">Graham, Daniel W.</t>
  </si>
  <si>
    <t xml:space="preserve">Oxford [England] : Clarendon Press ; New York : Oxford University Press, 1987.</t>
  </si>
  <si>
    <t xml:space="preserve">1996-02-16</t>
  </si>
  <si>
    <t xml:space="preserve">1990-05-23</t>
  </si>
  <si>
    <t xml:space="preserve">10520659:eng</t>
  </si>
  <si>
    <t xml:space="preserve">15488246</t>
  </si>
  <si>
    <t xml:space="preserve">991001027709702656</t>
  </si>
  <si>
    <t xml:space="preserve">2271188040002656</t>
  </si>
  <si>
    <t xml:space="preserve">9780198249702</t>
  </si>
  <si>
    <t xml:space="preserve">32285000160472</t>
  </si>
  <si>
    <t xml:space="preserve">893243795</t>
  </si>
  <si>
    <t xml:space="preserve">B485 .M8</t>
  </si>
  <si>
    <t xml:space="preserve">0                      B  0485000M  8</t>
  </si>
  <si>
    <t xml:space="preserve">Aristotle / by G. R. G. Mure.</t>
  </si>
  <si>
    <t xml:space="preserve">New York : Oxford Univ. Press, 1932.</t>
  </si>
  <si>
    <t xml:space="preserve">Half-title: Leaders of philosophy</t>
  </si>
  <si>
    <t xml:space="preserve">501390:eng</t>
  </si>
  <si>
    <t xml:space="preserve">692249</t>
  </si>
  <si>
    <t xml:space="preserve">991003153119702656</t>
  </si>
  <si>
    <t xml:space="preserve">2268389830002656</t>
  </si>
  <si>
    <t xml:space="preserve">32285000160555</t>
  </si>
  <si>
    <t xml:space="preserve">893787018</t>
  </si>
  <si>
    <t xml:space="preserve">B485 .R3 1960</t>
  </si>
  <si>
    <t xml:space="preserve">0                      B  0485000R  3           1960</t>
  </si>
  <si>
    <t xml:space="preserve">Aristotle / by John Herman Randall, Jr.</t>
  </si>
  <si>
    <t xml:space="preserve">New York : Columbia University Press, 1960.</t>
  </si>
  <si>
    <t xml:space="preserve">2003-01-28</t>
  </si>
  <si>
    <t xml:space="preserve">58772379:eng</t>
  </si>
  <si>
    <t xml:space="preserve">338167</t>
  </si>
  <si>
    <t xml:space="preserve">991002403839702656</t>
  </si>
  <si>
    <t xml:space="preserve">2257041130002656</t>
  </si>
  <si>
    <t xml:space="preserve">32285000160597</t>
  </si>
  <si>
    <t xml:space="preserve">893609825</t>
  </si>
  <si>
    <t xml:space="preserve">B485 .W54</t>
  </si>
  <si>
    <t xml:space="preserve">0                      B  0485000W  54</t>
  </si>
  <si>
    <t xml:space="preserve">Aristotle : his thought and its relevance today / [by] Cyril Winn and Maurice Jacks.</t>
  </si>
  <si>
    <t xml:space="preserve">Winn, Cyril, 1884-1973.</t>
  </si>
  <si>
    <t xml:space="preserve">London : Methuen, 1967.</t>
  </si>
  <si>
    <t xml:space="preserve">Library of educational thought</t>
  </si>
  <si>
    <t xml:space="preserve">1435737:eng</t>
  </si>
  <si>
    <t xml:space="preserve">368643</t>
  </si>
  <si>
    <t xml:space="preserve">991002545149702656</t>
  </si>
  <si>
    <t xml:space="preserve">2267647760002656</t>
  </si>
  <si>
    <t xml:space="preserve">32285000160647</t>
  </si>
  <si>
    <t xml:space="preserve">893329223</t>
  </si>
  <si>
    <t xml:space="preserve">B485.C7 W6</t>
  </si>
  <si>
    <t xml:space="preserve">0                      B  0485000C  7                  W  6</t>
  </si>
  <si>
    <t xml:space="preserve">Crescas' critique of Aristotle : problems of Aristotle's Physics in Jewish and Arabic philosophy / by Harry Austryn Wolfson.</t>
  </si>
  <si>
    <t xml:space="preserve">Cambridge : Harvard University Press, 1929.</t>
  </si>
  <si>
    <t xml:space="preserve">Harvard Semitic series. vol. VI</t>
  </si>
  <si>
    <t xml:space="preserve">2009-09-22</t>
  </si>
  <si>
    <t xml:space="preserve">1626681:eng</t>
  </si>
  <si>
    <t xml:space="preserve">1038795</t>
  </si>
  <si>
    <t xml:space="preserve">991003489749702656</t>
  </si>
  <si>
    <t xml:space="preserve">2266374860002656</t>
  </si>
  <si>
    <t xml:space="preserve">32285000160423</t>
  </si>
  <si>
    <t xml:space="preserve">893499345</t>
  </si>
  <si>
    <t xml:space="preserve">B491.A27 C43 1984</t>
  </si>
  <si>
    <t xml:space="preserve">0                      B  0491000A  27                 C  43          1984</t>
  </si>
  <si>
    <t xml:space="preserve">Aristotle's philosophy of action / David Charles.</t>
  </si>
  <si>
    <t xml:space="preserve">Charles, David (David Owain Maurice)</t>
  </si>
  <si>
    <t xml:space="preserve">Ithaca, N.Y. : Cornell University Press, 1984.</t>
  </si>
  <si>
    <t xml:space="preserve">3576006:eng</t>
  </si>
  <si>
    <t xml:space="preserve">10937032</t>
  </si>
  <si>
    <t xml:space="preserve">991000461369702656</t>
  </si>
  <si>
    <t xml:space="preserve">2268836750002656</t>
  </si>
  <si>
    <t xml:space="preserve">9780801417085</t>
  </si>
  <si>
    <t xml:space="preserve">32285000161074</t>
  </si>
  <si>
    <t xml:space="preserve">893425727</t>
  </si>
  <si>
    <t xml:space="preserve">B491.E7 K47</t>
  </si>
  <si>
    <t xml:space="preserve">0                      B  0491000E  7                  K  47</t>
  </si>
  <si>
    <t xml:space="preserve">Aristotle's theory of the will / Anthony Kenny.</t>
  </si>
  <si>
    <t xml:space="preserve">1996-03-01</t>
  </si>
  <si>
    <t xml:space="preserve">139038758:eng</t>
  </si>
  <si>
    <t xml:space="preserve">4639123</t>
  </si>
  <si>
    <t xml:space="preserve">991004695619702656</t>
  </si>
  <si>
    <t xml:space="preserve">2255539850002656</t>
  </si>
  <si>
    <t xml:space="preserve">9780300023954</t>
  </si>
  <si>
    <t xml:space="preserve">32285000161173</t>
  </si>
  <si>
    <t xml:space="preserve">893430382</t>
  </si>
  <si>
    <t xml:space="preserve">B491.E7 S67 1980</t>
  </si>
  <si>
    <t xml:space="preserve">0                      B  0491000E  7                  S  67          1980</t>
  </si>
  <si>
    <t xml:space="preserve">Necessity, cause, and blame : perspectives on Aristotle's theory / by Richard Sorabji.</t>
  </si>
  <si>
    <t xml:space="preserve">Sorabji, Richard.</t>
  </si>
  <si>
    <t xml:space="preserve">Ithaca, N.Y. : Cornell University Press, 1980.</t>
  </si>
  <si>
    <t xml:space="preserve">8164944:eng</t>
  </si>
  <si>
    <t xml:space="preserve">5171962</t>
  </si>
  <si>
    <t xml:space="preserve">991004793299702656</t>
  </si>
  <si>
    <t xml:space="preserve">2259062220002656</t>
  </si>
  <si>
    <t xml:space="preserve">9780801411625</t>
  </si>
  <si>
    <t xml:space="preserve">32285000161207</t>
  </si>
  <si>
    <t xml:space="preserve">893612781</t>
  </si>
  <si>
    <t xml:space="preserve">B491.M36 T7 1969b</t>
  </si>
  <si>
    <t xml:space="preserve">0                      B  0491000M  36                 T  7           1969b</t>
  </si>
  <si>
    <t xml:space="preserve">Physiological theory and the doctrine of the mean in Plato and Aristotle.</t>
  </si>
  <si>
    <t xml:space="preserve">Tracy, Theodore James, 1916-</t>
  </si>
  <si>
    <t xml:space="preserve">Chicago : Loyola University Press, 1969.</t>
  </si>
  <si>
    <t xml:space="preserve">Studies in philosophy ; 17</t>
  </si>
  <si>
    <t xml:space="preserve">2009-07-09</t>
  </si>
  <si>
    <t xml:space="preserve">1252658:eng</t>
  </si>
  <si>
    <t xml:space="preserve">81332</t>
  </si>
  <si>
    <t xml:space="preserve">991000500999702656</t>
  </si>
  <si>
    <t xml:space="preserve">2269896290002656</t>
  </si>
  <si>
    <t xml:space="preserve">9780829400991</t>
  </si>
  <si>
    <t xml:space="preserve">32285000161314</t>
  </si>
  <si>
    <t xml:space="preserve">893425776</t>
  </si>
  <si>
    <t xml:space="preserve">B491.O5 B713</t>
  </si>
  <si>
    <t xml:space="preserve">0                      B  0491000O  5                  B  713</t>
  </si>
  <si>
    <t xml:space="preserve">On the several senses of being in Aristotle / Franz Brentano ; edited and translated by Rolf George.</t>
  </si>
  <si>
    <t xml:space="preserve">Brentano, Franz, 1838-1917.</t>
  </si>
  <si>
    <t xml:space="preserve">Berkeley : University of California Press, 1975.</t>
  </si>
  <si>
    <t xml:space="preserve">2008-10-03</t>
  </si>
  <si>
    <t xml:space="preserve">502469:eng</t>
  </si>
  <si>
    <t xml:space="preserve">2003492</t>
  </si>
  <si>
    <t xml:space="preserve">991005367649702656</t>
  </si>
  <si>
    <t xml:space="preserve">2261482290002656</t>
  </si>
  <si>
    <t xml:space="preserve">9780520023468</t>
  </si>
  <si>
    <t xml:space="preserve">32285000161348</t>
  </si>
  <si>
    <t xml:space="preserve">893320511</t>
  </si>
  <si>
    <t xml:space="preserve">B491.P38 M62 1987</t>
  </si>
  <si>
    <t xml:space="preserve">0                      B  0491000P  38                 M  62          1987</t>
  </si>
  <si>
    <t xml:space="preserve">Aristotle : the power of perception / Deborah K.W. Modrak.</t>
  </si>
  <si>
    <t xml:space="preserve">Modrak, Deborah K. W.</t>
  </si>
  <si>
    <t xml:space="preserve">2006-04-09</t>
  </si>
  <si>
    <t xml:space="preserve">836663273:eng</t>
  </si>
  <si>
    <t xml:space="preserve">14067972</t>
  </si>
  <si>
    <t xml:space="preserve">991000901379702656</t>
  </si>
  <si>
    <t xml:space="preserve">2255808770002656</t>
  </si>
  <si>
    <t xml:space="preserve">9780226533384</t>
  </si>
  <si>
    <t xml:space="preserve">32285000161363</t>
  </si>
  <si>
    <t xml:space="preserve">893714996</t>
  </si>
  <si>
    <t xml:space="preserve">B491.P8 B7313</t>
  </si>
  <si>
    <t xml:space="preserve">0                      B  0491000P  8                  B  7313</t>
  </si>
  <si>
    <t xml:space="preserve">The psychology of Aristotle : in particular his doctrine of the active intellect : with an appendix concerning the activity of Aristotle's God / Franz Brentano ; edited and translated by Rolf George.</t>
  </si>
  <si>
    <t xml:space="preserve">Berkeley : University of California Press, c1977.</t>
  </si>
  <si>
    <t xml:space="preserve">2908699772:eng</t>
  </si>
  <si>
    <t xml:space="preserve">3259589</t>
  </si>
  <si>
    <t xml:space="preserve">991004390139702656</t>
  </si>
  <si>
    <t xml:space="preserve">2268914050002656</t>
  </si>
  <si>
    <t xml:space="preserve">9780520030817</t>
  </si>
  <si>
    <t xml:space="preserve">32285000161371</t>
  </si>
  <si>
    <t xml:space="preserve">893235437</t>
  </si>
  <si>
    <t xml:space="preserve">B491.P8 S5</t>
  </si>
  <si>
    <t xml:space="preserve">0                      B  0491000P  8                  S  5</t>
  </si>
  <si>
    <t xml:space="preserve">The psychology of Aristotle : an analysis of the living being / by Clarence Shute.</t>
  </si>
  <si>
    <t xml:space="preserve">Shute, Clarence, 1903-</t>
  </si>
  <si>
    <t xml:space="preserve">New York : Columbia university press, 1941.</t>
  </si>
  <si>
    <t xml:space="preserve">1941</t>
  </si>
  <si>
    <t xml:space="preserve">Columbia studies in philosophy, ed. under the Dept. of philosophy, Columbia university. No. 1</t>
  </si>
  <si>
    <t xml:space="preserve">2006-04-19</t>
  </si>
  <si>
    <t xml:space="preserve">1434867:eng</t>
  </si>
  <si>
    <t xml:space="preserve">2294122</t>
  </si>
  <si>
    <t xml:space="preserve">991004069189702656</t>
  </si>
  <si>
    <t xml:space="preserve">2266197280002656</t>
  </si>
  <si>
    <t xml:space="preserve">32285000161389</t>
  </si>
  <si>
    <t xml:space="preserve">893888279</t>
  </si>
  <si>
    <t xml:space="preserve">B491.S3 C6</t>
  </si>
  <si>
    <t xml:space="preserve">0                      B  0491000S  3                  C  6</t>
  </si>
  <si>
    <t xml:space="preserve">Aristotle, Galileo, and the tower of Pisa / by Lane Cooper.</t>
  </si>
  <si>
    <t xml:space="preserve">Cooper, Lane, 1875-1959.</t>
  </si>
  <si>
    <t xml:space="preserve">Ithaca, N.Y. : Cornell University Press ; London : H. Milford, Oxford University Press, 1935.</t>
  </si>
  <si>
    <t xml:space="preserve">1996-11-08</t>
  </si>
  <si>
    <t xml:space="preserve">1270996:eng</t>
  </si>
  <si>
    <t xml:space="preserve">1164331</t>
  </si>
  <si>
    <t xml:space="preserve">991003582289702656</t>
  </si>
  <si>
    <t xml:space="preserve">2262670530002656</t>
  </si>
  <si>
    <t xml:space="preserve">32285000161397</t>
  </si>
  <si>
    <t xml:space="preserve">893352906</t>
  </si>
  <si>
    <t xml:space="preserve">B491.S8 S825 1982</t>
  </si>
  <si>
    <t xml:space="preserve">0                      B  0491000S  8                  S  825         1982</t>
  </si>
  <si>
    <t xml:space="preserve">Substances and things : Aristotle's doctrine of physical substance in recent essays / edited with introductions and an epilogue by M.L. O'Hara.</t>
  </si>
  <si>
    <t xml:space="preserve">2001-09-27</t>
  </si>
  <si>
    <t xml:space="preserve">889952837:eng</t>
  </si>
  <si>
    <t xml:space="preserve">8171464</t>
  </si>
  <si>
    <t xml:space="preserve">991005213749702656</t>
  </si>
  <si>
    <t xml:space="preserve">2257050610002656</t>
  </si>
  <si>
    <t xml:space="preserve">9780819122650</t>
  </si>
  <si>
    <t xml:space="preserve">32285000161413</t>
  </si>
  <si>
    <t xml:space="preserve">893694922</t>
  </si>
  <si>
    <t xml:space="preserve">B505 .C55</t>
  </si>
  <si>
    <t xml:space="preserve">0                      B  0505000C  55</t>
  </si>
  <si>
    <t xml:space="preserve">Selections from Hellenistic philosophy / [by] Gordon H. Clark.</t>
  </si>
  <si>
    <t xml:space="preserve">Clark, Gordon H. (Gordon Haddon), 1902-1985 editor.</t>
  </si>
  <si>
    <t xml:space="preserve">New York : F.S. Crofts &amp; co., 1940.</t>
  </si>
  <si>
    <t xml:space="preserve">2008-05-23</t>
  </si>
  <si>
    <t xml:space="preserve">548953:eng</t>
  </si>
  <si>
    <t xml:space="preserve">1097365825</t>
  </si>
  <si>
    <t xml:space="preserve">991003393919702656</t>
  </si>
  <si>
    <t xml:space="preserve">2272346320002656</t>
  </si>
  <si>
    <t xml:space="preserve">32285000161462</t>
  </si>
  <si>
    <t xml:space="preserve">893258381</t>
  </si>
  <si>
    <t xml:space="preserve">B51 .E3</t>
  </si>
  <si>
    <t xml:space="preserve">0                      B  0051000E  3</t>
  </si>
  <si>
    <t xml:space="preserve">The Encyclopedia of philosophy / Paul Edwards, editor in chief.</t>
  </si>
  <si>
    <t xml:space="preserve">New York : Macmillan, [1967]</t>
  </si>
  <si>
    <t xml:space="preserve">1998-09-21</t>
  </si>
  <si>
    <t xml:space="preserve">2564921456:eng</t>
  </si>
  <si>
    <t xml:space="preserve">369093</t>
  </si>
  <si>
    <t xml:space="preserve">991001174779702656</t>
  </si>
  <si>
    <t xml:space="preserve">2265174570002656</t>
  </si>
  <si>
    <t xml:space="preserve">32285000068253</t>
  </si>
  <si>
    <t xml:space="preserve">893327925</t>
  </si>
  <si>
    <t xml:space="preserve">1995-09-01</t>
  </si>
  <si>
    <t xml:space="preserve">32285000068279</t>
  </si>
  <si>
    <t xml:space="preserve">893334127</t>
  </si>
  <si>
    <t xml:space="preserve">32285000068246</t>
  </si>
  <si>
    <t xml:space="preserve">893334128</t>
  </si>
  <si>
    <t xml:space="preserve">1993-02-25</t>
  </si>
  <si>
    <t xml:space="preserve">32285001569168</t>
  </si>
  <si>
    <t xml:space="preserve">893346309</t>
  </si>
  <si>
    <t xml:space="preserve">2001-02-15</t>
  </si>
  <si>
    <t xml:space="preserve">32285000068212</t>
  </si>
  <si>
    <t xml:space="preserve">893327927</t>
  </si>
  <si>
    <t xml:space="preserve">B517 .D54</t>
  </si>
  <si>
    <t xml:space="preserve">0                      B  0517000D  54</t>
  </si>
  <si>
    <t xml:space="preserve">The middle platonists : a study of platonism, 80 B.C. to A.D. 220 / John Dillon.</t>
  </si>
  <si>
    <t xml:space="preserve">Dillon, John M.</t>
  </si>
  <si>
    <t xml:space="preserve">London : Duckworth, 1977.</t>
  </si>
  <si>
    <t xml:space="preserve">2009-03-04</t>
  </si>
  <si>
    <t xml:space="preserve">5585542901:eng</t>
  </si>
  <si>
    <t xml:space="preserve">2822418</t>
  </si>
  <si>
    <t xml:space="preserve">991004255529702656</t>
  </si>
  <si>
    <t xml:space="preserve">2263804150002656</t>
  </si>
  <si>
    <t xml:space="preserve">9780715610916</t>
  </si>
  <si>
    <t xml:space="preserve">32285000161561</t>
  </si>
  <si>
    <t xml:space="preserve">893513016</t>
  </si>
  <si>
    <t xml:space="preserve">B517 .S53</t>
  </si>
  <si>
    <t xml:space="preserve">0                      B  0517000S  53</t>
  </si>
  <si>
    <t xml:space="preserve">The Significance of Neoplatonism / edited by R. Baine Harris.</t>
  </si>
  <si>
    <t xml:space="preserve">Norfolk, Va. : International Society for Neoplatonic Studies, Old Dominion University ; Albany : distributed by State University of New York Press, 1976.</t>
  </si>
  <si>
    <t xml:space="preserve">Studies in Neoplatonism ; v. 1</t>
  </si>
  <si>
    <t xml:space="preserve">9565638314:eng</t>
  </si>
  <si>
    <t xml:space="preserve">2331978</t>
  </si>
  <si>
    <t xml:space="preserve">991004085479702656</t>
  </si>
  <si>
    <t xml:space="preserve">2264108680002656</t>
  </si>
  <si>
    <t xml:space="preserve">9780873958004</t>
  </si>
  <si>
    <t xml:space="preserve">32285000161611</t>
  </si>
  <si>
    <t xml:space="preserve">893593252</t>
  </si>
  <si>
    <t xml:space="preserve">B52 .P5</t>
  </si>
  <si>
    <t xml:space="preserve">0                      B  0052000P  5</t>
  </si>
  <si>
    <t xml:space="preserve">Philosophy in American education.</t>
  </si>
  <si>
    <t xml:space="preserve">New York and London : Harper &amp; brothers, [1945]</t>
  </si>
  <si>
    <t xml:space="preserve">2001-03-26</t>
  </si>
  <si>
    <t xml:space="preserve">422746821:eng</t>
  </si>
  <si>
    <t xml:space="preserve">369192</t>
  </si>
  <si>
    <t xml:space="preserve">991002548519702656</t>
  </si>
  <si>
    <t xml:space="preserve">2265198580002656</t>
  </si>
  <si>
    <t xml:space="preserve">32285000068444</t>
  </si>
  <si>
    <t xml:space="preserve">893498251</t>
  </si>
  <si>
    <t xml:space="preserve">B52 .R25</t>
  </si>
  <si>
    <t xml:space="preserve">0                      B  0052000R  25</t>
  </si>
  <si>
    <t xml:space="preserve">How philosophy uses its past.</t>
  </si>
  <si>
    <t xml:space="preserve">Matchette lectures, 14</t>
  </si>
  <si>
    <t xml:space="preserve">58775348:eng</t>
  </si>
  <si>
    <t xml:space="preserve">325561</t>
  </si>
  <si>
    <t xml:space="preserve">991002356889702656</t>
  </si>
  <si>
    <t xml:space="preserve">2269702130002656</t>
  </si>
  <si>
    <t xml:space="preserve">32285000068451</t>
  </si>
  <si>
    <t xml:space="preserve">893523504</t>
  </si>
  <si>
    <t xml:space="preserve">B52 .T5 1983</t>
  </si>
  <si>
    <t xml:space="preserve">0                      B  0052000T  5           1983</t>
  </si>
  <si>
    <t xml:space="preserve">Research guide to philosophy / Terrence N. Tice and Thomas P. Slavens.</t>
  </si>
  <si>
    <t xml:space="preserve">Tice, Terrence N.</t>
  </si>
  <si>
    <t xml:space="preserve">Chicago : American Library Association, 1983.</t>
  </si>
  <si>
    <t xml:space="preserve">Sources of information in the humanities ; no. 3</t>
  </si>
  <si>
    <t xml:space="preserve">2010-04-23</t>
  </si>
  <si>
    <t xml:space="preserve">1990-04-18</t>
  </si>
  <si>
    <t xml:space="preserve">42554423:eng</t>
  </si>
  <si>
    <t xml:space="preserve">9762301</t>
  </si>
  <si>
    <t xml:space="preserve">991000254219702656</t>
  </si>
  <si>
    <t xml:space="preserve">2260185940002656</t>
  </si>
  <si>
    <t xml:space="preserve">9780838903339</t>
  </si>
  <si>
    <t xml:space="preserve">32285000068469</t>
  </si>
  <si>
    <t xml:space="preserve">893333335</t>
  </si>
  <si>
    <t xml:space="preserve">B5231 .W785 1986</t>
  </si>
  <si>
    <t xml:space="preserve">0                      B  5231000W  785         1986</t>
  </si>
  <si>
    <t xml:space="preserve">Chinese philosophical terms / Yi Wu.</t>
  </si>
  <si>
    <t xml:space="preserve">Wu, Yi, 1939-</t>
  </si>
  <si>
    <t xml:space="preserve">Lanham, Md. : University Press of America ; [San Francisco] : California Institute of Integral Studies, co-publisher, c1986.</t>
  </si>
  <si>
    <t xml:space="preserve">2006-12-07</t>
  </si>
  <si>
    <t xml:space="preserve">1991-02-28</t>
  </si>
  <si>
    <t xml:space="preserve">8051537:eng</t>
  </si>
  <si>
    <t xml:space="preserve">13749454</t>
  </si>
  <si>
    <t xml:space="preserve">991000865939702656</t>
  </si>
  <si>
    <t xml:space="preserve">2272651630002656</t>
  </si>
  <si>
    <t xml:space="preserve">9780819151193</t>
  </si>
  <si>
    <t xml:space="preserve">32285000526219</t>
  </si>
  <si>
    <t xml:space="preserve">893872078</t>
  </si>
  <si>
    <t xml:space="preserve">B5233.S3 K9</t>
  </si>
  <si>
    <t xml:space="preserve">0                      B  5233000S  3                  K  9</t>
  </si>
  <si>
    <t xml:space="preserve">Scientism in Chinese thought, 1900-1950 / [by] D.W.Y. Kwok.</t>
  </si>
  <si>
    <t xml:space="preserve">Kwok, D. W. Y. (Danny Wynn Ye), 1932-</t>
  </si>
  <si>
    <t xml:space="preserve">Yale historical publications. Miscellany ; 82</t>
  </si>
  <si>
    <t xml:space="preserve">2009-10-13</t>
  </si>
  <si>
    <t xml:space="preserve">503040449:eng</t>
  </si>
  <si>
    <t xml:space="preserve">374053</t>
  </si>
  <si>
    <t xml:space="preserve">991002572419702656</t>
  </si>
  <si>
    <t xml:space="preserve">2262188740002656</t>
  </si>
  <si>
    <t xml:space="preserve">32285000526235</t>
  </si>
  <si>
    <t xml:space="preserve">893347654</t>
  </si>
  <si>
    <t xml:space="preserve">B525 .B78</t>
  </si>
  <si>
    <t xml:space="preserve">0                      B  0525000B  78</t>
  </si>
  <si>
    <t xml:space="preserve">Montaigne and Bayle : variations on the theme of skepticism.</t>
  </si>
  <si>
    <t xml:space="preserve">Brush, Craig.</t>
  </si>
  <si>
    <t xml:space="preserve">The Hague : M. Nijhoff, 1966.</t>
  </si>
  <si>
    <t xml:space="preserve">Archives internationales d'histoire des idées. International archives of the history of ideas, 14</t>
  </si>
  <si>
    <t xml:space="preserve">429703607:eng</t>
  </si>
  <si>
    <t xml:space="preserve">268239</t>
  </si>
  <si>
    <t xml:space="preserve">991002115119702656</t>
  </si>
  <si>
    <t xml:space="preserve">2270527760002656</t>
  </si>
  <si>
    <t xml:space="preserve">32285000161645</t>
  </si>
  <si>
    <t xml:space="preserve">893873119</t>
  </si>
  <si>
    <t xml:space="preserve">B525 .D68</t>
  </si>
  <si>
    <t xml:space="preserve">0                      B  0525000D  68</t>
  </si>
  <si>
    <t xml:space="preserve">Doubt and dogmatism : studies in Hellenistic epistemology / edited by Malcolm Schofield, Myles Burnyeat, Jonathan Barnes.</t>
  </si>
  <si>
    <t xml:space="preserve">1998-02-20</t>
  </si>
  <si>
    <t xml:space="preserve">1060431339:eng</t>
  </si>
  <si>
    <t xml:space="preserve">5410415</t>
  </si>
  <si>
    <t xml:space="preserve">991004830699702656</t>
  </si>
  <si>
    <t xml:space="preserve">2260517110002656</t>
  </si>
  <si>
    <t xml:space="preserve">9780198246015</t>
  </si>
  <si>
    <t xml:space="preserve">32285000161652</t>
  </si>
  <si>
    <t xml:space="preserve">893895537</t>
  </si>
  <si>
    <t xml:space="preserve">B5251 .K669 1982</t>
  </si>
  <si>
    <t xml:space="preserve">0                      B  5251000K  669         1982</t>
  </si>
  <si>
    <t xml:space="preserve">Korean thought / edited by International Cultural Foundation ; Chun Shin-yong, general editor.</t>
  </si>
  <si>
    <t xml:space="preserve">Seoul, Korea : Si-sa-yong-o-sa Publishers, c1982.</t>
  </si>
  <si>
    <t xml:space="preserve">ko </t>
  </si>
  <si>
    <t xml:space="preserve">Korean culture series ; 10</t>
  </si>
  <si>
    <t xml:space="preserve">353893752:eng</t>
  </si>
  <si>
    <t xml:space="preserve">9474219</t>
  </si>
  <si>
    <t xml:space="preserve">991000203489702656</t>
  </si>
  <si>
    <t xml:space="preserve">2257739740002656</t>
  </si>
  <si>
    <t xml:space="preserve">32285000526300</t>
  </si>
  <si>
    <t xml:space="preserve">893413181</t>
  </si>
  <si>
    <t xml:space="preserve">B5251 .M35 1983</t>
  </si>
  <si>
    <t xml:space="preserve">0                      B  5251000M  35          1983</t>
  </si>
  <si>
    <t xml:space="preserve">Main currents of Korean thought / edited by the Korean National Commission for UNESCO.</t>
  </si>
  <si>
    <t xml:space="preserve">[Seoul] : Si-sa-yong-o-sa Publishers ; Arch Cape, Ore. : Pace International Research, 1983.</t>
  </si>
  <si>
    <t xml:space="preserve">Korea ed.</t>
  </si>
  <si>
    <t xml:space="preserve">3037760:eng</t>
  </si>
  <si>
    <t xml:space="preserve">10614863</t>
  </si>
  <si>
    <t xml:space="preserve">991000401809702656</t>
  </si>
  <si>
    <t xml:space="preserve">2257582250002656</t>
  </si>
  <si>
    <t xml:space="preserve">9780892090204</t>
  </si>
  <si>
    <t xml:space="preserve">32285000526318</t>
  </si>
  <si>
    <t xml:space="preserve">893327260</t>
  </si>
  <si>
    <t xml:space="preserve">B528 .F67 1995</t>
  </si>
  <si>
    <t xml:space="preserve">0                      B  0528000F  67          1995</t>
  </si>
  <si>
    <t xml:space="preserve">Die stoische Ethik : über den Zusammenhang von Natur-, Sprach- und Moralphilosophie im altstoischen System / Maximilian Forschner.</t>
  </si>
  <si>
    <t xml:space="preserve">Forschner, Maximilian.</t>
  </si>
  <si>
    <t xml:space="preserve">Darmstadt : Wissenschaftliche Buchgesellschaft, 1995.</t>
  </si>
  <si>
    <t xml:space="preserve">2. [ed.], durchgesehene und um ein Nachwort und einen Literaturnachtrag erweiterte Auflage.</t>
  </si>
  <si>
    <t xml:space="preserve">2002-03-22</t>
  </si>
  <si>
    <t xml:space="preserve">1997-07-08</t>
  </si>
  <si>
    <t xml:space="preserve">366012162:ger</t>
  </si>
  <si>
    <t xml:space="preserve">33390325</t>
  </si>
  <si>
    <t xml:space="preserve">991002568779702656</t>
  </si>
  <si>
    <t xml:space="preserve">2272091850002656</t>
  </si>
  <si>
    <t xml:space="preserve">9783534126330</t>
  </si>
  <si>
    <t xml:space="preserve">32285002880978</t>
  </si>
  <si>
    <t xml:space="preserve">893597613</t>
  </si>
  <si>
    <t xml:space="preserve">B53 .A23</t>
  </si>
  <si>
    <t xml:space="preserve">0                      B  0053000A  23</t>
  </si>
  <si>
    <t xml:space="preserve">Man is the measure : a cordial invitation to the central problems of philosophy / Reuben Abel.</t>
  </si>
  <si>
    <t xml:space="preserve">Abel, Reuben, 1911-</t>
  </si>
  <si>
    <t xml:space="preserve">New York : Free Press, c1976.</t>
  </si>
  <si>
    <t xml:space="preserve">2003-12-06</t>
  </si>
  <si>
    <t xml:space="preserve">3199641:eng</t>
  </si>
  <si>
    <t xml:space="preserve">1848942</t>
  </si>
  <si>
    <t xml:space="preserve">991003909509702656</t>
  </si>
  <si>
    <t xml:space="preserve">2257272230002656</t>
  </si>
  <si>
    <t xml:space="preserve">9780029001400</t>
  </si>
  <si>
    <t xml:space="preserve">32285000068485</t>
  </si>
  <si>
    <t xml:space="preserve">893441944</t>
  </si>
  <si>
    <t xml:space="preserve">B53 .B88 1980</t>
  </si>
  <si>
    <t xml:space="preserve">0                      B  0053000B  88          1980</t>
  </si>
  <si>
    <t xml:space="preserve">In search of philosophic understanding / Edwin A. Burtt.</t>
  </si>
  <si>
    <t xml:space="preserve">Burtt, Edwin A. (Edwin Arthur), 1892-1989.</t>
  </si>
  <si>
    <t xml:space="preserve">Indianapolis : Hackett Pub. Co., c1980.</t>
  </si>
  <si>
    <t xml:space="preserve">1st ed., 2d print.</t>
  </si>
  <si>
    <t xml:space="preserve">1991-12-13</t>
  </si>
  <si>
    <t xml:space="preserve">133679732:eng</t>
  </si>
  <si>
    <t xml:space="preserve">6626518</t>
  </si>
  <si>
    <t xml:space="preserve">991005016289702656</t>
  </si>
  <si>
    <t xml:space="preserve">2256237870002656</t>
  </si>
  <si>
    <t xml:space="preserve">9780915144112</t>
  </si>
  <si>
    <t xml:space="preserve">32285000819325</t>
  </si>
  <si>
    <t xml:space="preserve">893242077</t>
  </si>
  <si>
    <t xml:space="preserve">B53 .B9 1957</t>
  </si>
  <si>
    <t xml:space="preserve">0                      B  0053000B  9           1957</t>
  </si>
  <si>
    <t xml:space="preserve">Four philosophies and their practice in education and religion.</t>
  </si>
  <si>
    <t xml:space="preserve">Butler, J. Donald (James Donald), 1908-1994.</t>
  </si>
  <si>
    <t xml:space="preserve">1996-12-02</t>
  </si>
  <si>
    <t xml:space="preserve">135918979:eng</t>
  </si>
  <si>
    <t xml:space="preserve">232523</t>
  </si>
  <si>
    <t xml:space="preserve">991001545549702656</t>
  </si>
  <si>
    <t xml:space="preserve">2258681240002656</t>
  </si>
  <si>
    <t xml:space="preserve">32285001074060</t>
  </si>
  <si>
    <t xml:space="preserve">893426659</t>
  </si>
  <si>
    <t xml:space="preserve">B53 .K652 1969a</t>
  </si>
  <si>
    <t xml:space="preserve">0                      B  0053000K  652         1969a</t>
  </si>
  <si>
    <t xml:space="preserve">What is philosophy? : one philosopher's answer.</t>
  </si>
  <si>
    <t xml:space="preserve">Körner, Stephan, 1913-2000.</t>
  </si>
  <si>
    <t xml:space="preserve">London : Allen Lane, 1969.</t>
  </si>
  <si>
    <t xml:space="preserve">2004-12-07</t>
  </si>
  <si>
    <t xml:space="preserve">1990-04-19</t>
  </si>
  <si>
    <t xml:space="preserve">116174622:eng</t>
  </si>
  <si>
    <t xml:space="preserve">18914</t>
  </si>
  <si>
    <t xml:space="preserve">991000029109702656</t>
  </si>
  <si>
    <t xml:space="preserve">2272318930002656</t>
  </si>
  <si>
    <t xml:space="preserve">9780713900866</t>
  </si>
  <si>
    <t xml:space="preserve">32285000068626</t>
  </si>
  <si>
    <t xml:space="preserve">893689344</t>
  </si>
  <si>
    <t xml:space="preserve">B53 .L29</t>
  </si>
  <si>
    <t xml:space="preserve">0                      B  0053000L  29</t>
  </si>
  <si>
    <t xml:space="preserve">Modern philosophy, an introduction / A.R. Lacey.</t>
  </si>
  <si>
    <t xml:space="preserve">Lacey, A. R. (Alan Robert)</t>
  </si>
  <si>
    <t xml:space="preserve">London ; Boston : Routledge &amp; K. Paul, 1982.</t>
  </si>
  <si>
    <t xml:space="preserve">445497:eng</t>
  </si>
  <si>
    <t xml:space="preserve">7573423</t>
  </si>
  <si>
    <t xml:space="preserve">991005132189702656</t>
  </si>
  <si>
    <t xml:space="preserve">2271526750002656</t>
  </si>
  <si>
    <t xml:space="preserve">9780710009357</t>
  </si>
  <si>
    <t xml:space="preserve">32285000068634</t>
  </si>
  <si>
    <t xml:space="preserve">893707311</t>
  </si>
  <si>
    <t xml:space="preserve">B53 .N63 1971</t>
  </si>
  <si>
    <t xml:space="preserve">0                      B  0053000N  63          1971</t>
  </si>
  <si>
    <t xml:space="preserve">Philosophy and human nature.</t>
  </si>
  <si>
    <t xml:space="preserve">Nott, Kathleen.</t>
  </si>
  <si>
    <t xml:space="preserve">1992-09-28</t>
  </si>
  <si>
    <t xml:space="preserve">1292163:eng</t>
  </si>
  <si>
    <t xml:space="preserve">323650</t>
  </si>
  <si>
    <t xml:space="preserve">991002341569702656</t>
  </si>
  <si>
    <t xml:space="preserve">2256582140002656</t>
  </si>
  <si>
    <t xml:space="preserve">9780814757512</t>
  </si>
  <si>
    <t xml:space="preserve">32285000068691</t>
  </si>
  <si>
    <t xml:space="preserve">893328953</t>
  </si>
  <si>
    <t xml:space="preserve">B53 .N7</t>
  </si>
  <si>
    <t xml:space="preserve">0                      B  0053000N  7</t>
  </si>
  <si>
    <t xml:space="preserve">Philosophical explanations / Robert Nozick.</t>
  </si>
  <si>
    <t xml:space="preserve">Nozick, Robert.</t>
  </si>
  <si>
    <t xml:space="preserve">2008-02-24</t>
  </si>
  <si>
    <t xml:space="preserve">430226:eng</t>
  </si>
  <si>
    <t xml:space="preserve">7283862</t>
  </si>
  <si>
    <t xml:space="preserve">991001620149702656</t>
  </si>
  <si>
    <t xml:space="preserve">2259748640002656</t>
  </si>
  <si>
    <t xml:space="preserve">9780674664487</t>
  </si>
  <si>
    <t xml:space="preserve">32285000068717</t>
  </si>
  <si>
    <t xml:space="preserve">893866336</t>
  </si>
  <si>
    <t xml:space="preserve">B53 .S64</t>
  </si>
  <si>
    <t xml:space="preserve">0                      B  0053000S  64</t>
  </si>
  <si>
    <t xml:space="preserve">Theme for reason.</t>
  </si>
  <si>
    <t xml:space="preserve">Smith, James Ward, 1917-1999.</t>
  </si>
  <si>
    <t xml:space="preserve">Princeton : Princeton University Press, 1957</t>
  </si>
  <si>
    <t xml:space="preserve">2238847:eng</t>
  </si>
  <si>
    <t xml:space="preserve">1344668</t>
  </si>
  <si>
    <t xml:space="preserve">991003706669702656</t>
  </si>
  <si>
    <t xml:space="preserve">2260106270002656</t>
  </si>
  <si>
    <t xml:space="preserve">32285001074086</t>
  </si>
  <si>
    <t xml:space="preserve">893775058</t>
  </si>
  <si>
    <t xml:space="preserve">B5305 .G93 1987</t>
  </si>
  <si>
    <t xml:space="preserve">0                      B  5305000G  93          1987</t>
  </si>
  <si>
    <t xml:space="preserve">An essay on African philosophical thought : the Akan conceptual scheme / Kwame Gyekye.</t>
  </si>
  <si>
    <t xml:space="preserve">Gyekye, Kwame.</t>
  </si>
  <si>
    <t xml:space="preserve">Cambridge ; New York : Cambridge University Press, 1987.</t>
  </si>
  <si>
    <t xml:space="preserve">10473926:eng</t>
  </si>
  <si>
    <t xml:space="preserve">15283918</t>
  </si>
  <si>
    <t xml:space="preserve">991001011339702656</t>
  </si>
  <si>
    <t xml:space="preserve">2264445790002656</t>
  </si>
  <si>
    <t xml:space="preserve">9780521325257</t>
  </si>
  <si>
    <t xml:space="preserve">32285000526425</t>
  </si>
  <si>
    <t xml:space="preserve">893528590</t>
  </si>
  <si>
    <t xml:space="preserve">B553 .M33 1989b</t>
  </si>
  <si>
    <t xml:space="preserve">0                      B  0553000M  33          1989b</t>
  </si>
  <si>
    <t xml:space="preserve">The philosophical books of Cicero / Paul MacKendrick with the collaboration of Karen Lee Singh.</t>
  </si>
  <si>
    <t xml:space="preserve">MacKendrick, Paul Lachlan, 1914-1998.</t>
  </si>
  <si>
    <t xml:space="preserve">London : Duckworth, 1989.</t>
  </si>
  <si>
    <t xml:space="preserve">2003-02-13</t>
  </si>
  <si>
    <t xml:space="preserve">148031063:eng</t>
  </si>
  <si>
    <t xml:space="preserve">18624986</t>
  </si>
  <si>
    <t xml:space="preserve">991001376869702656</t>
  </si>
  <si>
    <t xml:space="preserve">2266089700002656</t>
  </si>
  <si>
    <t xml:space="preserve">9780715622148</t>
  </si>
  <si>
    <t xml:space="preserve">32285000863893</t>
  </si>
  <si>
    <t xml:space="preserve">893244090</t>
  </si>
  <si>
    <t xml:space="preserve">B56 .S8 1961</t>
  </si>
  <si>
    <t xml:space="preserve">0                      B  0056000S  8           1961</t>
  </si>
  <si>
    <t xml:space="preserve">Mysticism and philosophy.</t>
  </si>
  <si>
    <t xml:space="preserve">London : Macmillan, 1961 [c1960]</t>
  </si>
  <si>
    <t xml:space="preserve">2006-10-16</t>
  </si>
  <si>
    <t xml:space="preserve">572348:eng</t>
  </si>
  <si>
    <t xml:space="preserve">348519</t>
  </si>
  <si>
    <t xml:space="preserve">991002434789702656</t>
  </si>
  <si>
    <t xml:space="preserve">2271228840002656</t>
  </si>
  <si>
    <t xml:space="preserve">32285000068857</t>
  </si>
  <si>
    <t xml:space="preserve">893786136</t>
  </si>
  <si>
    <t xml:space="preserve">B5704.S554 S56 1999</t>
  </si>
  <si>
    <t xml:space="preserve">0                      B  5704000S  554                S  56          1999</t>
  </si>
  <si>
    <t xml:space="preserve">Singer and his critics / edited by Dale Jamieson.</t>
  </si>
  <si>
    <t xml:space="preserve">Oxford, UK ; Malden, Mass. : Blackwell Publishers, c1999.</t>
  </si>
  <si>
    <t xml:space="preserve">1999</t>
  </si>
  <si>
    <t xml:space="preserve">Philosophers and their critics ; 8</t>
  </si>
  <si>
    <t xml:space="preserve">2005-08-17</t>
  </si>
  <si>
    <t xml:space="preserve">2005-06-21</t>
  </si>
  <si>
    <t xml:space="preserve">416526876:eng</t>
  </si>
  <si>
    <t xml:space="preserve">39897330</t>
  </si>
  <si>
    <t xml:space="preserve">991004580659702656</t>
  </si>
  <si>
    <t xml:space="preserve">2262072390002656</t>
  </si>
  <si>
    <t xml:space="preserve">9781557869081</t>
  </si>
  <si>
    <t xml:space="preserve">32285005093769</t>
  </si>
  <si>
    <t xml:space="preserve">893507000</t>
  </si>
  <si>
    <t xml:space="preserve">B573 .F43</t>
  </si>
  <si>
    <t xml:space="preserve">0                      B  0573000F  43</t>
  </si>
  <si>
    <t xml:space="preserve">Epicurus and his gods : (Épicure et ses dieux) / by A. J. Festugière. Translated by C. W. Chilton.</t>
  </si>
  <si>
    <t xml:space="preserve">Festugière, A. J. (André Jean), 1898-1982.</t>
  </si>
  <si>
    <t xml:space="preserve">Oxford : Blackwell, 1955.</t>
  </si>
  <si>
    <t xml:space="preserve">2006-04-07</t>
  </si>
  <si>
    <t xml:space="preserve">4535662378:eng</t>
  </si>
  <si>
    <t xml:space="preserve">1629608</t>
  </si>
  <si>
    <t xml:space="preserve">991003845629702656</t>
  </si>
  <si>
    <t xml:space="preserve">2262547010002656</t>
  </si>
  <si>
    <t xml:space="preserve">32285000163740</t>
  </si>
  <si>
    <t xml:space="preserve">893423042</t>
  </si>
  <si>
    <t xml:space="preserve">B573 .F8</t>
  </si>
  <si>
    <t xml:space="preserve">0                      B  0573000F  8</t>
  </si>
  <si>
    <t xml:space="preserve">Two studies in the Greek atomists : study I, Indivisible magnitudes; study II, Aristotle and Epicurus on voluntary action / [by] David J. Furley.</t>
  </si>
  <si>
    <t xml:space="preserve">Princeton, N.J. : Princeton University Press, 1967.</t>
  </si>
  <si>
    <t xml:space="preserve">2010-03-04</t>
  </si>
  <si>
    <t xml:space="preserve">290944527:eng</t>
  </si>
  <si>
    <t xml:space="preserve">873320</t>
  </si>
  <si>
    <t xml:space="preserve">991003341749702656</t>
  </si>
  <si>
    <t xml:space="preserve">2262060770002656</t>
  </si>
  <si>
    <t xml:space="preserve">32285000163765</t>
  </si>
  <si>
    <t xml:space="preserve">893721908</t>
  </si>
  <si>
    <t xml:space="preserve">B5800 .R67 1993</t>
  </si>
  <si>
    <t xml:space="preserve">0                      B  5800000R  67          1993</t>
  </si>
  <si>
    <t xml:space="preserve">Judaism and modernity : philosophical essays / Gillian Rose.</t>
  </si>
  <si>
    <t xml:space="preserve">Rose, Gillian.</t>
  </si>
  <si>
    <t xml:space="preserve">Oxford, UK ; Cambridge, Mass., USA : B. Blackwell, 1993.</t>
  </si>
  <si>
    <t xml:space="preserve">1994-12-22</t>
  </si>
  <si>
    <t xml:space="preserve">343162629:eng</t>
  </si>
  <si>
    <t xml:space="preserve">27812010</t>
  </si>
  <si>
    <t xml:space="preserve">991002158969702656</t>
  </si>
  <si>
    <t xml:space="preserve">2256389520002656</t>
  </si>
  <si>
    <t xml:space="preserve">9780631164364</t>
  </si>
  <si>
    <t xml:space="preserve">32285001978963</t>
  </si>
  <si>
    <t xml:space="preserve">893885904</t>
  </si>
  <si>
    <t xml:space="preserve">B583 .R88 1989</t>
  </si>
  <si>
    <t xml:space="preserve">0                      B  0583000R  88          1989</t>
  </si>
  <si>
    <t xml:space="preserve">The Meditations of Marcus Aurelius : a study / R.B. Rutherford.</t>
  </si>
  <si>
    <t xml:space="preserve">Rutherford, R. B.</t>
  </si>
  <si>
    <t xml:space="preserve">Oxford ; New York : Oxford University Press, 1989.</t>
  </si>
  <si>
    <t xml:space="preserve">Oxford classical monographs</t>
  </si>
  <si>
    <t xml:space="preserve">1997-07-16</t>
  </si>
  <si>
    <t xml:space="preserve">2287128013:eng</t>
  </si>
  <si>
    <t xml:space="preserve">18380652</t>
  </si>
  <si>
    <t xml:space="preserve">991001339289702656</t>
  </si>
  <si>
    <t xml:space="preserve">2255991710002656</t>
  </si>
  <si>
    <t xml:space="preserve">9780198148791</t>
  </si>
  <si>
    <t xml:space="preserve">32285000278357</t>
  </si>
  <si>
    <t xml:space="preserve">893522506</t>
  </si>
  <si>
    <t xml:space="preserve">B63 .T39 1985</t>
  </si>
  <si>
    <t xml:space="preserve">0                      B  0063000T  39          1985</t>
  </si>
  <si>
    <t xml:space="preserve">Philosophy and the human sciences / Charles Taylor.</t>
  </si>
  <si>
    <t xml:space="preserve">Cambridge [Cambridgeshire] ; New York : Cambridge University Press, 1985.</t>
  </si>
  <si>
    <t xml:space="preserve">Philosophical papers ; 2</t>
  </si>
  <si>
    <t xml:space="preserve">298875:eng</t>
  </si>
  <si>
    <t xml:space="preserve">11045018</t>
  </si>
  <si>
    <t xml:space="preserve">991000479799702656</t>
  </si>
  <si>
    <t xml:space="preserve">2260503070002656</t>
  </si>
  <si>
    <t xml:space="preserve">9780521317498</t>
  </si>
  <si>
    <t xml:space="preserve">32285000068923</t>
  </si>
  <si>
    <t xml:space="preserve">893708404</t>
  </si>
  <si>
    <t xml:space="preserve">B638 .G64 1985</t>
  </si>
  <si>
    <t xml:space="preserve">0                      B  0638000G  64          1985</t>
  </si>
  <si>
    <t xml:space="preserve">The economic and social origins of Gnosticism / Henry A. Green.</t>
  </si>
  <si>
    <t xml:space="preserve">Green, Henry A.</t>
  </si>
  <si>
    <t xml:space="preserve">Atlanta, Ga. : Scholars Press, c1985.</t>
  </si>
  <si>
    <t xml:space="preserve">Dissertation series (Society of Biblical Literature) ; no. 77</t>
  </si>
  <si>
    <t xml:space="preserve">2005-12-05</t>
  </si>
  <si>
    <t xml:space="preserve">5283964:eng</t>
  </si>
  <si>
    <t xml:space="preserve">12343633</t>
  </si>
  <si>
    <t xml:space="preserve">991000674869702656</t>
  </si>
  <si>
    <t xml:space="preserve">2268064800002656</t>
  </si>
  <si>
    <t xml:space="preserve">9780891308430</t>
  </si>
  <si>
    <t xml:space="preserve">32285000163930</t>
  </si>
  <si>
    <t xml:space="preserve">893345870</t>
  </si>
  <si>
    <t xml:space="preserve">B645 .S83</t>
  </si>
  <si>
    <t xml:space="preserve">0                      B  0645000S  83</t>
  </si>
  <si>
    <t xml:space="preserve">The Structure of being : a Neoplatonic approach / edited by R. Baine Harris.</t>
  </si>
  <si>
    <t xml:space="preserve">Norfolk, Va. : International Society for Neoplatonic Studies, c1982.</t>
  </si>
  <si>
    <t xml:space="preserve">Studies in Neoplatonism ; v. 4</t>
  </si>
  <si>
    <t xml:space="preserve">806962897:eng</t>
  </si>
  <si>
    <t xml:space="preserve">7554491</t>
  </si>
  <si>
    <t xml:space="preserve">991005127369702656</t>
  </si>
  <si>
    <t xml:space="preserve">2264718370002656</t>
  </si>
  <si>
    <t xml:space="preserve">9780873955324</t>
  </si>
  <si>
    <t xml:space="preserve">32285000163948</t>
  </si>
  <si>
    <t xml:space="preserve">893230249</t>
  </si>
  <si>
    <t xml:space="preserve">B655.Z7 H38</t>
  </si>
  <si>
    <t xml:space="preserve">0                      B  0655000Z  7                  H  38</t>
  </si>
  <si>
    <t xml:space="preserve">Saint Augustine on personality.</t>
  </si>
  <si>
    <t xml:space="preserve">Henry, Paul, 1906-1984.</t>
  </si>
  <si>
    <t xml:space="preserve">New York : Macmillan, 1960.</t>
  </si>
  <si>
    <t xml:space="preserve">|||</t>
  </si>
  <si>
    <t xml:space="preserve">The Saint Augustine lecture series: Saint Ausustine and the Augustinian tradition, 1959</t>
  </si>
  <si>
    <t xml:space="preserve">2002-11-19</t>
  </si>
  <si>
    <t xml:space="preserve">145568280:eng</t>
  </si>
  <si>
    <t xml:space="preserve">231624</t>
  </si>
  <si>
    <t xml:space="preserve">991001484399702656</t>
  </si>
  <si>
    <t xml:space="preserve">2270890000002656</t>
  </si>
  <si>
    <t xml:space="preserve">32285000164128</t>
  </si>
  <si>
    <t xml:space="preserve">893608898</t>
  </si>
  <si>
    <t xml:space="preserve">B67 .A6</t>
  </si>
  <si>
    <t xml:space="preserve">0                      B  0067000A  6</t>
  </si>
  <si>
    <t xml:space="preserve">Aquinas and Kant; the foundations of the modern sciences.</t>
  </si>
  <si>
    <t xml:space="preserve">Ardley, Gavin, 1915-1992.</t>
  </si>
  <si>
    <t xml:space="preserve">London, New York, Longmans, Green [1950]</t>
  </si>
  <si>
    <t xml:space="preserve">1997-04-27</t>
  </si>
  <si>
    <t xml:space="preserve">1990-04-20</t>
  </si>
  <si>
    <t xml:space="preserve">1929969:eng</t>
  </si>
  <si>
    <t xml:space="preserve">971876</t>
  </si>
  <si>
    <t xml:space="preserve">991003436399702656</t>
  </si>
  <si>
    <t xml:space="preserve">2259345670002656</t>
  </si>
  <si>
    <t xml:space="preserve">32285000069004</t>
  </si>
  <si>
    <t xml:space="preserve">893445658</t>
  </si>
  <si>
    <t xml:space="preserve">B67 .C56</t>
  </si>
  <si>
    <t xml:space="preserve">0                      B  0067000C  56</t>
  </si>
  <si>
    <t xml:space="preserve">Science versus philosophy.</t>
  </si>
  <si>
    <t xml:space="preserve">Connolly, Frederick G.</t>
  </si>
  <si>
    <t xml:space="preserve">New York : Philosophical Library, [1957]</t>
  </si>
  <si>
    <t xml:space="preserve">1484723:eng</t>
  </si>
  <si>
    <t xml:space="preserve">513970</t>
  </si>
  <si>
    <t xml:space="preserve">991002895419702656</t>
  </si>
  <si>
    <t xml:space="preserve">2262316430002656</t>
  </si>
  <si>
    <t xml:space="preserve">32285000069061</t>
  </si>
  <si>
    <t xml:space="preserve">893893140</t>
  </si>
  <si>
    <t xml:space="preserve">B68 .S38</t>
  </si>
  <si>
    <t xml:space="preserve">0                      B  0068000S  38</t>
  </si>
  <si>
    <t xml:space="preserve">The philosophers : their lives and the nature of their thought / Ben-Ami Scharfstein.</t>
  </si>
  <si>
    <t xml:space="preserve">Scharfstein, Ben-Ami, 1919-</t>
  </si>
  <si>
    <t xml:space="preserve">New York : Oxford University Press, 1980.</t>
  </si>
  <si>
    <t xml:space="preserve">2001-03-05</t>
  </si>
  <si>
    <t xml:space="preserve">415404:eng</t>
  </si>
  <si>
    <t xml:space="preserve">6595334</t>
  </si>
  <si>
    <t xml:space="preserve">991005009829702656</t>
  </si>
  <si>
    <t xml:space="preserve">2257320220002656</t>
  </si>
  <si>
    <t xml:space="preserve">9780195201376</t>
  </si>
  <si>
    <t xml:space="preserve">32285000069160</t>
  </si>
  <si>
    <t xml:space="preserve">893795495</t>
  </si>
  <si>
    <t xml:space="preserve">B693.E5 E5 1934</t>
  </si>
  <si>
    <t xml:space="preserve">0                      B  0693000E  5                  E  5           1934</t>
  </si>
  <si>
    <t xml:space="preserve">The essence of Plotinus : extracts from the six Enneads and Porphyry's life of Plotinus, based on the translation by Stephen Mackenna; with an appendix giving some of the most important Platonic and Aristotelian sources on which Plotinus drew, and an annotated bibliography / compiled by Grace H. Turnbull; foreword by the Very Reverend W. R. Inge, D.D.</t>
  </si>
  <si>
    <t xml:space="preserve">Plotinus.</t>
  </si>
  <si>
    <t xml:space="preserve">New York : Oxford University Press, 1934.</t>
  </si>
  <si>
    <t xml:space="preserve">1999-04-22</t>
  </si>
  <si>
    <t xml:space="preserve">1990-05-16</t>
  </si>
  <si>
    <t xml:space="preserve">4495218330:eng</t>
  </si>
  <si>
    <t xml:space="preserve">1662948</t>
  </si>
  <si>
    <t xml:space="preserve">991002555299702656</t>
  </si>
  <si>
    <t xml:space="preserve">2260129090002656</t>
  </si>
  <si>
    <t xml:space="preserve">32285000152040</t>
  </si>
  <si>
    <t xml:space="preserve">893704211</t>
  </si>
  <si>
    <t xml:space="preserve">B693.E53 K3 1950</t>
  </si>
  <si>
    <t xml:space="preserve">0                      B  0693000E  53                 K  3           1950</t>
  </si>
  <si>
    <t xml:space="preserve">The philosophy of Plotinus : representative books from the Enneads / selected and translated with an introd. by Joseph Katz.</t>
  </si>
  <si>
    <t xml:space="preserve">New York : Appleton-Century-Crofts, [1950]</t>
  </si>
  <si>
    <t xml:space="preserve">Appleton-Century philosophy source-books</t>
  </si>
  <si>
    <t xml:space="preserve">1151004333:eng</t>
  </si>
  <si>
    <t xml:space="preserve">311781</t>
  </si>
  <si>
    <t xml:space="preserve">991002287129702656</t>
  </si>
  <si>
    <t xml:space="preserve">2272622570002656</t>
  </si>
  <si>
    <t xml:space="preserve">32285000152057</t>
  </si>
  <si>
    <t xml:space="preserve">893879727</t>
  </si>
  <si>
    <t xml:space="preserve">B693.Z7 A68</t>
  </si>
  <si>
    <t xml:space="preserve">0                      B  0693000Z  7                  A  68</t>
  </si>
  <si>
    <t xml:space="preserve">The architecture of the intelligible universe in the philosophy of Plotinus.</t>
  </si>
  <si>
    <t xml:space="preserve">Armstrong, A. H. (Arthur Hilary)</t>
  </si>
  <si>
    <t xml:space="preserve">Cambridge [Eng.] : The University Press, 1940.</t>
  </si>
  <si>
    <t xml:space="preserve">Cambridge classical studies ; 6</t>
  </si>
  <si>
    <t xml:space="preserve">1495826:eng</t>
  </si>
  <si>
    <t xml:space="preserve">1831096</t>
  </si>
  <si>
    <t xml:space="preserve">991000157149702656</t>
  </si>
  <si>
    <t xml:space="preserve">2254847620002656</t>
  </si>
  <si>
    <t xml:space="preserve">32285000152081</t>
  </si>
  <si>
    <t xml:space="preserve">893607708</t>
  </si>
  <si>
    <t xml:space="preserve">B693.Z7 B713</t>
  </si>
  <si>
    <t xml:space="preserve">0                      B  0693000Z  7                  B  713</t>
  </si>
  <si>
    <t xml:space="preserve">The philosophy of Plotinus / translated by Joseph Thomas.</t>
  </si>
  <si>
    <t xml:space="preserve">Bréhier, Emile, 1876-1952.</t>
  </si>
  <si>
    <t xml:space="preserve">[Chicago] : University of Chicago Press, [1958]</t>
  </si>
  <si>
    <t xml:space="preserve">1103680306:eng</t>
  </si>
  <si>
    <t xml:space="preserve">320798</t>
  </si>
  <si>
    <t xml:space="preserve">991002325759702656</t>
  </si>
  <si>
    <t xml:space="preserve">2255863670002656</t>
  </si>
  <si>
    <t xml:space="preserve">32285000152099</t>
  </si>
  <si>
    <t xml:space="preserve">893415075</t>
  </si>
  <si>
    <t xml:space="preserve">B693.Z7 D4</t>
  </si>
  <si>
    <t xml:space="preserve">0                      B  0693000Z  7                  D  4</t>
  </si>
  <si>
    <t xml:space="preserve">Nature, contemplation, and the one : a study in the philosophy of Plotinus / [by] John N. Deck.</t>
  </si>
  <si>
    <t xml:space="preserve">Deck, John N.</t>
  </si>
  <si>
    <t xml:space="preserve">[Toronto] : University of Toronto Press, [c1967]</t>
  </si>
  <si>
    <t xml:space="preserve">1632780:eng</t>
  </si>
  <si>
    <t xml:space="preserve">706395</t>
  </si>
  <si>
    <t xml:space="preserve">991003169749702656</t>
  </si>
  <si>
    <t xml:space="preserve">2258506980002656</t>
  </si>
  <si>
    <t xml:space="preserve">32285000152107</t>
  </si>
  <si>
    <t xml:space="preserve">893617064</t>
  </si>
  <si>
    <t xml:space="preserve">B693.Z7 K3</t>
  </si>
  <si>
    <t xml:space="preserve">0                      B  0693000Z  7                  K  3</t>
  </si>
  <si>
    <t xml:space="preserve">Plotinus' search for the good.</t>
  </si>
  <si>
    <t xml:space="preserve">Katz, Joseph, 1920-1988.</t>
  </si>
  <si>
    <t xml:space="preserve">New York : King's Crown Press, 1950.</t>
  </si>
  <si>
    <t xml:space="preserve">2487495:eng</t>
  </si>
  <si>
    <t xml:space="preserve">1666268</t>
  </si>
  <si>
    <t xml:space="preserve">991003861139702656</t>
  </si>
  <si>
    <t xml:space="preserve">2270727730002656</t>
  </si>
  <si>
    <t xml:space="preserve">32285000152149</t>
  </si>
  <si>
    <t xml:space="preserve">893240683</t>
  </si>
  <si>
    <t xml:space="preserve">B693.Z7 R5</t>
  </si>
  <si>
    <t xml:space="preserve">0                      B  0693000Z  7                  R  5</t>
  </si>
  <si>
    <t xml:space="preserve">Plotinus : the road to reality / by J. M. Rist.</t>
  </si>
  <si>
    <t xml:space="preserve">Rist, John M.</t>
  </si>
  <si>
    <t xml:space="preserve">Cambridge : Cambridge U.P., 1967.</t>
  </si>
  <si>
    <t xml:space="preserve">9593817:eng</t>
  </si>
  <si>
    <t xml:space="preserve">297191</t>
  </si>
  <si>
    <t xml:space="preserve">991002242069702656</t>
  </si>
  <si>
    <t xml:space="preserve">2262978500002656</t>
  </si>
  <si>
    <t xml:space="preserve">32285000152172</t>
  </si>
  <si>
    <t xml:space="preserve">893591091</t>
  </si>
  <si>
    <t xml:space="preserve">B72 .A4</t>
  </si>
  <si>
    <t xml:space="preserve">0                      B  0072000A  4</t>
  </si>
  <si>
    <t xml:space="preserve">The march of philosophy / by Henry Alpern. --</t>
  </si>
  <si>
    <t xml:space="preserve">Alpern, Henry, 1895-1967.</t>
  </si>
  <si>
    <t xml:space="preserve">New York : Dial press, 1934, c1933.</t>
  </si>
  <si>
    <t xml:space="preserve">1438717:eng</t>
  </si>
  <si>
    <t xml:space="preserve">1555365</t>
  </si>
  <si>
    <t xml:space="preserve">991003819129702656</t>
  </si>
  <si>
    <t xml:space="preserve">2267703280002656</t>
  </si>
  <si>
    <t xml:space="preserve">32285000069244</t>
  </si>
  <si>
    <t xml:space="preserve">893410736</t>
  </si>
  <si>
    <t xml:space="preserve">B72 .A98 1986</t>
  </si>
  <si>
    <t xml:space="preserve">0                      B  0072000A  98          1986</t>
  </si>
  <si>
    <t xml:space="preserve">Autonomy and solidarity : interviews [with] Jürgen Habermas / edited and introduced by Peter Dews.</t>
  </si>
  <si>
    <t xml:space="preserve">London : Verso, 1986.</t>
  </si>
  <si>
    <t xml:space="preserve">2009-08-24</t>
  </si>
  <si>
    <t xml:space="preserve">350148615:eng</t>
  </si>
  <si>
    <t xml:space="preserve">13065022</t>
  </si>
  <si>
    <t xml:space="preserve">991000776289702656</t>
  </si>
  <si>
    <t xml:space="preserve">2255843150002656</t>
  </si>
  <si>
    <t xml:space="preserve">9780860918523</t>
  </si>
  <si>
    <t xml:space="preserve">32285000069269</t>
  </si>
  <si>
    <t xml:space="preserve">893413673</t>
  </si>
  <si>
    <t xml:space="preserve">B72 .C595 1999</t>
  </si>
  <si>
    <t xml:space="preserve">0                      B  0072000C  595         1999</t>
  </si>
  <si>
    <t xml:space="preserve">A companion to the philosophers / edited by Robert L. Arrington ; advisory editors, John Beversluis ... [et al.].</t>
  </si>
  <si>
    <t xml:space="preserve">Malden, Mass. : Blackwell Publishers, 1999.</t>
  </si>
  <si>
    <t xml:space="preserve">Blackwell companions to philosophers</t>
  </si>
  <si>
    <t xml:space="preserve">2001-01-17</t>
  </si>
  <si>
    <t xml:space="preserve">9021774619:eng</t>
  </si>
  <si>
    <t xml:space="preserve">39060533</t>
  </si>
  <si>
    <t xml:space="preserve">991003343969702656</t>
  </si>
  <si>
    <t xml:space="preserve">2255835440002656</t>
  </si>
  <si>
    <t xml:space="preserve">9781557868459</t>
  </si>
  <si>
    <t xml:space="preserve">32285004290143</t>
  </si>
  <si>
    <t xml:space="preserve">893422485</t>
  </si>
  <si>
    <t xml:space="preserve">B72 .F8 1955</t>
  </si>
  <si>
    <t xml:space="preserve">0                      B  0072000F  8           1955</t>
  </si>
  <si>
    <t xml:space="preserve">A history of philosophy.</t>
  </si>
  <si>
    <t xml:space="preserve">Fuller, B. A. G. (Benjamin Apthorp Gould), 1879-1956.</t>
  </si>
  <si>
    <t xml:space="preserve">New York : Holt, [1955]</t>
  </si>
  <si>
    <t xml:space="preserve">3d ed., rev. by Sterling M. McMurrin.</t>
  </si>
  <si>
    <t xml:space="preserve">1992-02-02</t>
  </si>
  <si>
    <t xml:space="preserve">3372469342:eng</t>
  </si>
  <si>
    <t xml:space="preserve">181576</t>
  </si>
  <si>
    <t xml:space="preserve">991004288729702656</t>
  </si>
  <si>
    <t xml:space="preserve">2267728920002656</t>
  </si>
  <si>
    <t xml:space="preserve">32285000069376</t>
  </si>
  <si>
    <t xml:space="preserve">893901055</t>
  </si>
  <si>
    <t xml:space="preserve">B72 .H34 1983</t>
  </si>
  <si>
    <t xml:space="preserve">0                      B  0072000H  34          1983</t>
  </si>
  <si>
    <t xml:space="preserve">Insights and oversights of great thinkers : an evaluation of western philosophy / Charles Hartshorne.</t>
  </si>
  <si>
    <t xml:space="preserve">Albany : State University of New York Press, c1983.</t>
  </si>
  <si>
    <t xml:space="preserve">906262460:eng</t>
  </si>
  <si>
    <t xml:space="preserve">8667052</t>
  </si>
  <si>
    <t xml:space="preserve">991000043219702656</t>
  </si>
  <si>
    <t xml:space="preserve">2270908370002656</t>
  </si>
  <si>
    <t xml:space="preserve">9780873956826</t>
  </si>
  <si>
    <t xml:space="preserve">32285000069434</t>
  </si>
  <si>
    <t xml:space="preserve">893595211</t>
  </si>
  <si>
    <t xml:space="preserve">B72 .H36 1987</t>
  </si>
  <si>
    <t xml:space="preserve">0                      B  0072000H  36          1987</t>
  </si>
  <si>
    <t xml:space="preserve">A history of Western philosophy / D.W. Hamlyn.</t>
  </si>
  <si>
    <t xml:space="preserve">Hamlyn, D. W., 1924-</t>
  </si>
  <si>
    <t xml:space="preserve">[Harmondsworth] : Viking, 1987.</t>
  </si>
  <si>
    <t xml:space="preserve">16664455:eng</t>
  </si>
  <si>
    <t xml:space="preserve">18021166</t>
  </si>
  <si>
    <t xml:space="preserve">991000909539702656</t>
  </si>
  <si>
    <t xml:space="preserve">2268302750002656</t>
  </si>
  <si>
    <t xml:space="preserve">9780670802432</t>
  </si>
  <si>
    <t xml:space="preserve">32285000069442</t>
  </si>
  <si>
    <t xml:space="preserve">893620908</t>
  </si>
  <si>
    <t xml:space="preserve">B72 .H55</t>
  </si>
  <si>
    <t xml:space="preserve">0                      B  0072000H  55</t>
  </si>
  <si>
    <t xml:space="preserve">A History of western philosophy.</t>
  </si>
  <si>
    <t xml:space="preserve">2</t>
  </si>
  <si>
    <t xml:space="preserve">Chicago : Regnery, 1963-</t>
  </si>
  <si>
    <t xml:space="preserve">2009-02-24</t>
  </si>
  <si>
    <t xml:space="preserve">9906648072:eng</t>
  </si>
  <si>
    <t xml:space="preserve">244693</t>
  </si>
  <si>
    <t xml:space="preserve">991004172059702656</t>
  </si>
  <si>
    <t xml:space="preserve">2263640450002656</t>
  </si>
  <si>
    <t xml:space="preserve">32285001472520</t>
  </si>
  <si>
    <t xml:space="preserve">893687454</t>
  </si>
  <si>
    <t xml:space="preserve">32285001472488</t>
  </si>
  <si>
    <t xml:space="preserve">893712239</t>
  </si>
  <si>
    <t xml:space="preserve">1993-01-06</t>
  </si>
  <si>
    <t xml:space="preserve">32285001472496</t>
  </si>
  <si>
    <t xml:space="preserve">893722308</t>
  </si>
  <si>
    <t xml:space="preserve">32285001472561</t>
  </si>
  <si>
    <t xml:space="preserve">893718576</t>
  </si>
  <si>
    <t xml:space="preserve">32285001472546</t>
  </si>
  <si>
    <t xml:space="preserve">893687453</t>
  </si>
  <si>
    <t xml:space="preserve">B72 .L38 1989</t>
  </si>
  <si>
    <t xml:space="preserve">0                      B  0072000L  38          1989</t>
  </si>
  <si>
    <t xml:space="preserve">The nature of philosophical inquiry / by Quentin Lauer.</t>
  </si>
  <si>
    <t xml:space="preserve">Milwaukee : Marquette University Press, 1989.</t>
  </si>
  <si>
    <t xml:space="preserve">The Aquinas lectures ; 1989</t>
  </si>
  <si>
    <t xml:space="preserve">2004-03-19</t>
  </si>
  <si>
    <t xml:space="preserve">1033390:eng</t>
  </si>
  <si>
    <t xml:space="preserve">19492069</t>
  </si>
  <si>
    <t xml:space="preserve">991001464759702656</t>
  </si>
  <si>
    <t xml:space="preserve">2266398260002656</t>
  </si>
  <si>
    <t xml:space="preserve">9780874621563</t>
  </si>
  <si>
    <t xml:space="preserve">32285000069491</t>
  </si>
  <si>
    <t xml:space="preserve">893872545</t>
  </si>
  <si>
    <t xml:space="preserve">B72 .M35 1984</t>
  </si>
  <si>
    <t xml:space="preserve">0                      B  0072000M  35          1984</t>
  </si>
  <si>
    <t xml:space="preserve">The miracle of existence / Henry Margenau.</t>
  </si>
  <si>
    <t xml:space="preserve">Margenau, Henry, 1901-1997.</t>
  </si>
  <si>
    <t xml:space="preserve">Woodbridge, Conn. : Ox Bow Press, 1984.</t>
  </si>
  <si>
    <t xml:space="preserve">1997-11-20</t>
  </si>
  <si>
    <t xml:space="preserve">58267606:eng</t>
  </si>
  <si>
    <t xml:space="preserve">9622453</t>
  </si>
  <si>
    <t xml:space="preserve">991000228539702656</t>
  </si>
  <si>
    <t xml:space="preserve">2269439570002656</t>
  </si>
  <si>
    <t xml:space="preserve">9780918024268</t>
  </si>
  <si>
    <t xml:space="preserve">32285000069517</t>
  </si>
  <si>
    <t xml:space="preserve">893890533</t>
  </si>
  <si>
    <t xml:space="preserve">B72 .M373 1987</t>
  </si>
  <si>
    <t xml:space="preserve">0                      B  0072000M  373         1987</t>
  </si>
  <si>
    <t xml:space="preserve">A new history of philosophy / Wallace I. Matson ; under the general editorship of Robert J. Fogelin.</t>
  </si>
  <si>
    <t xml:space="preserve">Matson, Wallace I.</t>
  </si>
  <si>
    <t xml:space="preserve">1997-10-09</t>
  </si>
  <si>
    <t xml:space="preserve">2864749343:eng</t>
  </si>
  <si>
    <t xml:space="preserve">15107030</t>
  </si>
  <si>
    <t xml:space="preserve">991000990219702656</t>
  </si>
  <si>
    <t xml:space="preserve">2266553910002656</t>
  </si>
  <si>
    <t xml:space="preserve">9780155657298</t>
  </si>
  <si>
    <t xml:space="preserve">32285000057934</t>
  </si>
  <si>
    <t xml:space="preserve">893602230</t>
  </si>
  <si>
    <t xml:space="preserve">32285000105030</t>
  </si>
  <si>
    <t xml:space="preserve">893620988</t>
  </si>
  <si>
    <t xml:space="preserve">B72 .M76</t>
  </si>
  <si>
    <t xml:space="preserve">0                      B  0072000M  76</t>
  </si>
  <si>
    <t xml:space="preserve">Great visions of philosophy : varieties of speculative thought in the west from the Greeks to Bergson.</t>
  </si>
  <si>
    <t xml:space="preserve">Montague, William Pepperell, 1873-1953.</t>
  </si>
  <si>
    <t xml:space="preserve">La Salle, Ill. : Open Court Pub. Co., 1950.</t>
  </si>
  <si>
    <t xml:space="preserve">The Paul Carus Foundation lectures, 4th ser.</t>
  </si>
  <si>
    <t xml:space="preserve">1993-05-24</t>
  </si>
  <si>
    <t xml:space="preserve">1426722:eng</t>
  </si>
  <si>
    <t xml:space="preserve">280565</t>
  </si>
  <si>
    <t xml:space="preserve">991002188639702656</t>
  </si>
  <si>
    <t xml:space="preserve">2265193300002656</t>
  </si>
  <si>
    <t xml:space="preserve">32285000069533</t>
  </si>
  <si>
    <t xml:space="preserve">893773305</t>
  </si>
  <si>
    <t xml:space="preserve">B72 .N43 1982</t>
  </si>
  <si>
    <t xml:space="preserve">0                      B  0072000N  43          1982</t>
  </si>
  <si>
    <t xml:space="preserve">The heart of philosophy / by Jacob Needleman.</t>
  </si>
  <si>
    <t xml:space="preserve">Needleman, Jacob.</t>
  </si>
  <si>
    <t xml:space="preserve">New York : Knopf, 1982.</t>
  </si>
  <si>
    <t xml:space="preserve">1993-04-02</t>
  </si>
  <si>
    <t xml:space="preserve">463202:eng</t>
  </si>
  <si>
    <t xml:space="preserve">8533411</t>
  </si>
  <si>
    <t xml:space="preserve">991000009569702656</t>
  </si>
  <si>
    <t xml:space="preserve">2267259810002656</t>
  </si>
  <si>
    <t xml:space="preserve">9780394513805</t>
  </si>
  <si>
    <t xml:space="preserve">32285000069541</t>
  </si>
  <si>
    <t xml:space="preserve">893884023</t>
  </si>
  <si>
    <t xml:space="preserve">B72 .O2</t>
  </si>
  <si>
    <t xml:space="preserve">0                      B  0072000O  2</t>
  </si>
  <si>
    <t xml:space="preserve">A critical history of Western philosophy.</t>
  </si>
  <si>
    <t xml:space="preserve">O'Connor, D. J. (Daniel John), 1914-2012, editor.</t>
  </si>
  <si>
    <t xml:space="preserve">[New York] : Free Press of Glencoe, [1964]</t>
  </si>
  <si>
    <t xml:space="preserve">Free Press textbooks in philosophy</t>
  </si>
  <si>
    <t xml:space="preserve">1994-12-21</t>
  </si>
  <si>
    <t xml:space="preserve">54714189:eng</t>
  </si>
  <si>
    <t xml:space="preserve">1474786</t>
  </si>
  <si>
    <t xml:space="preserve">991003772749702656</t>
  </si>
  <si>
    <t xml:space="preserve">2254858150002656</t>
  </si>
  <si>
    <t xml:space="preserve">32285000069558</t>
  </si>
  <si>
    <t xml:space="preserve">893705616</t>
  </si>
  <si>
    <t xml:space="preserve">B72 .R3</t>
  </si>
  <si>
    <t xml:space="preserve">0                      B  0072000R  3</t>
  </si>
  <si>
    <t xml:space="preserve">History of philosophy : eastern and western / Sponsored by the Ministry of Education, Government of India. Editorial board: Sarvepalli Radhakrishnan [and others]</t>
  </si>
  <si>
    <t xml:space="preserve">Radhakrishnan, S. (Sarvepalli), 1888-1975 editor.</t>
  </si>
  <si>
    <t xml:space="preserve">London : Allen &amp; Unwin, [1952-53]</t>
  </si>
  <si>
    <t xml:space="preserve">1998-02-17</t>
  </si>
  <si>
    <t xml:space="preserve">364226682:eng</t>
  </si>
  <si>
    <t xml:space="preserve">1288929</t>
  </si>
  <si>
    <t xml:space="preserve">991003671409702656</t>
  </si>
  <si>
    <t xml:space="preserve">2266772200002656</t>
  </si>
  <si>
    <t xml:space="preserve">32285000069590</t>
  </si>
  <si>
    <t xml:space="preserve">893422811</t>
  </si>
  <si>
    <t xml:space="preserve">32285000069608</t>
  </si>
  <si>
    <t xml:space="preserve">893435267</t>
  </si>
  <si>
    <t xml:space="preserve">B72 .R83 1959a</t>
  </si>
  <si>
    <t xml:space="preserve">0                      B  0072000R  83          1959a</t>
  </si>
  <si>
    <t xml:space="preserve">Wisdom of the West : a historical survey of Western philosophy in its social and political setting / editor: Paul Foulkes. Designer: Edward Wright. With ten compositions by John Piper.</t>
  </si>
  <si>
    <t xml:space="preserve">Garden City, N.Y. : Doubleday, [1959]</t>
  </si>
  <si>
    <t xml:space="preserve">2009-06-30</t>
  </si>
  <si>
    <t xml:space="preserve">4923249594:eng</t>
  </si>
  <si>
    <t xml:space="preserve">368395</t>
  </si>
  <si>
    <t xml:space="preserve">991002543939702656</t>
  </si>
  <si>
    <t xml:space="preserve">2264719320002656</t>
  </si>
  <si>
    <t xml:space="preserve">32285000069665</t>
  </si>
  <si>
    <t xml:space="preserve">893886429</t>
  </si>
  <si>
    <t xml:space="preserve">B72 .S66 1996</t>
  </si>
  <si>
    <t xml:space="preserve">0                      B  0072000S  66          1996</t>
  </si>
  <si>
    <t xml:space="preserve">A short history of philosophy / Robert C. Solomon, Kathleen M. Higgins.</t>
  </si>
  <si>
    <t xml:space="preserve">Solomon, Robert C.</t>
  </si>
  <si>
    <t xml:space="preserve">2009-04-22</t>
  </si>
  <si>
    <t xml:space="preserve">9438269119:eng</t>
  </si>
  <si>
    <t xml:space="preserve">32396951</t>
  </si>
  <si>
    <t xml:space="preserve">991002490679702656</t>
  </si>
  <si>
    <t xml:space="preserve">2256645340002656</t>
  </si>
  <si>
    <t xml:space="preserve">9780195086478</t>
  </si>
  <si>
    <t xml:space="preserve">32285002187838</t>
  </si>
  <si>
    <t xml:space="preserve">893691670</t>
  </si>
  <si>
    <t xml:space="preserve">B72 .S784 1997</t>
  </si>
  <si>
    <t xml:space="preserve">0                      B  0072000S  784         1997</t>
  </si>
  <si>
    <t xml:space="preserve">The truth about everything : an irreverent history of philosophy, with illustrations / Matthew Stewart.</t>
  </si>
  <si>
    <t xml:space="preserve">Stewart, Matthew.</t>
  </si>
  <si>
    <t xml:space="preserve">Amherst, N.Y. : Prometheus Books, c1997.</t>
  </si>
  <si>
    <t xml:space="preserve">1998-05-22</t>
  </si>
  <si>
    <t xml:space="preserve">1043875992:eng</t>
  </si>
  <si>
    <t xml:space="preserve">35269931</t>
  </si>
  <si>
    <t xml:space="preserve">991002701369702656</t>
  </si>
  <si>
    <t xml:space="preserve">2268179810002656</t>
  </si>
  <si>
    <t xml:space="preserve">9781573921107</t>
  </si>
  <si>
    <t xml:space="preserve">32285003355624</t>
  </si>
  <si>
    <t xml:space="preserve">893780113</t>
  </si>
  <si>
    <t xml:space="preserve">B72 .T8 1964</t>
  </si>
  <si>
    <t xml:space="preserve">0                      B  0072000T  8           1964</t>
  </si>
  <si>
    <t xml:space="preserve">The great philosophers.</t>
  </si>
  <si>
    <t xml:space="preserve">Tsanoff, Radoslav A. (Radoslav Andrea), 1887-1976.</t>
  </si>
  <si>
    <t xml:space="preserve">2d ed. [By] Radoslav A. Tsanoff.</t>
  </si>
  <si>
    <t xml:space="preserve">1993-02-15</t>
  </si>
  <si>
    <t xml:space="preserve">3943936040:eng</t>
  </si>
  <si>
    <t xml:space="preserve">643139</t>
  </si>
  <si>
    <t xml:space="preserve">991003092909702656</t>
  </si>
  <si>
    <t xml:space="preserve">2258337770002656</t>
  </si>
  <si>
    <t xml:space="preserve">32285000069723</t>
  </si>
  <si>
    <t xml:space="preserve">893227682</t>
  </si>
  <si>
    <t xml:space="preserve">B72 .W55 1986</t>
  </si>
  <si>
    <t xml:space="preserve">0                      B  0072000W  55          1986</t>
  </si>
  <si>
    <t xml:space="preserve">What philosophy can do / John Wilson.</t>
  </si>
  <si>
    <t xml:space="preserve">Wilson, John, 1928-2003.</t>
  </si>
  <si>
    <t xml:space="preserve">Totowa, N.J. : Barnes &amp; Noble Books, 1986.</t>
  </si>
  <si>
    <t xml:space="preserve">2008-12-10</t>
  </si>
  <si>
    <t xml:space="preserve">138569935:eng</t>
  </si>
  <si>
    <t xml:space="preserve">13156590</t>
  </si>
  <si>
    <t xml:space="preserve">991000790439702656</t>
  </si>
  <si>
    <t xml:space="preserve">2266337440002656</t>
  </si>
  <si>
    <t xml:space="preserve">9780389206231</t>
  </si>
  <si>
    <t xml:space="preserve">32285000069749</t>
  </si>
  <si>
    <t xml:space="preserve">893502807</t>
  </si>
  <si>
    <t xml:space="preserve">B72 .Z34</t>
  </si>
  <si>
    <t xml:space="preserve">0                      B  0072000Z  34</t>
  </si>
  <si>
    <t xml:space="preserve">How philosophy begins / by Beatrice H. Zedler.</t>
  </si>
  <si>
    <t xml:space="preserve">Zedler, Beatrice H. (Beatrice Hope), 1916-</t>
  </si>
  <si>
    <t xml:space="preserve">Milwaukee : Marquette University Press, 1983.</t>
  </si>
  <si>
    <t xml:space="preserve">Aquinas lecture ; 1983</t>
  </si>
  <si>
    <t xml:space="preserve">2004-03-14</t>
  </si>
  <si>
    <t xml:space="preserve">1033379:eng</t>
  </si>
  <si>
    <t xml:space="preserve">9278770</t>
  </si>
  <si>
    <t xml:space="preserve">991000161489702656</t>
  </si>
  <si>
    <t xml:space="preserve">2268600700002656</t>
  </si>
  <si>
    <t xml:space="preserve">9780874621518</t>
  </si>
  <si>
    <t xml:space="preserve">32285000069756</t>
  </si>
  <si>
    <t xml:space="preserve">893896667</t>
  </si>
  <si>
    <t xml:space="preserve">B72.J652 K32 1975</t>
  </si>
  <si>
    <t xml:space="preserve">0                      B  0072000J  652                K  32          1975</t>
  </si>
  <si>
    <t xml:space="preserve">Kant and the nineteenth century : a history of western philosophy / W.T. Jones.</t>
  </si>
  <si>
    <t xml:space="preserve">Jones, W. T. (William Thomas), 1910-</t>
  </si>
  <si>
    <t xml:space="preserve">New York : Harcourt Brace Jovanovich, Inc. , 1975, c1969.</t>
  </si>
  <si>
    <t xml:space="preserve">2d rev. ed.</t>
  </si>
  <si>
    <t xml:space="preserve">A History of western philosophy ; v. 4</t>
  </si>
  <si>
    <t xml:space="preserve">1995-11-20</t>
  </si>
  <si>
    <t xml:space="preserve">1990-02-06</t>
  </si>
  <si>
    <t xml:space="preserve">413797:eng</t>
  </si>
  <si>
    <t xml:space="preserve">2103436</t>
  </si>
  <si>
    <t xml:space="preserve">991004014589702656</t>
  </si>
  <si>
    <t xml:space="preserve">2271662280002656</t>
  </si>
  <si>
    <t xml:space="preserve">32285000039981</t>
  </si>
  <si>
    <t xml:space="preserve">893253135</t>
  </si>
  <si>
    <t xml:space="preserve">B720 .M3</t>
  </si>
  <si>
    <t xml:space="preserve">0                      B  0720000M  3</t>
  </si>
  <si>
    <t xml:space="preserve">Selections from medieval philosophers / edited and translated, with introductory notes, by Richard McKeon.</t>
  </si>
  <si>
    <t xml:space="preserve">McKeon, Richard (Richard Peter), 1900-1985 editor.</t>
  </si>
  <si>
    <t xml:space="preserve">New York ; Boston [etc.] : C. Scribner's Sons, [c1929]-</t>
  </si>
  <si>
    <t xml:space="preserve">The Modern student's library. [Philosophy series]</t>
  </si>
  <si>
    <t xml:space="preserve">355753918:eng</t>
  </si>
  <si>
    <t xml:space="preserve">933179</t>
  </si>
  <si>
    <t xml:space="preserve">991003394339702656</t>
  </si>
  <si>
    <t xml:space="preserve">2271959940002656</t>
  </si>
  <si>
    <t xml:space="preserve">32285000153212</t>
  </si>
  <si>
    <t xml:space="preserve">893717613</t>
  </si>
  <si>
    <t xml:space="preserve">32285000153204</t>
  </si>
  <si>
    <t xml:space="preserve">893711338</t>
  </si>
  <si>
    <t xml:space="preserve">B721 .C57</t>
  </si>
  <si>
    <t xml:space="preserve">0                      B  0721000C  57</t>
  </si>
  <si>
    <t xml:space="preserve">Medieval philosophy / by Frederick C. Copleston.</t>
  </si>
  <si>
    <t xml:space="preserve">New York : Philosophical Library, [1952]</t>
  </si>
  <si>
    <t xml:space="preserve">1990-05-17</t>
  </si>
  <si>
    <t xml:space="preserve">3901472951:eng</t>
  </si>
  <si>
    <t xml:space="preserve">2865693</t>
  </si>
  <si>
    <t xml:space="preserve">991004265919702656</t>
  </si>
  <si>
    <t xml:space="preserve">2266695850002656</t>
  </si>
  <si>
    <t xml:space="preserve">32285000153287</t>
  </si>
  <si>
    <t xml:space="preserve">893775830</t>
  </si>
  <si>
    <t xml:space="preserve">B721 .G53</t>
  </si>
  <si>
    <t xml:space="preserve">0                      B  0721000G  53</t>
  </si>
  <si>
    <t xml:space="preserve">Reason and revelation in the middle ages / by Etienne Gilson.</t>
  </si>
  <si>
    <t xml:space="preserve">New York : C. Scribner's sons, 1938.</t>
  </si>
  <si>
    <t xml:space="preserve">The Richards lectures in the University of Virginia [1937]</t>
  </si>
  <si>
    <t xml:space="preserve">398508:eng</t>
  </si>
  <si>
    <t xml:space="preserve">260990</t>
  </si>
  <si>
    <t xml:space="preserve">991002040899702656</t>
  </si>
  <si>
    <t xml:space="preserve">2262645080002656</t>
  </si>
  <si>
    <t xml:space="preserve">32285000153303</t>
  </si>
  <si>
    <t xml:space="preserve">893715977</t>
  </si>
  <si>
    <t xml:space="preserve">B721 .W93 1925</t>
  </si>
  <si>
    <t xml:space="preserve">0                      B  0721000W  93          1925</t>
  </si>
  <si>
    <t xml:space="preserve">History of mediæval philosophy / by Maurice de Wulf. Translated by Ernest C. Messenger.</t>
  </si>
  <si>
    <t xml:space="preserve">Wulf, M. de (Maurice), 1867-1947.</t>
  </si>
  <si>
    <t xml:space="preserve">London ; New York [etc.] : Longmans, Green and co., 1925-26.</t>
  </si>
  <si>
    <t xml:space="preserve">1994-04-13</t>
  </si>
  <si>
    <t xml:space="preserve">1990-05-21</t>
  </si>
  <si>
    <t xml:space="preserve">4663893694:eng</t>
  </si>
  <si>
    <t xml:space="preserve">573421</t>
  </si>
  <si>
    <t xml:space="preserve">991003006449702656</t>
  </si>
  <si>
    <t xml:space="preserve">2271082450002656</t>
  </si>
  <si>
    <t xml:space="preserve">32285000154111</t>
  </si>
  <si>
    <t xml:space="preserve">893721751</t>
  </si>
  <si>
    <t xml:space="preserve">32285000154129</t>
  </si>
  <si>
    <t xml:space="preserve">893717211</t>
  </si>
  <si>
    <t xml:space="preserve">B73 .D48 1984</t>
  </si>
  <si>
    <t xml:space="preserve">0                      B  0073000D  48          1984</t>
  </si>
  <si>
    <t xml:space="preserve">Types of thinking including A survey of Greek philosophy / by John Dewey ; with an introduction by Samuel Meyer.</t>
  </si>
  <si>
    <t xml:space="preserve">Dewey, John, 1859-1952.</t>
  </si>
  <si>
    <t xml:space="preserve">New York : Philosophical Library, c1984.</t>
  </si>
  <si>
    <t xml:space="preserve">889804946:eng</t>
  </si>
  <si>
    <t xml:space="preserve">9757253</t>
  </si>
  <si>
    <t xml:space="preserve">991000250929702656</t>
  </si>
  <si>
    <t xml:space="preserve">2256478900002656</t>
  </si>
  <si>
    <t xml:space="preserve">9780802224040</t>
  </si>
  <si>
    <t xml:space="preserve">32285000069772</t>
  </si>
  <si>
    <t xml:space="preserve">893708242</t>
  </si>
  <si>
    <t xml:space="preserve">B73 .M2 1967</t>
  </si>
  <si>
    <t xml:space="preserve">0                      B  0073000M  2           1967</t>
  </si>
  <si>
    <t xml:space="preserve">Tales of philosophy / edited by Félix Martí-Ibáñez.</t>
  </si>
  <si>
    <t xml:space="preserve">MD; medical newsmagazine.</t>
  </si>
  <si>
    <t xml:space="preserve">New York : C. N. Potter, [1967]</t>
  </si>
  <si>
    <t xml:space="preserve">54012575:eng</t>
  </si>
  <si>
    <t xml:space="preserve">934136</t>
  </si>
  <si>
    <t xml:space="preserve">991003395209702656</t>
  </si>
  <si>
    <t xml:space="preserve">2269583820002656</t>
  </si>
  <si>
    <t xml:space="preserve">32285000069780</t>
  </si>
  <si>
    <t xml:space="preserve">893598550</t>
  </si>
  <si>
    <t xml:space="preserve">B73 .W38 1991</t>
  </si>
  <si>
    <t xml:space="preserve">0                      B  0073000W  38          1991</t>
  </si>
  <si>
    <t xml:space="preserve">Ways of knowing / John Brockman, editor.</t>
  </si>
  <si>
    <t xml:space="preserve">New York : Prentice Hall Press, c1991.</t>
  </si>
  <si>
    <t xml:space="preserve">The Reality Club ; 3</t>
  </si>
  <si>
    <t xml:space="preserve">2006-10-13</t>
  </si>
  <si>
    <t xml:space="preserve">3772425469:eng</t>
  </si>
  <si>
    <t xml:space="preserve">22183616</t>
  </si>
  <si>
    <t xml:space="preserve">991001751999702656</t>
  </si>
  <si>
    <t xml:space="preserve">2258947060002656</t>
  </si>
  <si>
    <t xml:space="preserve">9780135172360</t>
  </si>
  <si>
    <t xml:space="preserve">32285000728997</t>
  </si>
  <si>
    <t xml:space="preserve">893232225</t>
  </si>
  <si>
    <t xml:space="preserve">B74 .C85 1910</t>
  </si>
  <si>
    <t xml:space="preserve">0                      B  0074000C  85          1910</t>
  </si>
  <si>
    <t xml:space="preserve">A beginner's history of philosophy / by Herbert Ernest Cushman.</t>
  </si>
  <si>
    <t xml:space="preserve">Cushman, Herbert Ernest, 1865-1944.</t>
  </si>
  <si>
    <t xml:space="preserve">Boston ; New York : Houghton Mifflin, [c1910-c1911]</t>
  </si>
  <si>
    <t xml:space="preserve">1635519:eng</t>
  </si>
  <si>
    <t xml:space="preserve">761559</t>
  </si>
  <si>
    <t xml:space="preserve">991003237199702656</t>
  </si>
  <si>
    <t xml:space="preserve">2267911850002656</t>
  </si>
  <si>
    <t xml:space="preserve">32285000069863</t>
  </si>
  <si>
    <t xml:space="preserve">893774540</t>
  </si>
  <si>
    <t xml:space="preserve">32285000069855</t>
  </si>
  <si>
    <t xml:space="preserve">893793438</t>
  </si>
  <si>
    <t xml:space="preserve">B74 .G56</t>
  </si>
  <si>
    <t xml:space="preserve">0                      B  0074000G  56</t>
  </si>
  <si>
    <t xml:space="preserve">The history of philosophy : a text book for undergraduates / by Paul J. Glenn.</t>
  </si>
  <si>
    <t xml:space="preserve">Glenn, Paul J. (Paul Joseph), 1893-1957.</t>
  </si>
  <si>
    <t xml:space="preserve">St. Louis, Mo. ; London : B. Herder book co., l929.</t>
  </si>
  <si>
    <t xml:space="preserve">2005-06-14</t>
  </si>
  <si>
    <t xml:space="preserve">3533324:eng</t>
  </si>
  <si>
    <t xml:space="preserve">2212070</t>
  </si>
  <si>
    <t xml:space="preserve">991004050149702656</t>
  </si>
  <si>
    <t xml:space="preserve">2255524040002656</t>
  </si>
  <si>
    <t xml:space="preserve">32285000069871</t>
  </si>
  <si>
    <t xml:space="preserve">893331146</t>
  </si>
  <si>
    <t xml:space="preserve">B74 .O35 1985</t>
  </si>
  <si>
    <t xml:space="preserve">0                      B  0074000O  35          1985</t>
  </si>
  <si>
    <t xml:space="preserve">What philosophy is : an introduction to contemporary philosophy / Anthony O'Hear.</t>
  </si>
  <si>
    <t xml:space="preserve">O'Hear, Anthony.</t>
  </si>
  <si>
    <t xml:space="preserve">Atlantic Highlands, NJ : Humanities Press International : Distributed in the U.S.A. by Humanities Press, 1985.</t>
  </si>
  <si>
    <t xml:space="preserve">4792910:eng</t>
  </si>
  <si>
    <t xml:space="preserve">12285721</t>
  </si>
  <si>
    <t xml:space="preserve">991000666709702656</t>
  </si>
  <si>
    <t xml:space="preserve">2256995800002656</t>
  </si>
  <si>
    <t xml:space="preserve">9780391033559</t>
  </si>
  <si>
    <t xml:space="preserve">32285000069897</t>
  </si>
  <si>
    <t xml:space="preserve">893345863</t>
  </si>
  <si>
    <t xml:space="preserve">B74 .P353</t>
  </si>
  <si>
    <t xml:space="preserve">0                      B  0074000P  353</t>
  </si>
  <si>
    <t xml:space="preserve">An historical introduction to philosophical thinking / by Ch. Perelman. Translated by Kenneth A. Brown.</t>
  </si>
  <si>
    <t xml:space="preserve">New York : Random House, [1965]</t>
  </si>
  <si>
    <t xml:space="preserve">Random House studies in philosophy ; SPH3</t>
  </si>
  <si>
    <t xml:space="preserve">1173715833:eng</t>
  </si>
  <si>
    <t xml:space="preserve">698343</t>
  </si>
  <si>
    <t xml:space="preserve">991003159299702656</t>
  </si>
  <si>
    <t xml:space="preserve">2265117050002656</t>
  </si>
  <si>
    <t xml:space="preserve">32285000069905</t>
  </si>
  <si>
    <t xml:space="preserve">893440977</t>
  </si>
  <si>
    <t xml:space="preserve">B751.Z7 A6</t>
  </si>
  <si>
    <t xml:space="preserve">0                      B  0751000Z  7                  A  6</t>
  </si>
  <si>
    <t xml:space="preserve">Avicenna, his life and works.</t>
  </si>
  <si>
    <t xml:space="preserve">Afnan, Soheil M. (Soheil Muhsin)</t>
  </si>
  <si>
    <t xml:space="preserve">London : G. Allen &amp; Unwin, [1958]</t>
  </si>
  <si>
    <t xml:space="preserve">2002-02-16</t>
  </si>
  <si>
    <t xml:space="preserve">141261197:eng</t>
  </si>
  <si>
    <t xml:space="preserve">31478971</t>
  </si>
  <si>
    <t xml:space="preserve">991003376779702656</t>
  </si>
  <si>
    <t xml:space="preserve">2265655000002656</t>
  </si>
  <si>
    <t xml:space="preserve">32285000154566</t>
  </si>
  <si>
    <t xml:space="preserve">893441239</t>
  </si>
  <si>
    <t xml:space="preserve">B765 .B23 O3 1964</t>
  </si>
  <si>
    <t xml:space="preserve">0                      B  0765000B  23                 O  3           1964</t>
  </si>
  <si>
    <t xml:space="preserve">The 'Opus majus' of Roger Bacon / edited, with introd. and analytical table by John Henry Bridges. Univeränderter Nachdruck.</t>
  </si>
  <si>
    <t xml:space="preserve">Bacon, Roger, 1214?-1294.</t>
  </si>
  <si>
    <t xml:space="preserve">Frankfurt/Main, Minerva-Verlag, 1964.</t>
  </si>
  <si>
    <t xml:space="preserve">4917847296:eng</t>
  </si>
  <si>
    <t xml:space="preserve">2633905</t>
  </si>
  <si>
    <t xml:space="preserve">991004192169702656</t>
  </si>
  <si>
    <t xml:space="preserve">2272128270002656</t>
  </si>
  <si>
    <t xml:space="preserve">32285000155001</t>
  </si>
  <si>
    <t xml:space="preserve">893247272</t>
  </si>
  <si>
    <t xml:space="preserve">32285000154996</t>
  </si>
  <si>
    <t xml:space="preserve">893247273</t>
  </si>
  <si>
    <t xml:space="preserve">B765 .D74 H3 V.2</t>
  </si>
  <si>
    <t xml:space="preserve">0                      B  0765000D  74                 H  3                                 V.2</t>
  </si>
  <si>
    <t xml:space="preserve">Duns Scotus / by C. R. S. Harris.</t>
  </si>
  <si>
    <t xml:space="preserve">Harris, C. R. S. (Charles Reginald Schiller), 1896-1979.</t>
  </si>
  <si>
    <t xml:space="preserve">New York : Humanities Press, 1959.</t>
  </si>
  <si>
    <t xml:space="preserve">1996-03-02</t>
  </si>
  <si>
    <t xml:space="preserve">5609971611:eng</t>
  </si>
  <si>
    <t xml:space="preserve">192334</t>
  </si>
  <si>
    <t xml:space="preserve">991001207039702656</t>
  </si>
  <si>
    <t xml:space="preserve">2256456090002656</t>
  </si>
  <si>
    <t xml:space="preserve">32285000168178</t>
  </si>
  <si>
    <t xml:space="preserve">893515990</t>
  </si>
  <si>
    <t xml:space="preserve">B765.A34 B4 1978</t>
  </si>
  <si>
    <t xml:space="preserve">0                      B  0765000A  34                 B  4           1978</t>
  </si>
  <si>
    <t xml:space="preserve">Pierre d'Ailly and the Blanchard affair : university and chancellor of Paris at the beginning of the great schism / by Alan E. Bernstein. --</t>
  </si>
  <si>
    <t xml:space="preserve">Bernstein, Alan E.</t>
  </si>
  <si>
    <t xml:space="preserve">Leiden : Brill, 1978.</t>
  </si>
  <si>
    <t xml:space="preserve">Studies in medieval and Reformation thought ; v. 24</t>
  </si>
  <si>
    <t xml:space="preserve">2010-04-18</t>
  </si>
  <si>
    <t xml:space="preserve">807612235:eng</t>
  </si>
  <si>
    <t xml:space="preserve">4452876</t>
  </si>
  <si>
    <t xml:space="preserve">991004640089702656</t>
  </si>
  <si>
    <t xml:space="preserve">2255284180002656</t>
  </si>
  <si>
    <t xml:space="preserve">9789004057128</t>
  </si>
  <si>
    <t xml:space="preserve">32285000154830</t>
  </si>
  <si>
    <t xml:space="preserve">893513499</t>
  </si>
  <si>
    <t xml:space="preserve">B765.A44 A64</t>
  </si>
  <si>
    <t xml:space="preserve">0                      B  0765000A  44                 A  64</t>
  </si>
  <si>
    <t xml:space="preserve">Albert the Great : commemorative essays / edited and with an introd. by Francis J. Kovach and Robert W. Shahan.</t>
  </si>
  <si>
    <t xml:space="preserve">Norman : University of Oklahoma Press, c1980.</t>
  </si>
  <si>
    <t xml:space="preserve">2007-02-16</t>
  </si>
  <si>
    <t xml:space="preserve">470378146:eng</t>
  </si>
  <si>
    <t xml:space="preserve">6329337</t>
  </si>
  <si>
    <t xml:space="preserve">991004963819702656</t>
  </si>
  <si>
    <t xml:space="preserve">2267832430002656</t>
  </si>
  <si>
    <t xml:space="preserve">9780806116662</t>
  </si>
  <si>
    <t xml:space="preserve">32285000154848</t>
  </si>
  <si>
    <t xml:space="preserve">893248156</t>
  </si>
  <si>
    <t xml:space="preserve">B765.A84 A7</t>
  </si>
  <si>
    <t xml:space="preserve">0                      B  0765000A  84                 A  7</t>
  </si>
  <si>
    <t xml:space="preserve">Analecta Anselmiana. Untersuchungen über Person und Werk Anselmus von Canterbury. In Verbindung mit K. Flasch [et al.] Hrsg. von F. S. Schmitt.</t>
  </si>
  <si>
    <t xml:space="preserve">Frankfurt/M., Minerva-Verlag, 1969-</t>
  </si>
  <si>
    <t xml:space="preserve">2000-07-10</t>
  </si>
  <si>
    <t xml:space="preserve">1997-09-23</t>
  </si>
  <si>
    <t xml:space="preserve">2864167173:eng</t>
  </si>
  <si>
    <t xml:space="preserve">7709390</t>
  </si>
  <si>
    <t xml:space="preserve">991002811889702656</t>
  </si>
  <si>
    <t xml:space="preserve">2260893700002656</t>
  </si>
  <si>
    <t xml:space="preserve">32285003178968</t>
  </si>
  <si>
    <t xml:space="preserve">893792947</t>
  </si>
  <si>
    <t xml:space="preserve">32285003178992</t>
  </si>
  <si>
    <t xml:space="preserve">893786583</t>
  </si>
  <si>
    <t xml:space="preserve">V.4 PT.2</t>
  </si>
  <si>
    <t xml:space="preserve">32285003178984</t>
  </si>
  <si>
    <t xml:space="preserve">893780247</t>
  </si>
  <si>
    <t xml:space="preserve">32285001074227</t>
  </si>
  <si>
    <t xml:space="preserve">893780248</t>
  </si>
  <si>
    <t xml:space="preserve">32285003178950</t>
  </si>
  <si>
    <t xml:space="preserve">893805070</t>
  </si>
  <si>
    <t xml:space="preserve">V.4 PT.1</t>
  </si>
  <si>
    <t xml:space="preserve">32285003178976</t>
  </si>
  <si>
    <t xml:space="preserve">893792946</t>
  </si>
  <si>
    <t xml:space="preserve">B765.B23 O3 1964</t>
  </si>
  <si>
    <t xml:space="preserve">32285000165018</t>
  </si>
  <si>
    <t xml:space="preserve">893263139</t>
  </si>
  <si>
    <t xml:space="preserve">B765.B24 L6</t>
  </si>
  <si>
    <t xml:space="preserve">0                      B  0765000B  24                 L  6</t>
  </si>
  <si>
    <t xml:space="preserve">Roger Bacon essays / contributed by various writers on the occasion of the commemoration of the seventh centenary of his birth, collected and ed. by A. G. Little.</t>
  </si>
  <si>
    <t xml:space="preserve">Little, A. G. (Andrew George), 1863-1945, editor.</t>
  </si>
  <si>
    <t xml:space="preserve">Oxford : Clarendon press, 1914.</t>
  </si>
  <si>
    <t xml:space="preserve">1914</t>
  </si>
  <si>
    <t xml:space="preserve">2003-02-11</t>
  </si>
  <si>
    <t xml:space="preserve">5522539448:eng</t>
  </si>
  <si>
    <t xml:space="preserve">2937798</t>
  </si>
  <si>
    <t xml:space="preserve">991004289309702656</t>
  </si>
  <si>
    <t xml:space="preserve">2260689410002656</t>
  </si>
  <si>
    <t xml:space="preserve">32285000165042</t>
  </si>
  <si>
    <t xml:space="preserve">893263181</t>
  </si>
  <si>
    <t xml:space="preserve">B765.D74 G5</t>
  </si>
  <si>
    <t xml:space="preserve">0                      B  0765000D  74                 G  5</t>
  </si>
  <si>
    <t xml:space="preserve">Jean Duns Scot : introduction à ses positions fondamentales / par Étienne Gilson.</t>
  </si>
  <si>
    <t xml:space="preserve">Paris : J. Vrin, 1952.</t>
  </si>
  <si>
    <t xml:space="preserve">Etudes de philosophie médiévale ; 42</t>
  </si>
  <si>
    <t xml:space="preserve">1995-12-12</t>
  </si>
  <si>
    <t xml:space="preserve">1996-02-01</t>
  </si>
  <si>
    <t xml:space="preserve">25848711:fre</t>
  </si>
  <si>
    <t xml:space="preserve">40335936</t>
  </si>
  <si>
    <t xml:space="preserve">991003380399702656</t>
  </si>
  <si>
    <t xml:space="preserve">2266349230002656</t>
  </si>
  <si>
    <t xml:space="preserve">32285002120664</t>
  </si>
  <si>
    <t xml:space="preserve">893531137</t>
  </si>
  <si>
    <t xml:space="preserve">B765.D74 H3</t>
  </si>
  <si>
    <t xml:space="preserve">0                      B  0765000D  74                 H  3</t>
  </si>
  <si>
    <t xml:space="preserve">32285000168160</t>
  </si>
  <si>
    <t xml:space="preserve">893503193</t>
  </si>
  <si>
    <t xml:space="preserve">B765.E34 S3813 1978.</t>
  </si>
  <si>
    <t xml:space="preserve">0                      B  0765000E  34                 S  3813        1978                  .</t>
  </si>
  <si>
    <t xml:space="preserve">Meister Eckhart, mystic and philosopher : translations with commentary / by Reiner Schürmann. --</t>
  </si>
  <si>
    <t xml:space="preserve">Schürmann, Reiner, 1941-1993.</t>
  </si>
  <si>
    <t xml:space="preserve">Bloomington : Indiana University Press, c1978.</t>
  </si>
  <si>
    <t xml:space="preserve">2002-09-03</t>
  </si>
  <si>
    <t xml:space="preserve">196714338:eng</t>
  </si>
  <si>
    <t xml:space="preserve">3345935</t>
  </si>
  <si>
    <t xml:space="preserve">991004412009702656</t>
  </si>
  <si>
    <t xml:space="preserve">2255551990002656</t>
  </si>
  <si>
    <t xml:space="preserve">9780253351838</t>
  </si>
  <si>
    <t xml:space="preserve">32285000168210</t>
  </si>
  <si>
    <t xml:space="preserve">893417599</t>
  </si>
  <si>
    <t xml:space="preserve">B765.G824 M37 1983</t>
  </si>
  <si>
    <t xml:space="preserve">0                      B  0765000G  824                M  37          1983</t>
  </si>
  <si>
    <t xml:space="preserve">William of Auvergne and Robert Grosseteste : new ideas of truth in the early thirteenth century / Steven P. Marrone.</t>
  </si>
  <si>
    <t xml:space="preserve">Marrone, Steven P., 1947-</t>
  </si>
  <si>
    <t xml:space="preserve">Princeton, N.J. : Princeton University Press, c1983.</t>
  </si>
  <si>
    <t xml:space="preserve">2006-03-16</t>
  </si>
  <si>
    <t xml:space="preserve">224574134:eng</t>
  </si>
  <si>
    <t xml:space="preserve">8954624</t>
  </si>
  <si>
    <t xml:space="preserve">991000102369702656</t>
  </si>
  <si>
    <t xml:space="preserve">2271136590002656</t>
  </si>
  <si>
    <t xml:space="preserve">9780691053837</t>
  </si>
  <si>
    <t xml:space="preserve">32285000168319</t>
  </si>
  <si>
    <t xml:space="preserve">893339281</t>
  </si>
  <si>
    <t xml:space="preserve">B765.H74 K5</t>
  </si>
  <si>
    <t xml:space="preserve">0                      B  0765000H  74                 K  5</t>
  </si>
  <si>
    <t xml:space="preserve">The theory of knowledge of Hugh of Saint Victor, by John P. Kleinz.</t>
  </si>
  <si>
    <t xml:space="preserve">Kleinz, John P.</t>
  </si>
  <si>
    <t xml:space="preserve">Washington, D. C., The Catholic university of America press, 1944.</t>
  </si>
  <si>
    <t xml:space="preserve">The Catholic University of America. Philosophical studies, vol. LXXXVII</t>
  </si>
  <si>
    <t xml:space="preserve">2009-03-06</t>
  </si>
  <si>
    <t xml:space="preserve">2769215:eng</t>
  </si>
  <si>
    <t xml:space="preserve">2030720</t>
  </si>
  <si>
    <t xml:space="preserve">991003985879702656</t>
  </si>
  <si>
    <t xml:space="preserve">2268885930002656</t>
  </si>
  <si>
    <t xml:space="preserve">32285000168368</t>
  </si>
  <si>
    <t xml:space="preserve">893234912</t>
  </si>
  <si>
    <t xml:space="preserve">B765.J34 O47 1988</t>
  </si>
  <si>
    <t xml:space="preserve">0                      B  0765000J  34                 O  47          1988</t>
  </si>
  <si>
    <t xml:space="preserve">Eriugena / John J. O'Meara.</t>
  </si>
  <si>
    <t xml:space="preserve">O'Meara, John J., 1915-2003.</t>
  </si>
  <si>
    <t xml:space="preserve">Oxford [England] : Clarendon Press ; New York : Oxford University Press, c1988.</t>
  </si>
  <si>
    <t xml:space="preserve">2002-10-12</t>
  </si>
  <si>
    <t xml:space="preserve">1990-10-17</t>
  </si>
  <si>
    <t xml:space="preserve">44842192:eng</t>
  </si>
  <si>
    <t xml:space="preserve">16465167</t>
  </si>
  <si>
    <t xml:space="preserve">991001109559702656</t>
  </si>
  <si>
    <t xml:space="preserve">2269179080002656</t>
  </si>
  <si>
    <t xml:space="preserve">9780198266747</t>
  </si>
  <si>
    <t xml:space="preserve">32285000311364</t>
  </si>
  <si>
    <t xml:space="preserve">893720928</t>
  </si>
  <si>
    <t xml:space="preserve">B765.O34 L43 1975</t>
  </si>
  <si>
    <t xml:space="preserve">0                      B  0765000O  34                 L  43          1975</t>
  </si>
  <si>
    <t xml:space="preserve">William of Ockham : the metamorphosis of scholastic discourse / Gordon Leff.</t>
  </si>
  <si>
    <t xml:space="preserve">Leff, Gordon.</t>
  </si>
  <si>
    <t xml:space="preserve">Manchester : Manchester University Press ; Totowa, N.J. : Rowman and Littlefield, [1975]</t>
  </si>
  <si>
    <t xml:space="preserve">1995-03-31</t>
  </si>
  <si>
    <t xml:space="preserve">1990-05-31</t>
  </si>
  <si>
    <t xml:space="preserve">151417938:eng</t>
  </si>
  <si>
    <t xml:space="preserve">1621954</t>
  </si>
  <si>
    <t xml:space="preserve">991003842859702656</t>
  </si>
  <si>
    <t xml:space="preserve">2269680350002656</t>
  </si>
  <si>
    <t xml:space="preserve">9780874716795</t>
  </si>
  <si>
    <t xml:space="preserve">32285000168640</t>
  </si>
  <si>
    <t xml:space="preserve">893894225</t>
  </si>
  <si>
    <t xml:space="preserve">B765.T5 J57</t>
  </si>
  <si>
    <t xml:space="preserve">0                      B  0765000T  5                  J  57</t>
  </si>
  <si>
    <t xml:space="preserve">Cursus philosophicus thomisticus secundum exactam veram, genuinam Aristotelis et doctoris angelici mentem.</t>
  </si>
  <si>
    <t xml:space="preserve">Taurini (Italia) ex officina domus editorialis Marietti, nunc Marii E. Marietti, 1930-37.</t>
  </si>
  <si>
    <t xml:space="preserve">1930</t>
  </si>
  <si>
    <t xml:space="preserve">Nova editio a. p. Beato Reiser ...</t>
  </si>
  <si>
    <t xml:space="preserve">3944094015:lat</t>
  </si>
  <si>
    <t xml:space="preserve">1966715</t>
  </si>
  <si>
    <t xml:space="preserve">991003956079702656</t>
  </si>
  <si>
    <t xml:space="preserve">2270443240002656</t>
  </si>
  <si>
    <t xml:space="preserve">32285000168731</t>
  </si>
  <si>
    <t xml:space="preserve">893624169</t>
  </si>
  <si>
    <t xml:space="preserve">32285000168715</t>
  </si>
  <si>
    <t xml:space="preserve">893605457</t>
  </si>
  <si>
    <t xml:space="preserve">32285000168723</t>
  </si>
  <si>
    <t xml:space="preserve">893605456</t>
  </si>
  <si>
    <t xml:space="preserve">B765.T53 B68</t>
  </si>
  <si>
    <t xml:space="preserve">0                      B  0765000T  53                 B  68</t>
  </si>
  <si>
    <t xml:space="preserve">Thomistic Bibliography, 1920-1940 [by] Vernon J. Bourke. The Modern schoolman, supplement to volume XXI.</t>
  </si>
  <si>
    <t xml:space="preserve">Bourke, Vernon J. (Vernon Joseph), 1907-1998.</t>
  </si>
  <si>
    <t xml:space="preserve">2001-10-28</t>
  </si>
  <si>
    <t xml:space="preserve">1990-06-04</t>
  </si>
  <si>
    <t xml:space="preserve">117166541:eng</t>
  </si>
  <si>
    <t xml:space="preserve">1042993</t>
  </si>
  <si>
    <t xml:space="preserve">991003533649702656</t>
  </si>
  <si>
    <t xml:space="preserve">2268499700002656</t>
  </si>
  <si>
    <t xml:space="preserve">32285000168822</t>
  </si>
  <si>
    <t xml:space="preserve">893499398</t>
  </si>
  <si>
    <t xml:space="preserve">B765.T53 Q36 1949</t>
  </si>
  <si>
    <t xml:space="preserve">0                      B  0765000T  53                 Q  36          1949</t>
  </si>
  <si>
    <t xml:space="preserve">Quaestiones quodlibetales. Cura et studio P. Fr. Raymundi Spiazzi.</t>
  </si>
  <si>
    <t xml:space="preserve">Turin, Marietti [1949]</t>
  </si>
  <si>
    <t xml:space="preserve">Editio VIII revisa</t>
  </si>
  <si>
    <t xml:space="preserve">1998-06-18</t>
  </si>
  <si>
    <t xml:space="preserve">2036273200:lat</t>
  </si>
  <si>
    <t xml:space="preserve">1192170</t>
  </si>
  <si>
    <t xml:space="preserve">991003609859702656</t>
  </si>
  <si>
    <t xml:space="preserve">2261617950002656</t>
  </si>
  <si>
    <t xml:space="preserve">32285000129238</t>
  </si>
  <si>
    <t xml:space="preserve">893535540</t>
  </si>
  <si>
    <t xml:space="preserve">B765.T53 Q92 1949</t>
  </si>
  <si>
    <t xml:space="preserve">0                      B  0765000T  53                 Q  92          1949</t>
  </si>
  <si>
    <t xml:space="preserve">Quaestiones disputatae. Cura et studio P. Fr. Raymundi Spiazzi...</t>
  </si>
  <si>
    <t xml:space="preserve">1990-06-07</t>
  </si>
  <si>
    <t xml:space="preserve">2973847522:lat</t>
  </si>
  <si>
    <t xml:space="preserve">1192113</t>
  </si>
  <si>
    <t xml:space="preserve">991003609779702656</t>
  </si>
  <si>
    <t xml:space="preserve">2261657390002656</t>
  </si>
  <si>
    <t xml:space="preserve">32285000183136</t>
  </si>
  <si>
    <t xml:space="preserve">893240396</t>
  </si>
  <si>
    <t xml:space="preserve">32285000183128</t>
  </si>
  <si>
    <t xml:space="preserve">893234350</t>
  </si>
  <si>
    <t xml:space="preserve">B765.T53 T73</t>
  </si>
  <si>
    <t xml:space="preserve">0                      B  0765000T  53                 T  73</t>
  </si>
  <si>
    <t xml:space="preserve">Treatise on separate substances. Translated from a newly-established Latin text based on 12 mediaeval mss., with introd. and notes, by Francis J. Lescoe.</t>
  </si>
  <si>
    <t xml:space="preserve">West Hartford, Conn., Saint Joseph College [c1959]</t>
  </si>
  <si>
    <t xml:space="preserve">2864092026:eng</t>
  </si>
  <si>
    <t xml:space="preserve">938803</t>
  </si>
  <si>
    <t xml:space="preserve">991003399129702656</t>
  </si>
  <si>
    <t xml:space="preserve">2262901670002656</t>
  </si>
  <si>
    <t xml:space="preserve">32285000183177</t>
  </si>
  <si>
    <t xml:space="preserve">893711342</t>
  </si>
  <si>
    <t xml:space="preserve">32285000183169</t>
  </si>
  <si>
    <t xml:space="preserve">893686517</t>
  </si>
  <si>
    <t xml:space="preserve">B765.T54 B72</t>
  </si>
  <si>
    <t xml:space="preserve">0                      B  0765000T  54                 B  72</t>
  </si>
  <si>
    <t xml:space="preserve">The intellectual virtues according to the philosophy of St. Thomas / by Sister M. Rose Emmanuella Brennan.</t>
  </si>
  <si>
    <t xml:space="preserve">Brennan, Rose Emmanuella, 1902-</t>
  </si>
  <si>
    <t xml:space="preserve">Washington, D.C. : The Catholic University of America, 1941.</t>
  </si>
  <si>
    <t xml:space="preserve">The Catholic University of America. Philosophical studies, vol. LIX.</t>
  </si>
  <si>
    <t xml:space="preserve">2008-09-05</t>
  </si>
  <si>
    <t xml:space="preserve">1990-06-11</t>
  </si>
  <si>
    <t xml:space="preserve">316880287:eng</t>
  </si>
  <si>
    <t xml:space="preserve">1186040</t>
  </si>
  <si>
    <t xml:space="preserve">991003606109702656</t>
  </si>
  <si>
    <t xml:space="preserve">2266730820002656</t>
  </si>
  <si>
    <t xml:space="preserve">32285000183367</t>
  </si>
  <si>
    <t xml:space="preserve">893435169</t>
  </si>
  <si>
    <t xml:space="preserve">B765.T54 F2</t>
  </si>
  <si>
    <t xml:space="preserve">0                      B  0765000T  54                 F  2</t>
  </si>
  <si>
    <t xml:space="preserve">Participation et causalité selon S. Thomas d'Aquin. Préf. de L. de Raeymaeker.</t>
  </si>
  <si>
    <t xml:space="preserve">Fabro, Cornelio.</t>
  </si>
  <si>
    <t xml:space="preserve">Louvain, Publications universitaires de Louvain, 1961.</t>
  </si>
  <si>
    <t xml:space="preserve">Chaire Cardinal Mercier, 1954, 2</t>
  </si>
  <si>
    <t xml:space="preserve">2010-09-14</t>
  </si>
  <si>
    <t xml:space="preserve">45502299:fre</t>
  </si>
  <si>
    <t xml:space="preserve">827573</t>
  </si>
  <si>
    <t xml:space="preserve">991004890709702656</t>
  </si>
  <si>
    <t xml:space="preserve">2262129100002656</t>
  </si>
  <si>
    <t xml:space="preserve">32285000183516</t>
  </si>
  <si>
    <t xml:space="preserve">893248083</t>
  </si>
  <si>
    <t xml:space="preserve">B765.T54 F3</t>
  </si>
  <si>
    <t xml:space="preserve">0                      B  0765000T  54                 F  3</t>
  </si>
  <si>
    <t xml:space="preserve">Die rechtsphilosophische Begründung der gesellschaftlichen und staatlichen Autorität bei Thomas von Aquin.</t>
  </si>
  <si>
    <t xml:space="preserve">Faller, Franz.</t>
  </si>
  <si>
    <t xml:space="preserve">Heidelberg : F. H. Kerle, 1954.</t>
  </si>
  <si>
    <t xml:space="preserve">Sammlung Politeia ; Bd. 5</t>
  </si>
  <si>
    <t xml:space="preserve">1995-03-20</t>
  </si>
  <si>
    <t xml:space="preserve">366010714:ger</t>
  </si>
  <si>
    <t xml:space="preserve">6846452</t>
  </si>
  <si>
    <t xml:space="preserve">991005046789702656</t>
  </si>
  <si>
    <t xml:space="preserve">2267645460002656</t>
  </si>
  <si>
    <t xml:space="preserve">32285000183524</t>
  </si>
  <si>
    <t xml:space="preserve">893526807</t>
  </si>
  <si>
    <t xml:space="preserve">B765.T54 G48 1944</t>
  </si>
  <si>
    <t xml:space="preserve">0                      B  0765000T  54                 G  48          1944</t>
  </si>
  <si>
    <t xml:space="preserve">Le thomisme; introduction à la philosophie de saint Thomas d'Aquin, par Étienne Gilson.</t>
  </si>
  <si>
    <t xml:space="preserve">Paris, J. Vrin, 1944.</t>
  </si>
  <si>
    <t xml:space="preserve">5. éd. rev. et augm.</t>
  </si>
  <si>
    <t xml:space="preserve">Études de philosophie médiévale; directeur: Étienne Gilson. I</t>
  </si>
  <si>
    <t xml:space="preserve">1993-07-20</t>
  </si>
  <si>
    <t xml:space="preserve">1447194:fre</t>
  </si>
  <si>
    <t xml:space="preserve">5802967</t>
  </si>
  <si>
    <t xml:space="preserve">991004878969702656</t>
  </si>
  <si>
    <t xml:space="preserve">2260366210002656</t>
  </si>
  <si>
    <t xml:space="preserve">32285000191873</t>
  </si>
  <si>
    <t xml:space="preserve">893236016</t>
  </si>
  <si>
    <t xml:space="preserve">B765.T54 H4</t>
  </si>
  <si>
    <t xml:space="preserve">0                      B  0765000T  54                 H  4</t>
  </si>
  <si>
    <t xml:space="preserve">Saint Thomas and Platonism.</t>
  </si>
  <si>
    <t xml:space="preserve">The Hague, M. Nijhoff, 1956.</t>
  </si>
  <si>
    <t xml:space="preserve">1995-04-03</t>
  </si>
  <si>
    <t xml:space="preserve">1104063583:eng</t>
  </si>
  <si>
    <t xml:space="preserve">371085</t>
  </si>
  <si>
    <t xml:space="preserve">991002555699702656</t>
  </si>
  <si>
    <t xml:space="preserve">2260098510002656</t>
  </si>
  <si>
    <t xml:space="preserve">32285000191923</t>
  </si>
  <si>
    <t xml:space="preserve">893257443</t>
  </si>
  <si>
    <t xml:space="preserve">B765.T54 H563</t>
  </si>
  <si>
    <t xml:space="preserve">0                      B  0765000T  54                 H  563</t>
  </si>
  <si>
    <t xml:space="preserve">Reality and judgment according to St. Thomas; with an appendix by Charles Boyer. Translated by Henry F. Tiblier.</t>
  </si>
  <si>
    <t xml:space="preserve">Hoenen, Petrus, 1880-</t>
  </si>
  <si>
    <t xml:space="preserve">Chicago, H. Regnery Co., 1952.</t>
  </si>
  <si>
    <t xml:space="preserve">2000-11-06</t>
  </si>
  <si>
    <t xml:space="preserve">3768477857:eng</t>
  </si>
  <si>
    <t xml:space="preserve">940139</t>
  </si>
  <si>
    <t xml:space="preserve">991003400019702656</t>
  </si>
  <si>
    <t xml:space="preserve">2261610220002656</t>
  </si>
  <si>
    <t xml:space="preserve">32285000191931</t>
  </si>
  <si>
    <t xml:space="preserve">893799688</t>
  </si>
  <si>
    <t xml:space="preserve">B765.T54 K57</t>
  </si>
  <si>
    <t xml:space="preserve">0                      B  0765000T  54                 K  57</t>
  </si>
  <si>
    <t xml:space="preserve">The discursive power; sources and doctrine of the vis cogitativa according to St. Thomas Aquinas.--</t>
  </si>
  <si>
    <t xml:space="preserve">Klubertanz, George P., 1912-1972.</t>
  </si>
  <si>
    <t xml:space="preserve">St Louis : Modern Schoolman ; 1952.</t>
  </si>
  <si>
    <t xml:space="preserve">1997-02-09</t>
  </si>
  <si>
    <t xml:space="preserve">803639415:eng</t>
  </si>
  <si>
    <t xml:space="preserve">2610090</t>
  </si>
  <si>
    <t xml:space="preserve">991004182939702656</t>
  </si>
  <si>
    <t xml:space="preserve">2272224250002656</t>
  </si>
  <si>
    <t xml:space="preserve">32285000192012</t>
  </si>
  <si>
    <t xml:space="preserve">893318898</t>
  </si>
  <si>
    <t xml:space="preserve">B765.T54 K58</t>
  </si>
  <si>
    <t xml:space="preserve">0                      B  0765000T  54                 K  58</t>
  </si>
  <si>
    <t xml:space="preserve">St. Thomas Aquinas on analogy.</t>
  </si>
  <si>
    <t xml:space="preserve">Chicago : Loyola University Press, 1960.</t>
  </si>
  <si>
    <t xml:space="preserve">Jesuit studies; contributions to the arts and sciences by members of the Society of Jesus</t>
  </si>
  <si>
    <t xml:space="preserve">2009-05-22</t>
  </si>
  <si>
    <t xml:space="preserve">803639418:eng</t>
  </si>
  <si>
    <t xml:space="preserve">370517</t>
  </si>
  <si>
    <t xml:space="preserve">991002552849702656</t>
  </si>
  <si>
    <t xml:space="preserve">2260501550002656</t>
  </si>
  <si>
    <t xml:space="preserve">32285000192020</t>
  </si>
  <si>
    <t xml:space="preserve">893316975</t>
  </si>
  <si>
    <t xml:space="preserve">B765.T54 K64</t>
  </si>
  <si>
    <t xml:space="preserve">0                      B  0765000T  54                 K  64</t>
  </si>
  <si>
    <t xml:space="preserve">Die Asthetik des Thomas von Aquin; eine genetische und systematische Analyse von Francis J. Kovach.</t>
  </si>
  <si>
    <t xml:space="preserve">Kovach, Francis J. (Francis Joseph), 1918-2002.</t>
  </si>
  <si>
    <t xml:space="preserve">Berlin, De Gruyter, 1961</t>
  </si>
  <si>
    <t xml:space="preserve">Quellen und Studien zur Geschichte der Philosophie ; Bd. 3</t>
  </si>
  <si>
    <t xml:space="preserve">476689674:ger</t>
  </si>
  <si>
    <t xml:space="preserve">5863658</t>
  </si>
  <si>
    <t xml:space="preserve">991004890039702656</t>
  </si>
  <si>
    <t xml:space="preserve">2262794790002656</t>
  </si>
  <si>
    <t xml:space="preserve">32285000192038</t>
  </si>
  <si>
    <t xml:space="preserve">893507340</t>
  </si>
  <si>
    <t xml:space="preserve">B765.T54 L43</t>
  </si>
  <si>
    <t xml:space="preserve">0                      B  0765000T  54                 L  43</t>
  </si>
  <si>
    <t xml:space="preserve">La philosophie morale de Saint Thomas devant la pensée contemporaine.</t>
  </si>
  <si>
    <t xml:space="preserve">Leclercq, Jacques, 1891-1971.</t>
  </si>
  <si>
    <t xml:space="preserve">Louvain, Publications universitaires de Louvain, 1955.</t>
  </si>
  <si>
    <t xml:space="preserve">Bibliothèque philosophique de Louvain ; 15</t>
  </si>
  <si>
    <t xml:space="preserve">2000-09-21</t>
  </si>
  <si>
    <t xml:space="preserve">348588350:fre</t>
  </si>
  <si>
    <t xml:space="preserve">1099774</t>
  </si>
  <si>
    <t xml:space="preserve">991003535429702656</t>
  </si>
  <si>
    <t xml:space="preserve">2267122470002656</t>
  </si>
  <si>
    <t xml:space="preserve">32285000192095</t>
  </si>
  <si>
    <t xml:space="preserve">893623595</t>
  </si>
  <si>
    <t xml:space="preserve">B765.T54 M23</t>
  </si>
  <si>
    <t xml:space="preserve">0                      B  0765000T  54                 M  23</t>
  </si>
  <si>
    <t xml:space="preserve">Saint Thomas and the life of learning / under the auspices of the Aristotelian Society of Marquette University, by John F. McCormick.</t>
  </si>
  <si>
    <t xml:space="preserve">McCormick, John F. (John Francis), 1874-1943.</t>
  </si>
  <si>
    <t xml:space="preserve">Milwaukee : Marquette University Press, 1937.</t>
  </si>
  <si>
    <t xml:space="preserve">The Aquinas lecture, 1937</t>
  </si>
  <si>
    <t xml:space="preserve">2003-07-25</t>
  </si>
  <si>
    <t xml:space="preserve">582650:eng</t>
  </si>
  <si>
    <t xml:space="preserve">260198</t>
  </si>
  <si>
    <t xml:space="preserve">991002031129702656</t>
  </si>
  <si>
    <t xml:space="preserve">2266136110002656</t>
  </si>
  <si>
    <t xml:space="preserve">32285000192129</t>
  </si>
  <si>
    <t xml:space="preserve">893414743</t>
  </si>
  <si>
    <t xml:space="preserve">B765.T54 M24</t>
  </si>
  <si>
    <t xml:space="preserve">0                      B  0765000T  54                 M  24</t>
  </si>
  <si>
    <t xml:space="preserve">The logic of analogy; an interpretation of St. Thomas.</t>
  </si>
  <si>
    <t xml:space="preserve">McInerny, Ralph, 1929-2010.</t>
  </si>
  <si>
    <t xml:space="preserve">The Hague, Nijhoff, 1961.</t>
  </si>
  <si>
    <t xml:space="preserve">376226763:eng</t>
  </si>
  <si>
    <t xml:space="preserve">217810</t>
  </si>
  <si>
    <t xml:space="preserve">991003809719702656</t>
  </si>
  <si>
    <t xml:space="preserve">2271389980002656</t>
  </si>
  <si>
    <t xml:space="preserve">32285000192137</t>
  </si>
  <si>
    <t xml:space="preserve">893246759</t>
  </si>
  <si>
    <t xml:space="preserve">B765.T54 M26</t>
  </si>
  <si>
    <t xml:space="preserve">0                      B  0765000T  54                 M  26</t>
  </si>
  <si>
    <t xml:space="preserve">Thomas and the physics of 1958 : a confrontation.</t>
  </si>
  <si>
    <t xml:space="preserve">Milwaukee : Marquette University Press, 1958.</t>
  </si>
  <si>
    <t xml:space="preserve">The Aquinas lecture, 1958</t>
  </si>
  <si>
    <t xml:space="preserve">2003-10-17</t>
  </si>
  <si>
    <t xml:space="preserve">503124353:eng</t>
  </si>
  <si>
    <t xml:space="preserve">260199</t>
  </si>
  <si>
    <t xml:space="preserve">991002031219702656</t>
  </si>
  <si>
    <t xml:space="preserve">2266136080002656</t>
  </si>
  <si>
    <t xml:space="preserve">32285000192152</t>
  </si>
  <si>
    <t xml:space="preserve">893322484</t>
  </si>
  <si>
    <t xml:space="preserve">B765.T54 O3</t>
  </si>
  <si>
    <t xml:space="preserve">0                      B  0765000T  54                 O  3</t>
  </si>
  <si>
    <t xml:space="preserve">The eternal quest; the teaching of St. Thomas Aquinas on the natural desire for God.</t>
  </si>
  <si>
    <t xml:space="preserve">O'Connor, William R.</t>
  </si>
  <si>
    <t xml:space="preserve">N.Y., Longmans, Green, 1947.</t>
  </si>
  <si>
    <t xml:space="preserve">1999-07-19</t>
  </si>
  <si>
    <t xml:space="preserve">1376853:eng</t>
  </si>
  <si>
    <t xml:space="preserve">313044</t>
  </si>
  <si>
    <t xml:space="preserve">991002290749702656</t>
  </si>
  <si>
    <t xml:space="preserve">2271777060002656</t>
  </si>
  <si>
    <t xml:space="preserve">32285000194133</t>
  </si>
  <si>
    <t xml:space="preserve">893773440</t>
  </si>
  <si>
    <t xml:space="preserve">B765.T54 O93</t>
  </si>
  <si>
    <t xml:space="preserve">0                      B  0765000T  54                 O  93</t>
  </si>
  <si>
    <t xml:space="preserve">Aquinas on being and thing / Joseph Owens.</t>
  </si>
  <si>
    <t xml:space="preserve">Owens, Joseph.</t>
  </si>
  <si>
    <t xml:space="preserve">Niagara, N.Y. : Niagara University Press, 1981.</t>
  </si>
  <si>
    <t xml:space="preserve">Niagara University publications in honor of Jacques and Raissa Maritain</t>
  </si>
  <si>
    <t xml:space="preserve">1874826668:eng</t>
  </si>
  <si>
    <t xml:space="preserve">8292728</t>
  </si>
  <si>
    <t xml:space="preserve">991005228399702656</t>
  </si>
  <si>
    <t xml:space="preserve">2260382280002656</t>
  </si>
  <si>
    <t xml:space="preserve">32285000194174</t>
  </si>
  <si>
    <t xml:space="preserve">893527137</t>
  </si>
  <si>
    <t xml:space="preserve">B765.T54 P37</t>
  </si>
  <si>
    <t xml:space="preserve">0                      B  0765000T  54                 P  37</t>
  </si>
  <si>
    <t xml:space="preserve">The concept in Thomism.</t>
  </si>
  <si>
    <t xml:space="preserve">Peifer, John Frederick, 1921-</t>
  </si>
  <si>
    <t xml:space="preserve">[New York] Bookman Associates [1952]</t>
  </si>
  <si>
    <t xml:space="preserve">8770:eng</t>
  </si>
  <si>
    <t xml:space="preserve">942505</t>
  </si>
  <si>
    <t xml:space="preserve">991005357359702656</t>
  </si>
  <si>
    <t xml:space="preserve">2268259910002656</t>
  </si>
  <si>
    <t xml:space="preserve">32285000194208</t>
  </si>
  <si>
    <t xml:space="preserve">893501803</t>
  </si>
  <si>
    <t xml:space="preserve">B765.T54 Q5</t>
  </si>
  <si>
    <t xml:space="preserve">0                      B  0765000T  54                 Q  5</t>
  </si>
  <si>
    <t xml:space="preserve">The doctrine of time in St. Thomas, some aspects and applications.</t>
  </si>
  <si>
    <t xml:space="preserve">Quinn, John M.</t>
  </si>
  <si>
    <t xml:space="preserve">Washington, Catholic University of America Press, 1960.</t>
  </si>
  <si>
    <t xml:space="preserve">Catholic Universiy of America. Philosophical studies, no. 198. Abstract no. 48</t>
  </si>
  <si>
    <t xml:space="preserve">1996-10-29</t>
  </si>
  <si>
    <t xml:space="preserve">10902567:eng</t>
  </si>
  <si>
    <t xml:space="preserve">3449736</t>
  </si>
  <si>
    <t xml:space="preserve">991004439049702656</t>
  </si>
  <si>
    <t xml:space="preserve">2265539200002656</t>
  </si>
  <si>
    <t xml:space="preserve">32285000194307</t>
  </si>
  <si>
    <t xml:space="preserve">893800972</t>
  </si>
  <si>
    <t xml:space="preserve">B765.T54 R57</t>
  </si>
  <si>
    <t xml:space="preserve">0                      B  0765000T  54                 R  57</t>
  </si>
  <si>
    <t xml:space="preserve">Man as infinite spirit, by James H. Robb.</t>
  </si>
  <si>
    <t xml:space="preserve">Robb, James H. (James Harry), 1918-</t>
  </si>
  <si>
    <t xml:space="preserve">Milwaukee, Marquette University Publications [1974]</t>
  </si>
  <si>
    <t xml:space="preserve">The Aquinas lecture, 1974</t>
  </si>
  <si>
    <t xml:space="preserve">2004-02-10</t>
  </si>
  <si>
    <t xml:space="preserve">1990-07-03</t>
  </si>
  <si>
    <t xml:space="preserve">522191:eng</t>
  </si>
  <si>
    <t xml:space="preserve">960368</t>
  </si>
  <si>
    <t xml:space="preserve">991003419849702656</t>
  </si>
  <si>
    <t xml:space="preserve">2258995110002656</t>
  </si>
  <si>
    <t xml:space="preserve">9780874621396</t>
  </si>
  <si>
    <t xml:space="preserve">32285000194364</t>
  </si>
  <si>
    <t xml:space="preserve">893868395</t>
  </si>
  <si>
    <t xml:space="preserve">B765.T54 S33</t>
  </si>
  <si>
    <t xml:space="preserve">0                      B  0765000T  54                 S  33</t>
  </si>
  <si>
    <t xml:space="preserve">The domain of logic according to Saint Thomas Aquinas / by Robert W. Schmidt.</t>
  </si>
  <si>
    <t xml:space="preserve">Schmidt, Robert William, 1909-</t>
  </si>
  <si>
    <t xml:space="preserve">2008-12-18</t>
  </si>
  <si>
    <t xml:space="preserve">1483034:eng</t>
  </si>
  <si>
    <t xml:space="preserve">342675</t>
  </si>
  <si>
    <t xml:space="preserve">991002420649702656</t>
  </si>
  <si>
    <t xml:space="preserve">2266286620002656</t>
  </si>
  <si>
    <t xml:space="preserve">32285000194398</t>
  </si>
  <si>
    <t xml:space="preserve">893517269</t>
  </si>
  <si>
    <t xml:space="preserve">B765.T54 T431 1984</t>
  </si>
  <si>
    <t xml:space="preserve">0                      B  0765000T  54                 T  431         1984</t>
  </si>
  <si>
    <t xml:space="preserve">Thomistic papers. I / edited by Victor B. Brezik.</t>
  </si>
  <si>
    <t xml:space="preserve">Houston, Texas : Center for Thomistic Studies, University of St. Thomas, c1984.</t>
  </si>
  <si>
    <t xml:space="preserve">2010-11-22</t>
  </si>
  <si>
    <t xml:space="preserve">2000-06-15</t>
  </si>
  <si>
    <t xml:space="preserve">2869435167:eng</t>
  </si>
  <si>
    <t xml:space="preserve">14375753</t>
  </si>
  <si>
    <t xml:space="preserve">991003177549702656</t>
  </si>
  <si>
    <t xml:space="preserve">2263405450002656</t>
  </si>
  <si>
    <t xml:space="preserve">9780268018504</t>
  </si>
  <si>
    <t xml:space="preserve">32285000183185</t>
  </si>
  <si>
    <t xml:space="preserve">893874499</t>
  </si>
  <si>
    <t xml:space="preserve">B765.T54 T432 1986</t>
  </si>
  <si>
    <t xml:space="preserve">0                      B  0765000T  54                 T  432         1986</t>
  </si>
  <si>
    <t xml:space="preserve">Thomistic papers. II / edited by Leonard A. Kennedy and Jack C. Marler.</t>
  </si>
  <si>
    <t xml:space="preserve">Houston, Texas : Center for Thomistic Studies, University of St. Thomas, c1986.</t>
  </si>
  <si>
    <t xml:space="preserve">2908751143:eng</t>
  </si>
  <si>
    <t xml:space="preserve">14375839</t>
  </si>
  <si>
    <t xml:space="preserve">991003177579702656</t>
  </si>
  <si>
    <t xml:space="preserve">2263360340002656</t>
  </si>
  <si>
    <t xml:space="preserve">9780268018597</t>
  </si>
  <si>
    <t xml:space="preserve">32285000183193</t>
  </si>
  <si>
    <t xml:space="preserve">893604515</t>
  </si>
  <si>
    <t xml:space="preserve">B765.T54 V37 1871</t>
  </si>
  <si>
    <t xml:space="preserve">0                      B  0765000T  54                 V  37          1871</t>
  </si>
  <si>
    <t xml:space="preserve">The life and labours of Saint Thomas of Aquin / by the Very Rev. Roger Bede Vaughan.</t>
  </si>
  <si>
    <t xml:space="preserve">Vaughan, Roger Bede, 1834-1883.</t>
  </si>
  <si>
    <t xml:space="preserve">London : Longmans, 1871-72.</t>
  </si>
  <si>
    <t xml:space="preserve">1871</t>
  </si>
  <si>
    <t xml:space="preserve">2001-10-24</t>
  </si>
  <si>
    <t xml:space="preserve">2003-04-06</t>
  </si>
  <si>
    <t xml:space="preserve">3145666560:eng</t>
  </si>
  <si>
    <t xml:space="preserve">3335828</t>
  </si>
  <si>
    <t xml:space="preserve">991004410059702656</t>
  </si>
  <si>
    <t xml:space="preserve">2271340290002656</t>
  </si>
  <si>
    <t xml:space="preserve">32285000194513</t>
  </si>
  <si>
    <t xml:space="preserve">893882451</t>
  </si>
  <si>
    <t xml:space="preserve">32285000194505</t>
  </si>
  <si>
    <t xml:space="preserve">893876077</t>
  </si>
  <si>
    <t xml:space="preserve">B765.Z9 M2</t>
  </si>
  <si>
    <t xml:space="preserve">0                      B  0765000Z  9                  M  2</t>
  </si>
  <si>
    <t xml:space="preserve">A study of the Summa philosophiae of the Pseudo-Grosseteste.</t>
  </si>
  <si>
    <t xml:space="preserve">McKeon, Charles King, 1910-</t>
  </si>
  <si>
    <t xml:space="preserve">New York : Columbia Univ. Press, 1948.</t>
  </si>
  <si>
    <t xml:space="preserve">Columbia studies in philosophy ; no. 10</t>
  </si>
  <si>
    <t xml:space="preserve">7257902:eng</t>
  </si>
  <si>
    <t xml:space="preserve">3020910</t>
  </si>
  <si>
    <t xml:space="preserve">991004322249702656</t>
  </si>
  <si>
    <t xml:space="preserve">2260221760002656</t>
  </si>
  <si>
    <t xml:space="preserve">32285000194604</t>
  </si>
  <si>
    <t xml:space="preserve">893901109</t>
  </si>
  <si>
    <t xml:space="preserve">B778 .C35</t>
  </si>
  <si>
    <t xml:space="preserve">0                      B  0778000C  35</t>
  </si>
  <si>
    <t xml:space="preserve">Humanism and the social order in Tudor England.</t>
  </si>
  <si>
    <t xml:space="preserve">Caspari, Fritz, 1914-2010.</t>
  </si>
  <si>
    <t xml:space="preserve">[Chicago] : University of Chicago Press, [1954]</t>
  </si>
  <si>
    <t xml:space="preserve">2007-09-14</t>
  </si>
  <si>
    <t xml:space="preserve">1354949:eng</t>
  </si>
  <si>
    <t xml:space="preserve">1421731</t>
  </si>
  <si>
    <t xml:space="preserve">991003748469702656</t>
  </si>
  <si>
    <t xml:space="preserve">2269439350002656</t>
  </si>
  <si>
    <t xml:space="preserve">32285000161850</t>
  </si>
  <si>
    <t xml:space="preserve">893342954</t>
  </si>
  <si>
    <t xml:space="preserve">B778 .S75</t>
  </si>
  <si>
    <t xml:space="preserve">0                      B  0778000S  75</t>
  </si>
  <si>
    <t xml:space="preserve">The language of history in the Renaissance : rhetoric and historical consciousness in Florentine humanism / by Nancy S. Struever.</t>
  </si>
  <si>
    <t xml:space="preserve">Struever, Nancy S.</t>
  </si>
  <si>
    <t xml:space="preserve">Princeton, N.J. : Princeton University Press, 1970.</t>
  </si>
  <si>
    <t xml:space="preserve">375287129:eng</t>
  </si>
  <si>
    <t xml:space="preserve">96091</t>
  </si>
  <si>
    <t xml:space="preserve">991000586069702656</t>
  </si>
  <si>
    <t xml:space="preserve">2271299620002656</t>
  </si>
  <si>
    <t xml:space="preserve">9780691061801</t>
  </si>
  <si>
    <t xml:space="preserve">32285000161942</t>
  </si>
  <si>
    <t xml:space="preserve">893784358</t>
  </si>
  <si>
    <t xml:space="preserve">B780.M3 R46 1979</t>
  </si>
  <si>
    <t xml:space="preserve">0                      B  0780000M  3                  R  46          1979</t>
  </si>
  <si>
    <t xml:space="preserve">Renaissance views of man / by Stevie Davies, editor.</t>
  </si>
  <si>
    <t xml:space="preserve">New York : Barnes &amp; Noble, 1979.</t>
  </si>
  <si>
    <t xml:space="preserve">Literature in context</t>
  </si>
  <si>
    <t xml:space="preserve">2005-04-23</t>
  </si>
  <si>
    <t xml:space="preserve">54263777:eng</t>
  </si>
  <si>
    <t xml:space="preserve">4496194</t>
  </si>
  <si>
    <t xml:space="preserve">991004659069702656</t>
  </si>
  <si>
    <t xml:space="preserve">2268740680002656</t>
  </si>
  <si>
    <t xml:space="preserve">9780064916219</t>
  </si>
  <si>
    <t xml:space="preserve">32285000162007</t>
  </si>
  <si>
    <t xml:space="preserve">893719189</t>
  </si>
  <si>
    <t xml:space="preserve">B783.E74 N4</t>
  </si>
  <si>
    <t xml:space="preserve">0                      B  0783000E  74                 N  4</t>
  </si>
  <si>
    <t xml:space="preserve">Renaissance theory of love : the context of Giordano Bruno's Eroici furori.</t>
  </si>
  <si>
    <t xml:space="preserve">Nelson, John Charles.</t>
  </si>
  <si>
    <t xml:space="preserve">New York : Columbia University Press, 1958.</t>
  </si>
  <si>
    <t xml:space="preserve">1351547:eng</t>
  </si>
  <si>
    <t xml:space="preserve">255204</t>
  </si>
  <si>
    <t xml:space="preserve">991001990169702656</t>
  </si>
  <si>
    <t xml:space="preserve">2268868150002656</t>
  </si>
  <si>
    <t xml:space="preserve">32285000162130</t>
  </si>
  <si>
    <t xml:space="preserve">893322441</t>
  </si>
  <si>
    <t xml:space="preserve">B785 .S84 D317 1960 V2</t>
  </si>
  <si>
    <t xml:space="preserve">0                      B  0785000S  84                 D  317         1960   V  2</t>
  </si>
  <si>
    <t xml:space="preserve">Disputaciones metafísicas. Ed. y traducción de Sergio Rábade Romeo, Salvador Caballero Sánchez y Antonio Puigcerver Zanón.</t>
  </si>
  <si>
    <t xml:space="preserve">[Madrid, Editorial Gredos, 1960-1966]</t>
  </si>
  <si>
    <t xml:space="preserve">Biblioteca hispánica de filosofía ; 24</t>
  </si>
  <si>
    <t xml:space="preserve">1952572944:spa</t>
  </si>
  <si>
    <t xml:space="preserve">981265</t>
  </si>
  <si>
    <t xml:space="preserve">991003446009702656</t>
  </si>
  <si>
    <t xml:space="preserve">2269811280002656</t>
  </si>
  <si>
    <t xml:space="preserve">32285000162585</t>
  </si>
  <si>
    <t xml:space="preserve">893416380</t>
  </si>
  <si>
    <t xml:space="preserve">B785 .S84 D317 1960 V3</t>
  </si>
  <si>
    <t xml:space="preserve">0                      B  0785000S  84                 D  317         1960   V  3</t>
  </si>
  <si>
    <t xml:space="preserve">32285000162593</t>
  </si>
  <si>
    <t xml:space="preserve">893434996</t>
  </si>
  <si>
    <t xml:space="preserve">B785 .S84 D317 1960 V4</t>
  </si>
  <si>
    <t xml:space="preserve">0                      B  0785000S  84                 D  317         1960   V  4</t>
  </si>
  <si>
    <t xml:space="preserve">32285000162601</t>
  </si>
  <si>
    <t xml:space="preserve">893416379</t>
  </si>
  <si>
    <t xml:space="preserve">B785 .S84 D317 1960 V5</t>
  </si>
  <si>
    <t xml:space="preserve">0                      B  0785000S  84                 D  317         1960   V  5</t>
  </si>
  <si>
    <t xml:space="preserve">32285000162619</t>
  </si>
  <si>
    <t xml:space="preserve">893428801</t>
  </si>
  <si>
    <t xml:space="preserve">B785 .S84 D317 1960 V6</t>
  </si>
  <si>
    <t xml:space="preserve">0                      B  0785000S  84                 D  317         1960   V  6</t>
  </si>
  <si>
    <t xml:space="preserve">32285000162627</t>
  </si>
  <si>
    <t xml:space="preserve">893434997</t>
  </si>
  <si>
    <t xml:space="preserve">B785.E64 B693 1983</t>
  </si>
  <si>
    <t xml:space="preserve">0                      B  0785000E  64                 B  693         1983</t>
  </si>
  <si>
    <t xml:space="preserve">Rhetoric and reform : Erasmus' civil dispute with Luther / Marjorie O'Rourke Boyle.</t>
  </si>
  <si>
    <t xml:space="preserve">Boyle, Marjorie O'Rourke, 1943-</t>
  </si>
  <si>
    <t xml:space="preserve">Cambridge, Mass. : Harvard University Press, 1983.</t>
  </si>
  <si>
    <t xml:space="preserve">Harvard historical monographs ; 71</t>
  </si>
  <si>
    <t xml:space="preserve">836712643:eng</t>
  </si>
  <si>
    <t xml:space="preserve">9195269</t>
  </si>
  <si>
    <t xml:space="preserve">991000146009702656</t>
  </si>
  <si>
    <t xml:space="preserve">2266528360002656</t>
  </si>
  <si>
    <t xml:space="preserve">9780674768703</t>
  </si>
  <si>
    <t xml:space="preserve">32285000162262</t>
  </si>
  <si>
    <t xml:space="preserve">893495961</t>
  </si>
  <si>
    <t xml:space="preserve">B785.E64 D46 1987</t>
  </si>
  <si>
    <t xml:space="preserve">0                      B  0785000E  64                 D  46          1987</t>
  </si>
  <si>
    <t xml:space="preserve">The spirituality of Erasmus of Rotterdam / Richard L. DeMolen.</t>
  </si>
  <si>
    <t xml:space="preserve">DeMolen, Richard L.</t>
  </si>
  <si>
    <t xml:space="preserve">Nieuwkoop : De Graaf, 1987.</t>
  </si>
  <si>
    <t xml:space="preserve">Bibliotheca humanistica &amp; reformatorica ; v. 40</t>
  </si>
  <si>
    <t xml:space="preserve">1991-05-31</t>
  </si>
  <si>
    <t xml:space="preserve">15726488:eng</t>
  </si>
  <si>
    <t xml:space="preserve">17370593</t>
  </si>
  <si>
    <t xml:space="preserve">991001208509702656</t>
  </si>
  <si>
    <t xml:space="preserve">2272704470002656</t>
  </si>
  <si>
    <t xml:space="preserve">9789060043929</t>
  </si>
  <si>
    <t xml:space="preserve">32285000591031</t>
  </si>
  <si>
    <t xml:space="preserve">893503196</t>
  </si>
  <si>
    <t xml:space="preserve">B785.E64 E74 1969</t>
  </si>
  <si>
    <t xml:space="preserve">0                      B  0785000E  64                 E  74          1969</t>
  </si>
  <si>
    <t xml:space="preserve">Erasmus of Rotterdam : a quincentennial symposium / edited by Richard L. DeMolen.</t>
  </si>
  <si>
    <t xml:space="preserve">Erasmus Symposium (1969 : Ithaca College)</t>
  </si>
  <si>
    <t xml:space="preserve">New York : Twayne Publishers, [c1971]</t>
  </si>
  <si>
    <t xml:space="preserve">422674460:eng</t>
  </si>
  <si>
    <t xml:space="preserve">258117</t>
  </si>
  <si>
    <t xml:space="preserve">991002005999702656</t>
  </si>
  <si>
    <t xml:space="preserve">2271414730002656</t>
  </si>
  <si>
    <t xml:space="preserve">32285000162270</t>
  </si>
  <si>
    <t xml:space="preserve">893244642</t>
  </si>
  <si>
    <t xml:space="preserve">B785.E64 F3</t>
  </si>
  <si>
    <t xml:space="preserve">0                      B  0785000E  64                 F  3</t>
  </si>
  <si>
    <t xml:space="preserve">Erasmus / [by] George Faludy.</t>
  </si>
  <si>
    <t xml:space="preserve">Faludy, György.</t>
  </si>
  <si>
    <t xml:space="preserve">New York : Stein and Day, [1970]</t>
  </si>
  <si>
    <t xml:space="preserve">1195298:eng</t>
  </si>
  <si>
    <t xml:space="preserve">108016</t>
  </si>
  <si>
    <t xml:space="preserve">991000636289702656</t>
  </si>
  <si>
    <t xml:space="preserve">2261928960002656</t>
  </si>
  <si>
    <t xml:space="preserve">9780812812886</t>
  </si>
  <si>
    <t xml:space="preserve">32285000162288</t>
  </si>
  <si>
    <t xml:space="preserve">893771813</t>
  </si>
  <si>
    <t xml:space="preserve">B785.E64 S38</t>
  </si>
  <si>
    <t xml:space="preserve">0                      B  0785000E  64                 S  38</t>
  </si>
  <si>
    <t xml:space="preserve">Scrinium Erasmianum : Mélanges historiques publiés sous le patronage de l'Université de Louvain à l'occasion du cinquième centenaire de la naissance d'Érasme. Historische opstellen gepubliceerd onder de auspiciën van de Universiteit te Leuven naar aanleiding van het vijfde eeuwfeest van Erasmus' geboorte.</t>
  </si>
  <si>
    <t xml:space="preserve">Leiden : Brill, 1969.</t>
  </si>
  <si>
    <t xml:space="preserve">2009-09-12</t>
  </si>
  <si>
    <t xml:space="preserve">5610521907:fre</t>
  </si>
  <si>
    <t xml:space="preserve">242984</t>
  </si>
  <si>
    <t xml:space="preserve">991001913759702656</t>
  </si>
  <si>
    <t xml:space="preserve">2269380350002656</t>
  </si>
  <si>
    <t xml:space="preserve">32285000162338</t>
  </si>
  <si>
    <t xml:space="preserve">893408462</t>
  </si>
  <si>
    <t xml:space="preserve">32285000162320</t>
  </si>
  <si>
    <t xml:space="preserve">893408463</t>
  </si>
  <si>
    <t xml:space="preserve">B785.F433 T53 2001</t>
  </si>
  <si>
    <t xml:space="preserve">0                      B  0785000F  433                T  53          2001</t>
  </si>
  <si>
    <t xml:space="preserve">Platonic theology / Marsilio Ficino ; Latin text edited by James Hankins with William Bowen ; English translation by Michael J.B. Allen and John Warden.</t>
  </si>
  <si>
    <t xml:space="preserve">Ficino, Marsilio, 1433-1499</t>
  </si>
  <si>
    <t xml:space="preserve">Cambridge, Mass. : Harvard University Press, 2001-</t>
  </si>
  <si>
    <t xml:space="preserve">I Tatti Renaissance library ; 2</t>
  </si>
  <si>
    <t xml:space="preserve">2001-06-07</t>
  </si>
  <si>
    <t xml:space="preserve">2001-06-06</t>
  </si>
  <si>
    <t xml:space="preserve">3373713885:eng</t>
  </si>
  <si>
    <t xml:space="preserve">45362539</t>
  </si>
  <si>
    <t xml:space="preserve">991003536019702656</t>
  </si>
  <si>
    <t xml:space="preserve">2255156030002656</t>
  </si>
  <si>
    <t xml:space="preserve">9780674003453</t>
  </si>
  <si>
    <t xml:space="preserve">32285004325659</t>
  </si>
  <si>
    <t xml:space="preserve">893422670</t>
  </si>
  <si>
    <t xml:space="preserve">B785.L44 S3</t>
  </si>
  <si>
    <t xml:space="preserve">0                      B  0785000L  44                 S  3</t>
  </si>
  <si>
    <t xml:space="preserve">Justus Lipsius : the philosophy of Renaissance stoicism.</t>
  </si>
  <si>
    <t xml:space="preserve">Saunders, Jason L.</t>
  </si>
  <si>
    <t xml:space="preserve">2002-09-24</t>
  </si>
  <si>
    <t xml:space="preserve">365945630:eng</t>
  </si>
  <si>
    <t xml:space="preserve">3416391</t>
  </si>
  <si>
    <t xml:space="preserve">991004430349702656</t>
  </si>
  <si>
    <t xml:space="preserve">2263142600002656</t>
  </si>
  <si>
    <t xml:space="preserve">32285000162437</t>
  </si>
  <si>
    <t xml:space="preserve">893782233</t>
  </si>
  <si>
    <t xml:space="preserve">B785.P53 D442</t>
  </si>
  <si>
    <t xml:space="preserve">0                      B  0785000P  53                 D  442</t>
  </si>
  <si>
    <t xml:space="preserve">Oration on the dignity of man / Translated by A. Robert Caponigri. Introd. by Russell Kirk.</t>
  </si>
  <si>
    <t xml:space="preserve">Pico della Mirandola, Giovanni, 1463-1494.</t>
  </si>
  <si>
    <t xml:space="preserve">Chicago : Gateway Editions ; distributed by Regnery Co., [1956]</t>
  </si>
  <si>
    <t xml:space="preserve">A Gateway edition</t>
  </si>
  <si>
    <t xml:space="preserve">2009-11-04</t>
  </si>
  <si>
    <t xml:space="preserve">3855320112:eng</t>
  </si>
  <si>
    <t xml:space="preserve">371754</t>
  </si>
  <si>
    <t xml:space="preserve">991002561049702656</t>
  </si>
  <si>
    <t xml:space="preserve">2259962630002656</t>
  </si>
  <si>
    <t xml:space="preserve">32285000162494</t>
  </si>
  <si>
    <t xml:space="preserve">893627195</t>
  </si>
  <si>
    <t xml:space="preserve">B785.S84 D317 1960</t>
  </si>
  <si>
    <t xml:space="preserve">0                      B  0785000S  84                 D  317         1960</t>
  </si>
  <si>
    <t xml:space="preserve">32285000162577</t>
  </si>
  <si>
    <t xml:space="preserve">893410279</t>
  </si>
  <si>
    <t xml:space="preserve">B785.S85 F5 1940</t>
  </si>
  <si>
    <t xml:space="preserve">0                      B  0785000S  85                 F  5           1940</t>
  </si>
  <si>
    <t xml:space="preserve">Man of Spain : Francis Suarez.</t>
  </si>
  <si>
    <t xml:space="preserve">Fichter, Joseph Henry, 1908-1994.</t>
  </si>
  <si>
    <t xml:space="preserve">New York : Macmillan, 1940.</t>
  </si>
  <si>
    <t xml:space="preserve">2010-04-21</t>
  </si>
  <si>
    <t xml:space="preserve">431327489:eng</t>
  </si>
  <si>
    <t xml:space="preserve">1318546</t>
  </si>
  <si>
    <t xml:space="preserve">991003689069702656</t>
  </si>
  <si>
    <t xml:space="preserve">2270757350002656</t>
  </si>
  <si>
    <t xml:space="preserve">32285000162643</t>
  </si>
  <si>
    <t xml:space="preserve">893349008</t>
  </si>
  <si>
    <t xml:space="preserve">B785.V58 R45</t>
  </si>
  <si>
    <t xml:space="preserve">0                      B  0785000V  58                 R  45</t>
  </si>
  <si>
    <t xml:space="preserve">Cajetan's notion of existence / by John P. Reilly.</t>
  </si>
  <si>
    <t xml:space="preserve">Reilly, John P.</t>
  </si>
  <si>
    <t xml:space="preserve">Studies in philosophy ; 4</t>
  </si>
  <si>
    <t xml:space="preserve">1171483:eng</t>
  </si>
  <si>
    <t xml:space="preserve">151296</t>
  </si>
  <si>
    <t xml:space="preserve">991000871499702656</t>
  </si>
  <si>
    <t xml:space="preserve">2272275100002656</t>
  </si>
  <si>
    <t xml:space="preserve">32285000162684</t>
  </si>
  <si>
    <t xml:space="preserve">893522085</t>
  </si>
  <si>
    <t xml:space="preserve">B785.V63 A33</t>
  </si>
  <si>
    <t xml:space="preserve">0                      B  0785000V  63                 A  33</t>
  </si>
  <si>
    <t xml:space="preserve">Introduction to wisdom : a Renaissance textbook / edited with an introd. by Marian Leona Tobriner.</t>
  </si>
  <si>
    <t xml:space="preserve">New York : Teachers College Press, [c1968]</t>
  </si>
  <si>
    <t xml:space="preserve">Classics in education ; no. 35</t>
  </si>
  <si>
    <t xml:space="preserve">2010-04-30</t>
  </si>
  <si>
    <t xml:space="preserve">3855749889:eng</t>
  </si>
  <si>
    <t xml:space="preserve">2287</t>
  </si>
  <si>
    <t xml:space="preserve">991005434099702656</t>
  </si>
  <si>
    <t xml:space="preserve">2262802810002656</t>
  </si>
  <si>
    <t xml:space="preserve">32285000162957</t>
  </si>
  <si>
    <t xml:space="preserve">893689196</t>
  </si>
  <si>
    <t xml:space="preserve">B790 .B4</t>
  </si>
  <si>
    <t xml:space="preserve">0                      B  0790000B  4</t>
  </si>
  <si>
    <t xml:space="preserve">The European philosophers from Descartes to Nietzsche.</t>
  </si>
  <si>
    <t xml:space="preserve">Beardsley, Monroe C., editor.</t>
  </si>
  <si>
    <t xml:space="preserve">New York : Modern Library, [1960]</t>
  </si>
  <si>
    <t xml:space="preserve">The Modern library of the world's best books. [A Modern library giant, G-16]</t>
  </si>
  <si>
    <t xml:space="preserve">2004-03-17</t>
  </si>
  <si>
    <t xml:space="preserve">55578857:eng</t>
  </si>
  <si>
    <t xml:space="preserve">250414</t>
  </si>
  <si>
    <t xml:space="preserve">991001935459702656</t>
  </si>
  <si>
    <t xml:space="preserve">2266866060002656</t>
  </si>
  <si>
    <t xml:space="preserve">32285000162965</t>
  </si>
  <si>
    <t xml:space="preserve">893609284</t>
  </si>
  <si>
    <t xml:space="preserve">B791 .C58</t>
  </si>
  <si>
    <t xml:space="preserve">0                      B  0791000C  58</t>
  </si>
  <si>
    <t xml:space="preserve">A history of modern European philosophy.</t>
  </si>
  <si>
    <t xml:space="preserve">Milwaukee : Bruce Pub. Co., [1954]</t>
  </si>
  <si>
    <t xml:space="preserve">1844530:eng</t>
  </si>
  <si>
    <t xml:space="preserve">907400</t>
  </si>
  <si>
    <t xml:space="preserve">991003371289702656</t>
  </si>
  <si>
    <t xml:space="preserve">2258403880002656</t>
  </si>
  <si>
    <t xml:space="preserve">32285000163112</t>
  </si>
  <si>
    <t xml:space="preserve">893893671</t>
  </si>
  <si>
    <t xml:space="preserve">B791 .C59</t>
  </si>
  <si>
    <t xml:space="preserve">0                      B  0791000C  59</t>
  </si>
  <si>
    <t xml:space="preserve">Three paths in philosophy.</t>
  </si>
  <si>
    <t xml:space="preserve">Chicago : H. Regnery Co., [c1962]</t>
  </si>
  <si>
    <t xml:space="preserve">1151025818:eng</t>
  </si>
  <si>
    <t xml:space="preserve">943781</t>
  </si>
  <si>
    <t xml:space="preserve">991003403969702656</t>
  </si>
  <si>
    <t xml:space="preserve">2266581250002656</t>
  </si>
  <si>
    <t xml:space="preserve">32285000163146</t>
  </si>
  <si>
    <t xml:space="preserve">893228027</t>
  </si>
  <si>
    <t xml:space="preserve">B791 .D57</t>
  </si>
  <si>
    <t xml:space="preserve">0                      B  0791000D  57</t>
  </si>
  <si>
    <t xml:space="preserve">Dissertations on the progress of knowledge.</t>
  </si>
  <si>
    <t xml:space="preserve">New York : Arno Press, 1975.</t>
  </si>
  <si>
    <t xml:space="preserve">History, philosophy and sociology of science</t>
  </si>
  <si>
    <t xml:space="preserve">2004-08-09</t>
  </si>
  <si>
    <t xml:space="preserve">8907223321:eng</t>
  </si>
  <si>
    <t xml:space="preserve">1354948</t>
  </si>
  <si>
    <t xml:space="preserve">991003712729702656</t>
  </si>
  <si>
    <t xml:space="preserve">2271366480002656</t>
  </si>
  <si>
    <t xml:space="preserve">9780405066344</t>
  </si>
  <si>
    <t xml:space="preserve">32285000163161</t>
  </si>
  <si>
    <t xml:space="preserve">893711688</t>
  </si>
  <si>
    <t xml:space="preserve">B791 .K55</t>
  </si>
  <si>
    <t xml:space="preserve">0                      B  0791000K  55</t>
  </si>
  <si>
    <t xml:space="preserve">Thomism and modern thought.</t>
  </si>
  <si>
    <t xml:space="preserve">Klocker, Harry R.</t>
  </si>
  <si>
    <t xml:space="preserve">New York, Appleton-Century-Crofts [1962]</t>
  </si>
  <si>
    <t xml:space="preserve">2005-01-24</t>
  </si>
  <si>
    <t xml:space="preserve">1449835:eng</t>
  </si>
  <si>
    <t xml:space="preserve">371799</t>
  </si>
  <si>
    <t xml:space="preserve">991001761539702656</t>
  </si>
  <si>
    <t xml:space="preserve">2260001810002656</t>
  </si>
  <si>
    <t xml:space="preserve">32285000163211</t>
  </si>
  <si>
    <t xml:space="preserve">893709513</t>
  </si>
  <si>
    <t xml:space="preserve">B801 .L44 1968b</t>
  </si>
  <si>
    <t xml:space="preserve">0                      B  0801000L  44          1968b</t>
  </si>
  <si>
    <t xml:space="preserve">Seventeenth-century metaphysics : an examination of some main concepts and theories / by W. von Leyden.</t>
  </si>
  <si>
    <t xml:space="preserve">Leyden, W. von (Wolfgang), 1911-2004.</t>
  </si>
  <si>
    <t xml:space="preserve">New York : Barnes &amp; Noble, [1968]</t>
  </si>
  <si>
    <t xml:space="preserve">2000-02-19</t>
  </si>
  <si>
    <t xml:space="preserve">376773567:eng</t>
  </si>
  <si>
    <t xml:space="preserve">219531</t>
  </si>
  <si>
    <t xml:space="preserve">991001295719702656</t>
  </si>
  <si>
    <t xml:space="preserve">2258172330002656</t>
  </si>
  <si>
    <t xml:space="preserve">32285000170349</t>
  </si>
  <si>
    <t xml:space="preserve">893534510</t>
  </si>
  <si>
    <t xml:space="preserve">B802 .B39</t>
  </si>
  <si>
    <t xml:space="preserve">0                      B  0802000B  39</t>
  </si>
  <si>
    <t xml:space="preserve">Eighteenth-century philosophy / edited and with an introd. by Lewis White Beck.</t>
  </si>
  <si>
    <t xml:space="preserve">Beck, Lewis White editor.</t>
  </si>
  <si>
    <t xml:space="preserve">Readings in the history of philosophy</t>
  </si>
  <si>
    <t xml:space="preserve">1302783:eng</t>
  </si>
  <si>
    <t xml:space="preserve">173248</t>
  </si>
  <si>
    <t xml:space="preserve">991001009469702656</t>
  </si>
  <si>
    <t xml:space="preserve">2268417510002656</t>
  </si>
  <si>
    <t xml:space="preserve">32285000170372</t>
  </si>
  <si>
    <t xml:space="preserve">893515824</t>
  </si>
  <si>
    <t xml:space="preserve">B802 .B7</t>
  </si>
  <si>
    <t xml:space="preserve">0                      B  0802000B  7</t>
  </si>
  <si>
    <t xml:space="preserve">The portable age of reason reader.</t>
  </si>
  <si>
    <t xml:space="preserve">New York : Viking Press, 1956.</t>
  </si>
  <si>
    <t xml:space="preserve">The Viking portable library [63]</t>
  </si>
  <si>
    <t xml:space="preserve">2005-09-13</t>
  </si>
  <si>
    <t xml:space="preserve">1368795:eng</t>
  </si>
  <si>
    <t xml:space="preserve">260788</t>
  </si>
  <si>
    <t xml:space="preserve">991002037239702656</t>
  </si>
  <si>
    <t xml:space="preserve">2262603780002656</t>
  </si>
  <si>
    <t xml:space="preserve">32285000170414</t>
  </si>
  <si>
    <t xml:space="preserve">893885771</t>
  </si>
  <si>
    <t xml:space="preserve">B802 .H39</t>
  </si>
  <si>
    <t xml:space="preserve">0                      B  0802000H  39</t>
  </si>
  <si>
    <t xml:space="preserve">European thought in the eighteenth century : from Montesquieu to Lessing / [Translation from the original French by J. Lewis May]</t>
  </si>
  <si>
    <t xml:space="preserve">Hazard, Paul, 1878-1944.</t>
  </si>
  <si>
    <t xml:space="preserve">New Haven : Yale University Press, 1954.</t>
  </si>
  <si>
    <t xml:space="preserve">1999-02-27</t>
  </si>
  <si>
    <t xml:space="preserve">2564855934:eng</t>
  </si>
  <si>
    <t xml:space="preserve">249964</t>
  </si>
  <si>
    <t xml:space="preserve">991001934139702656</t>
  </si>
  <si>
    <t xml:space="preserve">2259257160002656</t>
  </si>
  <si>
    <t xml:space="preserve">32285000170547</t>
  </si>
  <si>
    <t xml:space="preserve">893609281</t>
  </si>
  <si>
    <t xml:space="preserve">B802 .M6</t>
  </si>
  <si>
    <t xml:space="preserve">0                      B  0802000M  6</t>
  </si>
  <si>
    <t xml:space="preserve">Introduction to modernity : a symposium on eighteenth-century thought.</t>
  </si>
  <si>
    <t xml:space="preserve">Mollenauer, Robert, 1932-, editor.</t>
  </si>
  <si>
    <t xml:space="preserve">Austin : Published for the Dept. of Germanic Languages of the University of Texas by the University of Texas Press, [1965]</t>
  </si>
  <si>
    <t xml:space="preserve">2000-11-21</t>
  </si>
  <si>
    <t xml:space="preserve">1462538:eng</t>
  </si>
  <si>
    <t xml:space="preserve">337869</t>
  </si>
  <si>
    <t xml:space="preserve">991002403269702656</t>
  </si>
  <si>
    <t xml:space="preserve">2256112610002656</t>
  </si>
  <si>
    <t xml:space="preserve">32285000170562</t>
  </si>
  <si>
    <t xml:space="preserve">893415160</t>
  </si>
  <si>
    <t xml:space="preserve">B802.B44 R6 1968</t>
  </si>
  <si>
    <t xml:space="preserve">0                      B  0802000B  44                 R  6           1968</t>
  </si>
  <si>
    <t xml:space="preserve">Carl Becker's Heavenly city revisited / edited by Raymond O. Rockwood.</t>
  </si>
  <si>
    <t xml:space="preserve">Rockwood, Raymond Oxley, 1907-, editor.</t>
  </si>
  <si>
    <t xml:space="preserve">[Hamden, Conn.] : Archon Books, 1968 [c1958]</t>
  </si>
  <si>
    <t xml:space="preserve">417500:eng</t>
  </si>
  <si>
    <t xml:space="preserve">436534</t>
  </si>
  <si>
    <t xml:space="preserve">991002769929702656</t>
  </si>
  <si>
    <t xml:space="preserve">2268870450002656</t>
  </si>
  <si>
    <t xml:space="preserve">32285000170398</t>
  </si>
  <si>
    <t xml:space="preserve">893233394</t>
  </si>
  <si>
    <t xml:space="preserve">B803 .H324</t>
  </si>
  <si>
    <t xml:space="preserve">0                      B  0803000H  324</t>
  </si>
  <si>
    <t xml:space="preserve">Philosophy of recent times / edited by James B. Hartman.</t>
  </si>
  <si>
    <t xml:space="preserve">Hartman, James B., compiler.</t>
  </si>
  <si>
    <t xml:space="preserve">New York : McGraw-Hill, [1966-67]</t>
  </si>
  <si>
    <t xml:space="preserve">1994-09-20</t>
  </si>
  <si>
    <t xml:space="preserve">1990-05-30</t>
  </si>
  <si>
    <t xml:space="preserve">293431881:eng</t>
  </si>
  <si>
    <t xml:space="preserve">371761</t>
  </si>
  <si>
    <t xml:space="preserve">991002561229702656</t>
  </si>
  <si>
    <t xml:space="preserve">2259961060002656</t>
  </si>
  <si>
    <t xml:space="preserve">32285000170638</t>
  </si>
  <si>
    <t xml:space="preserve">893609994</t>
  </si>
  <si>
    <t xml:space="preserve">B803 .H324 V2</t>
  </si>
  <si>
    <t xml:space="preserve">0                      B  0803000H  324                V  2</t>
  </si>
  <si>
    <t xml:space="preserve">32285000170646</t>
  </si>
  <si>
    <t xml:space="preserve">893609993</t>
  </si>
  <si>
    <t xml:space="preserve">B803 .L45</t>
  </si>
  <si>
    <t xml:space="preserve">0                      B  0803000L  45</t>
  </si>
  <si>
    <t xml:space="preserve">Philosophy and the modern world.</t>
  </si>
  <si>
    <t xml:space="preserve">Bloomington : Indiana University Press, [1959]</t>
  </si>
  <si>
    <t xml:space="preserve">3901297134:eng</t>
  </si>
  <si>
    <t xml:space="preserve">371759</t>
  </si>
  <si>
    <t xml:space="preserve">991002561169702656</t>
  </si>
  <si>
    <t xml:space="preserve">2259962440002656</t>
  </si>
  <si>
    <t xml:space="preserve">32285000170679</t>
  </si>
  <si>
    <t xml:space="preserve">893323086</t>
  </si>
  <si>
    <t xml:space="preserve">B803 .L623</t>
  </si>
  <si>
    <t xml:space="preserve">0                      B  0803000L  623</t>
  </si>
  <si>
    <t xml:space="preserve">From Hegel to Nietzsche : the revolution in nineteenth-century thought / Translated from the German by David E. Green.</t>
  </si>
  <si>
    <t xml:space="preserve">Löwith, Karl, 1897-1973.</t>
  </si>
  <si>
    <t xml:space="preserve">New York : Holt, Rinehart and Winston, [1964]</t>
  </si>
  <si>
    <t xml:space="preserve">1995-05-25</t>
  </si>
  <si>
    <t xml:space="preserve">4472022169:eng</t>
  </si>
  <si>
    <t xml:space="preserve">250267</t>
  </si>
  <si>
    <t xml:space="preserve">991001935039702656</t>
  </si>
  <si>
    <t xml:space="preserve">2266932580002656</t>
  </si>
  <si>
    <t xml:space="preserve">32285000170687</t>
  </si>
  <si>
    <t xml:space="preserve">893804032</t>
  </si>
  <si>
    <t xml:space="preserve">B803 .M34</t>
  </si>
  <si>
    <t xml:space="preserve">0                      B  0803000M  34</t>
  </si>
  <si>
    <t xml:space="preserve">History, man, &amp; reason : a study in nineteenth-century thought / [by] Maurice Mandelbaum.</t>
  </si>
  <si>
    <t xml:space="preserve">Mandelbaum, Maurice, 1908-1987.</t>
  </si>
  <si>
    <t xml:space="preserve">Baltimore : Johns Hopkins Press, [1971]</t>
  </si>
  <si>
    <t xml:space="preserve">866851761:eng</t>
  </si>
  <si>
    <t xml:space="preserve">181108</t>
  </si>
  <si>
    <t xml:space="preserve">991001088779702656</t>
  </si>
  <si>
    <t xml:space="preserve">2272721510002656</t>
  </si>
  <si>
    <t xml:space="preserve">9780801812361</t>
  </si>
  <si>
    <t xml:space="preserve">32285000170695</t>
  </si>
  <si>
    <t xml:space="preserve">893878604</t>
  </si>
  <si>
    <t xml:space="preserve">B803 .M4</t>
  </si>
  <si>
    <t xml:space="preserve">0                      B  0803000M  4</t>
  </si>
  <si>
    <t xml:space="preserve">Movements of thought in the nineteenth century / [by] George H. Mead ; edited by Merritt H. Moore.</t>
  </si>
  <si>
    <t xml:space="preserve">Mead, George Herbert, 1863-1931.</t>
  </si>
  <si>
    <t xml:space="preserve">Chicago, Ill. : The University of Chicago press, [1936]</t>
  </si>
  <si>
    <t xml:space="preserve">1992-07-27</t>
  </si>
  <si>
    <t xml:space="preserve">418818:eng</t>
  </si>
  <si>
    <t xml:space="preserve">372710</t>
  </si>
  <si>
    <t xml:space="preserve">991002566229702656</t>
  </si>
  <si>
    <t xml:space="preserve">2261524070002656</t>
  </si>
  <si>
    <t xml:space="preserve">32285000170703</t>
  </si>
  <si>
    <t xml:space="preserve">893873700</t>
  </si>
  <si>
    <t xml:space="preserve">B803 .P57 1991</t>
  </si>
  <si>
    <t xml:space="preserve">0                      B  0803000P  57          1991</t>
  </si>
  <si>
    <t xml:space="preserve">Modernism as a philosophical problem : on the dissatisfactions of European high culture / Robert B. Pippin.</t>
  </si>
  <si>
    <t xml:space="preserve">Pippin, Robert B., 1948-</t>
  </si>
  <si>
    <t xml:space="preserve">Cambridge, Mass., USA : B. Blackwell, 1991.</t>
  </si>
  <si>
    <t xml:space="preserve">1991-11-26</t>
  </si>
  <si>
    <t xml:space="preserve">836713298:eng</t>
  </si>
  <si>
    <t xml:space="preserve">21905235</t>
  </si>
  <si>
    <t xml:space="preserve">991001727769702656</t>
  </si>
  <si>
    <t xml:space="preserve">2267418950002656</t>
  </si>
  <si>
    <t xml:space="preserve">9780631176572</t>
  </si>
  <si>
    <t xml:space="preserve">32285000818087</t>
  </si>
  <si>
    <t xml:space="preserve">893250426</t>
  </si>
  <si>
    <t xml:space="preserve">B803 .S85</t>
  </si>
  <si>
    <t xml:space="preserve">0                      B  0803000S  85</t>
  </si>
  <si>
    <t xml:space="preserve">European intellectual history since 1789 / [by] Roland N. Stromberg.</t>
  </si>
  <si>
    <t xml:space="preserve">Stromberg, Roland N., 1916-2004.</t>
  </si>
  <si>
    <t xml:space="preserve">New York : Appleton-Century-Crofts, [1968]</t>
  </si>
  <si>
    <t xml:space="preserve">326739:eng</t>
  </si>
  <si>
    <t xml:space="preserve">279704</t>
  </si>
  <si>
    <t xml:space="preserve">991002185079702656</t>
  </si>
  <si>
    <t xml:space="preserve">2261278230002656</t>
  </si>
  <si>
    <t xml:space="preserve">32285000170745</t>
  </si>
  <si>
    <t xml:space="preserve">893697457</t>
  </si>
  <si>
    <t xml:space="preserve">B804 .B563</t>
  </si>
  <si>
    <t xml:space="preserve">0                      B  0804000B  563</t>
  </si>
  <si>
    <t xml:space="preserve">Contemporary European philosophy / Translated from the German by Donald Nicholl and Karl Aschenbrenner [from the 2d rev. German ed.]</t>
  </si>
  <si>
    <t xml:space="preserve">Bochenski, Joseph M., 1902-1995.</t>
  </si>
  <si>
    <t xml:space="preserve">Berkeley : University of California Press, 1956.</t>
  </si>
  <si>
    <t xml:space="preserve">2008-11-18</t>
  </si>
  <si>
    <t xml:space="preserve">4820407893:eng</t>
  </si>
  <si>
    <t xml:space="preserve">370906</t>
  </si>
  <si>
    <t xml:space="preserve">991002554469702656</t>
  </si>
  <si>
    <t xml:space="preserve">2259876480002656</t>
  </si>
  <si>
    <t xml:space="preserve">32285000170950</t>
  </si>
  <si>
    <t xml:space="preserve">893603731</t>
  </si>
  <si>
    <t xml:space="preserve">B804 .C57</t>
  </si>
  <si>
    <t xml:space="preserve">0                      B  0804000C  57</t>
  </si>
  <si>
    <t xml:space="preserve">Contemporary philosophy : a survey / edited by Raymond Klibansky.</t>
  </si>
  <si>
    <t xml:space="preserve">Firenze : La nuova Italia, 1968-</t>
  </si>
  <si>
    <t xml:space="preserve">2009-09-21</t>
  </si>
  <si>
    <t xml:space="preserve">4095502392:eng</t>
  </si>
  <si>
    <t xml:space="preserve">316543</t>
  </si>
  <si>
    <t xml:space="preserve">991002297929702656</t>
  </si>
  <si>
    <t xml:space="preserve">2269415000002656</t>
  </si>
  <si>
    <t xml:space="preserve">32285000170992</t>
  </si>
  <si>
    <t xml:space="preserve">893232795</t>
  </si>
  <si>
    <t xml:space="preserve">B804 .C57 V2</t>
  </si>
  <si>
    <t xml:space="preserve">0                      B  0804000C  57                 V  2</t>
  </si>
  <si>
    <t xml:space="preserve">32285000171008</t>
  </si>
  <si>
    <t xml:space="preserve">893226682</t>
  </si>
  <si>
    <t xml:space="preserve">B804 .C57 V3</t>
  </si>
  <si>
    <t xml:space="preserve">0                      B  0804000C  57                 V  3</t>
  </si>
  <si>
    <t xml:space="preserve">32285000171016</t>
  </si>
  <si>
    <t xml:space="preserve">893245008</t>
  </si>
  <si>
    <t xml:space="preserve">B804 .C57 V4</t>
  </si>
  <si>
    <t xml:space="preserve">0                      B  0804000C  57                 V  4</t>
  </si>
  <si>
    <t xml:space="preserve">32285000171024</t>
  </si>
  <si>
    <t xml:space="preserve">893245009</t>
  </si>
  <si>
    <t xml:space="preserve">B804 .C574 1996</t>
  </si>
  <si>
    <t xml:space="preserve">0                      B  0804000C  574         1996</t>
  </si>
  <si>
    <t xml:space="preserve">The Continental philosophy reader / edited by Richard Kearney and Mara Rainwater.</t>
  </si>
  <si>
    <t xml:space="preserve">1996-04-11</t>
  </si>
  <si>
    <t xml:space="preserve">351563732:eng</t>
  </si>
  <si>
    <t xml:space="preserve">32311382</t>
  </si>
  <si>
    <t xml:space="preserve">991002481889702656</t>
  </si>
  <si>
    <t xml:space="preserve">2266820300002656</t>
  </si>
  <si>
    <t xml:space="preserve">9780415095259</t>
  </si>
  <si>
    <t xml:space="preserve">32285002151768</t>
  </si>
  <si>
    <t xml:space="preserve">893415242</t>
  </si>
  <si>
    <t xml:space="preserve">B804 .D36</t>
  </si>
  <si>
    <t xml:space="preserve">0                      B  0804000D  36</t>
  </si>
  <si>
    <t xml:space="preserve">Radical currents in contemporary philosophy / edited by David H. DeGrood, Dale Riepe [and] John Somerville.</t>
  </si>
  <si>
    <t xml:space="preserve">DeGrood, David H., 1937-, compiler.</t>
  </si>
  <si>
    <t xml:space="preserve">St. Louis : W. H. Green, [1971]</t>
  </si>
  <si>
    <t xml:space="preserve">A Monograph in modern concepts of philosophy</t>
  </si>
  <si>
    <t xml:space="preserve">181320516:eng</t>
  </si>
  <si>
    <t xml:space="preserve">178275</t>
  </si>
  <si>
    <t xml:space="preserve">991001067019702656</t>
  </si>
  <si>
    <t xml:space="preserve">2264345490002656</t>
  </si>
  <si>
    <t xml:space="preserve">32285000171032</t>
  </si>
  <si>
    <t xml:space="preserve">893715140</t>
  </si>
  <si>
    <t xml:space="preserve">B804 .D613</t>
  </si>
  <si>
    <t xml:space="preserve">0                      B  0804000D  613</t>
  </si>
  <si>
    <t xml:space="preserve">Contemporary European thought and Christian faith.</t>
  </si>
  <si>
    <t xml:space="preserve">Dondeyne, Albert, 1901-1985.</t>
  </si>
  <si>
    <t xml:space="preserve">Pittsburgh : Duquesne University, 1958.</t>
  </si>
  <si>
    <t xml:space="preserve">Duquesne studies. Philosophical series ; 8</t>
  </si>
  <si>
    <t xml:space="preserve">1992-06-17</t>
  </si>
  <si>
    <t xml:space="preserve">5500745:eng</t>
  </si>
  <si>
    <t xml:space="preserve">231640</t>
  </si>
  <si>
    <t xml:space="preserve">991001485979702656</t>
  </si>
  <si>
    <t xml:space="preserve">2270886590002656</t>
  </si>
  <si>
    <t xml:space="preserve">32285000171040</t>
  </si>
  <si>
    <t xml:space="preserve">893872553</t>
  </si>
  <si>
    <t xml:space="preserve">B804 .H17 1988</t>
  </si>
  <si>
    <t xml:space="preserve">0                      B  0804000H  17          1988</t>
  </si>
  <si>
    <t xml:space="preserve">The Handbook of Western philosophy / general editor, G.H.R. Parkinson ; associate editors, T.E. Burke ... [et al.].</t>
  </si>
  <si>
    <t xml:space="preserve">New York : Macmillan, c1988.</t>
  </si>
  <si>
    <t xml:space="preserve">1999-11-23</t>
  </si>
  <si>
    <t xml:space="preserve">15964082:eng</t>
  </si>
  <si>
    <t xml:space="preserve">17385145</t>
  </si>
  <si>
    <t xml:space="preserve">991001210819702656</t>
  </si>
  <si>
    <t xml:space="preserve">2272069590002656</t>
  </si>
  <si>
    <t xml:space="preserve">9780029495933</t>
  </si>
  <si>
    <t xml:space="preserve">32285000172659</t>
  </si>
  <si>
    <t xml:space="preserve">893250059</t>
  </si>
  <si>
    <t xml:space="preserve">B804 .K634</t>
  </si>
  <si>
    <t xml:space="preserve">0                      B  0804000K  634</t>
  </si>
  <si>
    <t xml:space="preserve">Toward a Marxist humanism : essays on the Left today / Translated from the Polish by Jane Zielonko Peel.</t>
  </si>
  <si>
    <t xml:space="preserve">New York : Grove Press, [1968]</t>
  </si>
  <si>
    <t xml:space="preserve">1369560:eng</t>
  </si>
  <si>
    <t xml:space="preserve">261084</t>
  </si>
  <si>
    <t xml:space="preserve">991003185929702656</t>
  </si>
  <si>
    <t xml:space="preserve">2256610890002656</t>
  </si>
  <si>
    <t xml:space="preserve">32285000172758</t>
  </si>
  <si>
    <t xml:space="preserve">893352717</t>
  </si>
  <si>
    <t xml:space="preserve">B804 .L55 1985</t>
  </si>
  <si>
    <t xml:space="preserve">0                      B  0804000L  55          1985</t>
  </si>
  <si>
    <t xml:space="preserve">Beyond metaphysics? : the hermeneutic circle in contemporary continental philosophy / by John Llewelyn.</t>
  </si>
  <si>
    <t xml:space="preserve">Llewelyn, John, 1928-</t>
  </si>
  <si>
    <t xml:space="preserve">Atlantic Highlands, N.J. : Humanities Press International ; London : Macmillan Press, 1985.</t>
  </si>
  <si>
    <t xml:space="preserve">2010-02-12</t>
  </si>
  <si>
    <t xml:space="preserve">22193790:eng</t>
  </si>
  <si>
    <t xml:space="preserve">10558200</t>
  </si>
  <si>
    <t xml:space="preserve">991000392159702656</t>
  </si>
  <si>
    <t xml:space="preserve">2272781490002656</t>
  </si>
  <si>
    <t xml:space="preserve">9780391031159</t>
  </si>
  <si>
    <t xml:space="preserve">32285000172782</t>
  </si>
  <si>
    <t xml:space="preserve">893890622</t>
  </si>
  <si>
    <t xml:space="preserve">B804 .M23 1990</t>
  </si>
  <si>
    <t xml:space="preserve">0                      B  0804000M  23          1990</t>
  </si>
  <si>
    <t xml:space="preserve">First principles, final ends, and contemporary philosophical issues : under the auspices of the Wisconsin-Alpha Chapter of Phi Sigma Tau / by Alasdair MacIntyre.</t>
  </si>
  <si>
    <t xml:space="preserve">MacIntyre, Alasdair C.</t>
  </si>
  <si>
    <t xml:space="preserve">Milwaukee : Marquette University Press, 1990.</t>
  </si>
  <si>
    <t xml:space="preserve">The Aquinas lecture ; 54</t>
  </si>
  <si>
    <t xml:space="preserve">2004-09-09</t>
  </si>
  <si>
    <t xml:space="preserve">1033392:eng</t>
  </si>
  <si>
    <t xml:space="preserve">21413254</t>
  </si>
  <si>
    <t xml:space="preserve">991001688959702656</t>
  </si>
  <si>
    <t xml:space="preserve">2258045860002656</t>
  </si>
  <si>
    <t xml:space="preserve">9780874621570</t>
  </si>
  <si>
    <t xml:space="preserve">32285000022862</t>
  </si>
  <si>
    <t xml:space="preserve">893684543</t>
  </si>
  <si>
    <t xml:space="preserve">B804 .P535 1988</t>
  </si>
  <si>
    <t xml:space="preserve">0                      B  0804000P  535         1988</t>
  </si>
  <si>
    <t xml:space="preserve">Philosophy and non-philosophy since Merleau-Ponty / edited by Hugh J. Silverman.</t>
  </si>
  <si>
    <t xml:space="preserve">Continental philosophy ; 1</t>
  </si>
  <si>
    <t xml:space="preserve">1997-05-28</t>
  </si>
  <si>
    <t xml:space="preserve">1992-08-12</t>
  </si>
  <si>
    <t xml:space="preserve">13551049:eng</t>
  </si>
  <si>
    <t xml:space="preserve">16870813</t>
  </si>
  <si>
    <t xml:space="preserve">991001158299702656</t>
  </si>
  <si>
    <t xml:space="preserve">2263600310002656</t>
  </si>
  <si>
    <t xml:space="preserve">9780710214751</t>
  </si>
  <si>
    <t xml:space="preserve">32285001197275</t>
  </si>
  <si>
    <t xml:space="preserve">893340199</t>
  </si>
  <si>
    <t xml:space="preserve">B804 .U7</t>
  </si>
  <si>
    <t xml:space="preserve">0                      B  0804000U  7</t>
  </si>
  <si>
    <t xml:space="preserve">Philosophical analysis : its development between the two World Wars.</t>
  </si>
  <si>
    <t xml:space="preserve">Oxford : Clarendon Press, 1956.</t>
  </si>
  <si>
    <t xml:space="preserve">416076:eng</t>
  </si>
  <si>
    <t xml:space="preserve">2506223</t>
  </si>
  <si>
    <t xml:space="preserve">991004143919702656</t>
  </si>
  <si>
    <t xml:space="preserve">2256820150002656</t>
  </si>
  <si>
    <t xml:space="preserve">32285000172931</t>
  </si>
  <si>
    <t xml:space="preserve">893241070</t>
  </si>
  <si>
    <t xml:space="preserve">B804.A1 A4</t>
  </si>
  <si>
    <t xml:space="preserve">0                      B  0804000A  1                  A  4</t>
  </si>
  <si>
    <t xml:space="preserve">Readings in twentieth-century philosophy / edited by William P. Alston and George Nakhnikian.</t>
  </si>
  <si>
    <t xml:space="preserve">Alston, William P. editor.</t>
  </si>
  <si>
    <t xml:space="preserve">[New York] : Free Press of Glencoe, [1963]</t>
  </si>
  <si>
    <t xml:space="preserve">364246218:eng</t>
  </si>
  <si>
    <t xml:space="preserve">311967</t>
  </si>
  <si>
    <t xml:space="preserve">991002287499702656</t>
  </si>
  <si>
    <t xml:space="preserve">2272653260002656</t>
  </si>
  <si>
    <t xml:space="preserve">32285000170778</t>
  </si>
  <si>
    <t xml:space="preserve">893238874</t>
  </si>
  <si>
    <t xml:space="preserve">B804.A1 C7 1969</t>
  </si>
  <si>
    <t xml:space="preserve">0                      B  0804000A  1                  C  7           1969</t>
  </si>
  <si>
    <t xml:space="preserve">Aspects of the modern European mind.</t>
  </si>
  <si>
    <t xml:space="preserve">Cruickshank, John compiler.</t>
  </si>
  <si>
    <t xml:space="preserve">New York : Barnes &amp; Noble, [1969]</t>
  </si>
  <si>
    <t xml:space="preserve">Problems and perspectives in history</t>
  </si>
  <si>
    <t xml:space="preserve">1995-11-27</t>
  </si>
  <si>
    <t xml:space="preserve">1140443:eng</t>
  </si>
  <si>
    <t xml:space="preserve">17923</t>
  </si>
  <si>
    <t xml:space="preserve">991000020819702656</t>
  </si>
  <si>
    <t xml:space="preserve">2272803530002656</t>
  </si>
  <si>
    <t xml:space="preserve">32285000170794</t>
  </si>
  <si>
    <t xml:space="preserve">893890328</t>
  </si>
  <si>
    <t xml:space="preserve">B804.A1 R3</t>
  </si>
  <si>
    <t xml:space="preserve">0                      B  0804000A  1                  R  3</t>
  </si>
  <si>
    <t xml:space="preserve">Philosophical issues : a contemporary introduction / [Compiled by] James Rachels [and] Frank A. Tillman.</t>
  </si>
  <si>
    <t xml:space="preserve">Rachels, James, 1941-2003, compiler.</t>
  </si>
  <si>
    <t xml:space="preserve">New York : Harper &amp; Row, [1972]</t>
  </si>
  <si>
    <t xml:space="preserve">2001-07-16</t>
  </si>
  <si>
    <t xml:space="preserve">902297197:eng</t>
  </si>
  <si>
    <t xml:space="preserve">324360</t>
  </si>
  <si>
    <t xml:space="preserve">991002344479702656</t>
  </si>
  <si>
    <t xml:space="preserve">2255146270002656</t>
  </si>
  <si>
    <t xml:space="preserve">9780060453039</t>
  </si>
  <si>
    <t xml:space="preserve">32285000170836</t>
  </si>
  <si>
    <t xml:space="preserve">893597334</t>
  </si>
  <si>
    <t xml:space="preserve">B808.2 .K36</t>
  </si>
  <si>
    <t xml:space="preserve">0                      B  0808200K  36</t>
  </si>
  <si>
    <t xml:space="preserve">Alienation and identification / Morton A. Kaplan.</t>
  </si>
  <si>
    <t xml:space="preserve">400588:eng</t>
  </si>
  <si>
    <t xml:space="preserve">2346034</t>
  </si>
  <si>
    <t xml:space="preserve">991004091719702656</t>
  </si>
  <si>
    <t xml:space="preserve">2260858440002656</t>
  </si>
  <si>
    <t xml:space="preserve">9780029167908</t>
  </si>
  <si>
    <t xml:space="preserve">32285000172972</t>
  </si>
  <si>
    <t xml:space="preserve">893869271</t>
  </si>
  <si>
    <t xml:space="preserve">B808.5 .C55 1986</t>
  </si>
  <si>
    <t xml:space="preserve">0                      B  0808500C  55          1986</t>
  </si>
  <si>
    <t xml:space="preserve">The dialogue of reason : an analysis of analytical philosophy / L. Jonathan Cohen.</t>
  </si>
  <si>
    <t xml:space="preserve">Oxford [Oxfordshire] : Clarendon Press ; New York : Oxford University Press, 1986.</t>
  </si>
  <si>
    <t xml:space="preserve">807421591:eng</t>
  </si>
  <si>
    <t xml:space="preserve">13124364</t>
  </si>
  <si>
    <t xml:space="preserve">991000785669702656</t>
  </si>
  <si>
    <t xml:space="preserve">2255402910002656</t>
  </si>
  <si>
    <t xml:space="preserve">9780198249054</t>
  </si>
  <si>
    <t xml:space="preserve">32285000177807</t>
  </si>
  <si>
    <t xml:space="preserve">893784530</t>
  </si>
  <si>
    <t xml:space="preserve">B808.5 .C56 1983</t>
  </si>
  <si>
    <t xml:space="preserve">0                      B  0808500C  56          1983</t>
  </si>
  <si>
    <t xml:space="preserve">Contemporary analytic and linguistic philosophies / edited by E.D. Klemke.</t>
  </si>
  <si>
    <t xml:space="preserve">Buffalo, N.Y. : Prometheus Books, 1983.</t>
  </si>
  <si>
    <t xml:space="preserve">1994-06-02</t>
  </si>
  <si>
    <t xml:space="preserve">111289593:eng</t>
  </si>
  <si>
    <t xml:space="preserve">9406425</t>
  </si>
  <si>
    <t xml:space="preserve">991000189259702656</t>
  </si>
  <si>
    <t xml:space="preserve">2265766820002656</t>
  </si>
  <si>
    <t xml:space="preserve">9780879751975</t>
  </si>
  <si>
    <t xml:space="preserve">32285001920783</t>
  </si>
  <si>
    <t xml:space="preserve">893808634</t>
  </si>
  <si>
    <t xml:space="preserve">B808.5 .K37 1986</t>
  </si>
  <si>
    <t xml:space="preserve">0                      B  0808500K  37          1986</t>
  </si>
  <si>
    <t xml:space="preserve">Cogitations : a study of the cogito in relation to the philosophy of logic and language and a study of them in relation to the cogito / Jerrold J. Katz.</t>
  </si>
  <si>
    <t xml:space="preserve">Katz, Jerrold J.</t>
  </si>
  <si>
    <t xml:space="preserve">New York : Oxford University Press, 1986.</t>
  </si>
  <si>
    <t xml:space="preserve">2000-04-25</t>
  </si>
  <si>
    <t xml:space="preserve">793989765:eng</t>
  </si>
  <si>
    <t xml:space="preserve">12837058</t>
  </si>
  <si>
    <t xml:space="preserve">991000744889702656</t>
  </si>
  <si>
    <t xml:space="preserve">2272247690002656</t>
  </si>
  <si>
    <t xml:space="preserve">9780195037449</t>
  </si>
  <si>
    <t xml:space="preserve">32285000173186</t>
  </si>
  <si>
    <t xml:space="preserve">893432256</t>
  </si>
  <si>
    <t xml:space="preserve">B808.5 .M86</t>
  </si>
  <si>
    <t xml:space="preserve">0                      B  0808500M  86</t>
  </si>
  <si>
    <t xml:space="preserve">Contemporary analytic philosophy / Milton K. Munitz.</t>
  </si>
  <si>
    <t xml:space="preserve">New York : Macmillan, c1981.</t>
  </si>
  <si>
    <t xml:space="preserve">2010-10-07</t>
  </si>
  <si>
    <t xml:space="preserve">398687:eng</t>
  </si>
  <si>
    <t xml:space="preserve">6421882</t>
  </si>
  <si>
    <t xml:space="preserve">991004980729702656</t>
  </si>
  <si>
    <t xml:space="preserve">2270126780002656</t>
  </si>
  <si>
    <t xml:space="preserve">9780023848407</t>
  </si>
  <si>
    <t xml:space="preserve">32285000173194</t>
  </si>
  <si>
    <t xml:space="preserve">893260393</t>
  </si>
  <si>
    <t xml:space="preserve">B808.5 .R65 1983</t>
  </si>
  <si>
    <t xml:space="preserve">0                      B  0808500R  65          1983</t>
  </si>
  <si>
    <t xml:space="preserve">Quine and analytic philosophy / George D. Romanos.</t>
  </si>
  <si>
    <t xml:space="preserve">Romanos, George D.</t>
  </si>
  <si>
    <t xml:space="preserve">2003-07-30</t>
  </si>
  <si>
    <t xml:space="preserve">2556848:eng</t>
  </si>
  <si>
    <t xml:space="preserve">9154503</t>
  </si>
  <si>
    <t xml:space="preserve">991000140379702656</t>
  </si>
  <si>
    <t xml:space="preserve">2264618180002656</t>
  </si>
  <si>
    <t xml:space="preserve">9780262680387</t>
  </si>
  <si>
    <t xml:space="preserve">32285000173210</t>
  </si>
  <si>
    <t xml:space="preserve">893419241</t>
  </si>
  <si>
    <t xml:space="preserve">B808.5 .W3 1965</t>
  </si>
  <si>
    <t xml:space="preserve">0                      B  0808500W  3           1965</t>
  </si>
  <si>
    <t xml:space="preserve">The principles of linguistic philosophy / edited by R. Harŕe.</t>
  </si>
  <si>
    <t xml:space="preserve">Waismann, Friedrich.</t>
  </si>
  <si>
    <t xml:space="preserve">London : Macmillan ; New York : St. Martin's Press, 1965.</t>
  </si>
  <si>
    <t xml:space="preserve">1452242:eng</t>
  </si>
  <si>
    <t xml:space="preserve">372399</t>
  </si>
  <si>
    <t xml:space="preserve">991002565129702656</t>
  </si>
  <si>
    <t xml:space="preserve">2261794450002656</t>
  </si>
  <si>
    <t xml:space="preserve">32285000173244</t>
  </si>
  <si>
    <t xml:space="preserve">893898924</t>
  </si>
  <si>
    <t xml:space="preserve">B808.9 .D48 1989</t>
  </si>
  <si>
    <t xml:space="preserve">0                      B  0808900D  48          1989</t>
  </si>
  <si>
    <t xml:space="preserve">Evolution and consciousness : the role of speech in the origin and development of human nature / Leslie Dewart.</t>
  </si>
  <si>
    <t xml:space="preserve">Dewart, Leslie.</t>
  </si>
  <si>
    <t xml:space="preserve">Toronto ; Buffalo : University of Toronto Press, c1989.</t>
  </si>
  <si>
    <t xml:space="preserve">1998-03-25</t>
  </si>
  <si>
    <t xml:space="preserve">836839306:eng</t>
  </si>
  <si>
    <t xml:space="preserve">26723188</t>
  </si>
  <si>
    <t xml:space="preserve">991002083599702656</t>
  </si>
  <si>
    <t xml:space="preserve">2270265980002656</t>
  </si>
  <si>
    <t xml:space="preserve">9780802026903</t>
  </si>
  <si>
    <t xml:space="preserve">32285003380523</t>
  </si>
  <si>
    <t xml:space="preserve">893226433</t>
  </si>
  <si>
    <t xml:space="preserve">B809.3 .M33 1991</t>
  </si>
  <si>
    <t xml:space="preserve">0                      B  0809300M  33          1991</t>
  </si>
  <si>
    <t xml:space="preserve">Ideals and illusions : on reconstruction and deconstruction in contemporary critical theory / Thomas McCarthy.</t>
  </si>
  <si>
    <t xml:space="preserve">Cambridge, Mass. : MIT Press, c1991.</t>
  </si>
  <si>
    <t xml:space="preserve">2008-11-23</t>
  </si>
  <si>
    <t xml:space="preserve">1992-04-08</t>
  </si>
  <si>
    <t xml:space="preserve">867494071:eng</t>
  </si>
  <si>
    <t xml:space="preserve">22451267</t>
  </si>
  <si>
    <t xml:space="preserve">991001779049702656</t>
  </si>
  <si>
    <t xml:space="preserve">2259781890002656</t>
  </si>
  <si>
    <t xml:space="preserve">9780262132688</t>
  </si>
  <si>
    <t xml:space="preserve">32285001008753</t>
  </si>
  <si>
    <t xml:space="preserve">893256503</t>
  </si>
  <si>
    <t xml:space="preserve">B809.3 .O5</t>
  </si>
  <si>
    <t xml:space="preserve">0                      B  0809300O  5</t>
  </si>
  <si>
    <t xml:space="preserve">On critical theory / John O'Neill, editor.</t>
  </si>
  <si>
    <t xml:space="preserve">New York : Seabury Press, 1976.</t>
  </si>
  <si>
    <t xml:space="preserve">A Continuum book</t>
  </si>
  <si>
    <t xml:space="preserve">2009-10-19</t>
  </si>
  <si>
    <t xml:space="preserve">319522396:eng</t>
  </si>
  <si>
    <t xml:space="preserve">2331967</t>
  </si>
  <si>
    <t xml:space="preserve">991004085389702656</t>
  </si>
  <si>
    <t xml:space="preserve">2264090080002656</t>
  </si>
  <si>
    <t xml:space="preserve">9780816492978</t>
  </si>
  <si>
    <t xml:space="preserve">32285000188093</t>
  </si>
  <si>
    <t xml:space="preserve">893343445</t>
  </si>
  <si>
    <t xml:space="preserve">B809.8 .B47 1975</t>
  </si>
  <si>
    <t xml:space="preserve">0                      B  0809800B  47          1975</t>
  </si>
  <si>
    <t xml:space="preserve">The Betrayal of Marx / edited and with introductions by Frederic L. Bender.</t>
  </si>
  <si>
    <t xml:space="preserve">New York : Harper &amp; Row, 1975.</t>
  </si>
  <si>
    <t xml:space="preserve">1999-02-21</t>
  </si>
  <si>
    <t xml:space="preserve">54034065:eng</t>
  </si>
  <si>
    <t xml:space="preserve">1255991</t>
  </si>
  <si>
    <t xml:space="preserve">991003651999702656</t>
  </si>
  <si>
    <t xml:space="preserve">2257741600002656</t>
  </si>
  <si>
    <t xml:space="preserve">9780061380891</t>
  </si>
  <si>
    <t xml:space="preserve">32285000188218</t>
  </si>
  <si>
    <t xml:space="preserve">893416629</t>
  </si>
  <si>
    <t xml:space="preserve">B809.8 .I774 1979</t>
  </si>
  <si>
    <t xml:space="preserve">0                      B  0809800I  774         1979</t>
  </si>
  <si>
    <t xml:space="preserve">Issues in Marxist philosophy / edited by John Mepham and David-Hillel Ruben.</t>
  </si>
  <si>
    <t xml:space="preserve">Atlantic Highlands, N.J. : Humanities Press, 1979.</t>
  </si>
  <si>
    <t xml:space="preserve">Marxist theory and contemporary capitalism</t>
  </si>
  <si>
    <t xml:space="preserve">1998-10-20</t>
  </si>
  <si>
    <t xml:space="preserve">3972356562:eng</t>
  </si>
  <si>
    <t xml:space="preserve">4857463</t>
  </si>
  <si>
    <t xml:space="preserve">991004735609702656</t>
  </si>
  <si>
    <t xml:space="preserve">2266585550002656</t>
  </si>
  <si>
    <t xml:space="preserve">9780391009349</t>
  </si>
  <si>
    <t xml:space="preserve">32285000188333</t>
  </si>
  <si>
    <t xml:space="preserve">893889200</t>
  </si>
  <si>
    <t xml:space="preserve">B809.8 .I774 1979 V2</t>
  </si>
  <si>
    <t xml:space="preserve">0                      B  0809800I  774         1979   V  2</t>
  </si>
  <si>
    <t xml:space="preserve">32285000188341</t>
  </si>
  <si>
    <t xml:space="preserve">893870044</t>
  </si>
  <si>
    <t xml:space="preserve">B809.8 .I774 1979 V3</t>
  </si>
  <si>
    <t xml:space="preserve">0                      B  0809800I  774         1979   V  3</t>
  </si>
  <si>
    <t xml:space="preserve">32285000188358</t>
  </si>
  <si>
    <t xml:space="preserve">893901691</t>
  </si>
  <si>
    <t xml:space="preserve">B809.8 .L3</t>
  </si>
  <si>
    <t xml:space="preserve">0                      B  0809800L  3</t>
  </si>
  <si>
    <t xml:space="preserve">Marxist philosophy : a bibliographical guide.</t>
  </si>
  <si>
    <t xml:space="preserve">Lachs, John.</t>
  </si>
  <si>
    <t xml:space="preserve">1997-02-07</t>
  </si>
  <si>
    <t xml:space="preserve">234378765:eng</t>
  </si>
  <si>
    <t xml:space="preserve">976549</t>
  </si>
  <si>
    <t xml:space="preserve">991003440299702656</t>
  </si>
  <si>
    <t xml:space="preserve">2261520510002656</t>
  </si>
  <si>
    <t xml:space="preserve">32285000188374</t>
  </si>
  <si>
    <t xml:space="preserve">893434989</t>
  </si>
  <si>
    <t xml:space="preserve">B809.8 .L36 1969</t>
  </si>
  <si>
    <t xml:space="preserve">0                      B  0809800L  36          1969</t>
  </si>
  <si>
    <t xml:space="preserve">The tyranny of concepts : a critique of Marxism.</t>
  </si>
  <si>
    <t xml:space="preserve">University : University of Alabama Press, [1969]</t>
  </si>
  <si>
    <t xml:space="preserve">1999-07-27</t>
  </si>
  <si>
    <t xml:space="preserve">1199161:eng</t>
  </si>
  <si>
    <t xml:space="preserve">59277</t>
  </si>
  <si>
    <t xml:space="preserve">991000147609702656</t>
  </si>
  <si>
    <t xml:space="preserve">2260585140002656</t>
  </si>
  <si>
    <t xml:space="preserve">9780817366094</t>
  </si>
  <si>
    <t xml:space="preserve">32285000188382</t>
  </si>
  <si>
    <t xml:space="preserve">893771431</t>
  </si>
  <si>
    <t xml:space="preserve">B809.8 .L84 1982</t>
  </si>
  <si>
    <t xml:space="preserve">0                      B  0809800L  84          1982</t>
  </si>
  <si>
    <t xml:space="preserve">Marxism and modernism : an historical study of Lukács, Brecht, Benjamin, and Adorno / Eugene Lunn.</t>
  </si>
  <si>
    <t xml:space="preserve">Lunn, Eugene.</t>
  </si>
  <si>
    <t xml:space="preserve">Berkeley : University of California Press, c1982.</t>
  </si>
  <si>
    <t xml:space="preserve">1996-09-15</t>
  </si>
  <si>
    <t xml:space="preserve">426594824:eng</t>
  </si>
  <si>
    <t xml:space="preserve">8114347</t>
  </si>
  <si>
    <t xml:space="preserve">991005205639702656</t>
  </si>
  <si>
    <t xml:space="preserve">2255127700002656</t>
  </si>
  <si>
    <t xml:space="preserve">9780520045255</t>
  </si>
  <si>
    <t xml:space="preserve">32285000188424</t>
  </si>
  <si>
    <t xml:space="preserve">893431035</t>
  </si>
  <si>
    <t xml:space="preserve">B809.8 .S4 1949b</t>
  </si>
  <si>
    <t xml:space="preserve">0                      B  0809800S  4           1949b</t>
  </si>
  <si>
    <t xml:space="preserve">The philosophy of communism / with an introd. by Charles Boyer. [Papers read at a series of meetings organized April 19-24, 1949, by the Pontifical Academy of St. Thomas at Rome]</t>
  </si>
  <si>
    <t xml:space="preserve">Accademia romana di S. Tommaso d'Aquino e di religione cattolica.</t>
  </si>
  <si>
    <t xml:space="preserve">New York : Fordham University Press ; D. X. McMullen Co., Distributors, [1952]</t>
  </si>
  <si>
    <t xml:space="preserve">1993-11-13</t>
  </si>
  <si>
    <t xml:space="preserve">1882075978:eng</t>
  </si>
  <si>
    <t xml:space="preserve">3656849</t>
  </si>
  <si>
    <t xml:space="preserve">991004490219702656</t>
  </si>
  <si>
    <t xml:space="preserve">2256999700002656</t>
  </si>
  <si>
    <t xml:space="preserve">32285000188507</t>
  </si>
  <si>
    <t xml:space="preserve">893436342</t>
  </si>
  <si>
    <t xml:space="preserve">B809.8 .W433 1959</t>
  </si>
  <si>
    <t xml:space="preserve">0                      B  0809800W  433         1959</t>
  </si>
  <si>
    <t xml:space="preserve">Dialectical materialism : a historical and systematic survey of philosophy in the Soviet Union / Translated from the German by Peter Heath.</t>
  </si>
  <si>
    <t xml:space="preserve">Wetter, Gustav A. (Gustav Andreas), 1911-</t>
  </si>
  <si>
    <t xml:space="preserve">New York : F. A. Praeger, [1959, c1958]</t>
  </si>
  <si>
    <t xml:space="preserve">500680:eng</t>
  </si>
  <si>
    <t xml:space="preserve">916142</t>
  </si>
  <si>
    <t xml:space="preserve">991003816229702656</t>
  </si>
  <si>
    <t xml:space="preserve">2270816720002656</t>
  </si>
  <si>
    <t xml:space="preserve">32285000188531</t>
  </si>
  <si>
    <t xml:space="preserve">893258899</t>
  </si>
  <si>
    <t xml:space="preserve">B816 .A74</t>
  </si>
  <si>
    <t xml:space="preserve">0                      B  0816000A  74</t>
  </si>
  <si>
    <t xml:space="preserve">Metaphysics and British empiricism / by Robert L. Armstrong.</t>
  </si>
  <si>
    <t xml:space="preserve">Armstrong, Robert L. (Robert Lawrence), 1926-</t>
  </si>
  <si>
    <t xml:space="preserve">Lincoln : University of Nebraska Press, [1970]</t>
  </si>
  <si>
    <t xml:space="preserve">2002-11-08</t>
  </si>
  <si>
    <t xml:space="preserve">1179426:eng</t>
  </si>
  <si>
    <t xml:space="preserve">103620</t>
  </si>
  <si>
    <t xml:space="preserve">991000624559702656</t>
  </si>
  <si>
    <t xml:space="preserve">2260337770002656</t>
  </si>
  <si>
    <t xml:space="preserve">9780803207509</t>
  </si>
  <si>
    <t xml:space="preserve">32285000188572</t>
  </si>
  <si>
    <t xml:space="preserve">893413525</t>
  </si>
  <si>
    <t xml:space="preserve">B816 .C64 1968</t>
  </si>
  <si>
    <t xml:space="preserve">0                      B  0816000C  64          1968</t>
  </si>
  <si>
    <t xml:space="preserve">A critique of British empiricism.</t>
  </si>
  <si>
    <t xml:space="preserve">Cowley, Fraser.</t>
  </si>
  <si>
    <t xml:space="preserve">London ; Melbourne [etc.] : Macmillan ; New York : St. Martins P., 1968.</t>
  </si>
  <si>
    <t xml:space="preserve">2003-12-09</t>
  </si>
  <si>
    <t xml:space="preserve">1439760:eng</t>
  </si>
  <si>
    <t xml:space="preserve">369660</t>
  </si>
  <si>
    <t xml:space="preserve">991002550929702656</t>
  </si>
  <si>
    <t xml:space="preserve">2265299000002656</t>
  </si>
  <si>
    <t xml:space="preserve">32285000188580</t>
  </si>
  <si>
    <t xml:space="preserve">893323069</t>
  </si>
  <si>
    <t xml:space="preserve">B818 .D35</t>
  </si>
  <si>
    <t xml:space="preserve">0                      B  0818000D  35</t>
  </si>
  <si>
    <t xml:space="preserve">The problem of evolution : a study of the philosophical repercussions of evolutionary science / by John N. Deely and Raymond J. Nogar.</t>
  </si>
  <si>
    <t xml:space="preserve">Deely, John compiler.</t>
  </si>
  <si>
    <t xml:space="preserve">New York : Appleton-Century-Crofts, [1972, c1973]</t>
  </si>
  <si>
    <t xml:space="preserve">Contemporary problems in philosophy</t>
  </si>
  <si>
    <t xml:space="preserve">289581263:eng</t>
  </si>
  <si>
    <t xml:space="preserve">579111</t>
  </si>
  <si>
    <t xml:space="preserve">991003012789702656</t>
  </si>
  <si>
    <t xml:space="preserve">2255734080002656</t>
  </si>
  <si>
    <t xml:space="preserve">9780390259981</t>
  </si>
  <si>
    <t xml:space="preserve">32285000188671</t>
  </si>
  <si>
    <t xml:space="preserve">893692288</t>
  </si>
  <si>
    <t xml:space="preserve">B818 .D36 1986</t>
  </si>
  <si>
    <t xml:space="preserve">0                      B  0818000D  36          1986</t>
  </si>
  <si>
    <t xml:space="preserve">Mind from matter? : an essay on evolutionary epistemology / by Max Delbrück ; edited by Gunther S. Stent ... [et al.].</t>
  </si>
  <si>
    <t xml:space="preserve">Delbrück, Max.</t>
  </si>
  <si>
    <t xml:space="preserve">Palo Alto, Calif. : Blackwell Scientific Publications, c1986.</t>
  </si>
  <si>
    <t xml:space="preserve">1999-06-01</t>
  </si>
  <si>
    <t xml:space="preserve">795377703:eng</t>
  </si>
  <si>
    <t xml:space="preserve">12372440</t>
  </si>
  <si>
    <t xml:space="preserve">991000679549702656</t>
  </si>
  <si>
    <t xml:space="preserve">2260275290002656</t>
  </si>
  <si>
    <t xml:space="preserve">9780865423114</t>
  </si>
  <si>
    <t xml:space="preserve">32285000188689</t>
  </si>
  <si>
    <t xml:space="preserve">893884628</t>
  </si>
  <si>
    <t xml:space="preserve">B818 .E83</t>
  </si>
  <si>
    <t xml:space="preserve">0                      B  0818000E  83</t>
  </si>
  <si>
    <t xml:space="preserve">Evolution and consciousness : human systems in transition / edited by Erich Jantsch and Conrad H. Waddington.</t>
  </si>
  <si>
    <t xml:space="preserve">Reading, Mass. : Addison-Wesley, 1976.</t>
  </si>
  <si>
    <t xml:space="preserve">365751922:eng</t>
  </si>
  <si>
    <t xml:space="preserve">2332200</t>
  </si>
  <si>
    <t xml:space="preserve">991004086489702656</t>
  </si>
  <si>
    <t xml:space="preserve">2264018670002656</t>
  </si>
  <si>
    <t xml:space="preserve">9780201034387</t>
  </si>
  <si>
    <t xml:space="preserve">32285000188697</t>
  </si>
  <si>
    <t xml:space="preserve">893349601</t>
  </si>
  <si>
    <t xml:space="preserve">B818 .J33</t>
  </si>
  <si>
    <t xml:space="preserve">0                      B  0818000J  33</t>
  </si>
  <si>
    <t xml:space="preserve">Design for evolution : self-organization and planning in the life of human systems / Erich Jantsch.</t>
  </si>
  <si>
    <t xml:space="preserve">Jantsch, Erich.</t>
  </si>
  <si>
    <t xml:space="preserve">New York : G. Braziller, [1975]</t>
  </si>
  <si>
    <t xml:space="preserve">The International library of systems theory and philosophy</t>
  </si>
  <si>
    <t xml:space="preserve">1990-08-06</t>
  </si>
  <si>
    <t xml:space="preserve">821801565:eng</t>
  </si>
  <si>
    <t xml:space="preserve">1339068</t>
  </si>
  <si>
    <t xml:space="preserve">991003702609702656</t>
  </si>
  <si>
    <t xml:space="preserve">2254903540002656</t>
  </si>
  <si>
    <t xml:space="preserve">9780807607572</t>
  </si>
  <si>
    <t xml:space="preserve">32285000255504</t>
  </si>
  <si>
    <t xml:space="preserve">893711677</t>
  </si>
  <si>
    <t xml:space="preserve">B818 .M46</t>
  </si>
  <si>
    <t xml:space="preserve">0                      B  0818000M  46</t>
  </si>
  <si>
    <t xml:space="preserve">Evolution and philosophy / by Andrew G. van Melsen.</t>
  </si>
  <si>
    <t xml:space="preserve">Melsen, A. G. M. van (Andreas Gerardus Maria van), 1912-1994.</t>
  </si>
  <si>
    <t xml:space="preserve">[American ed.]</t>
  </si>
  <si>
    <t xml:space="preserve">Duquesne studies. Philosophical series ; 19</t>
  </si>
  <si>
    <t xml:space="preserve">1995-09-28</t>
  </si>
  <si>
    <t xml:space="preserve">5177091:eng</t>
  </si>
  <si>
    <t xml:space="preserve">1470590</t>
  </si>
  <si>
    <t xml:space="preserve">991003770669702656</t>
  </si>
  <si>
    <t xml:space="preserve">2272585320002656</t>
  </si>
  <si>
    <t xml:space="preserve">32285000255512</t>
  </si>
  <si>
    <t xml:space="preserve">893598959</t>
  </si>
  <si>
    <t xml:space="preserve">B818 .P45</t>
  </si>
  <si>
    <t xml:space="preserve">0                      B  0818000P  45</t>
  </si>
  <si>
    <t xml:space="preserve">Holistic thought in social science / D. C. Phillips.</t>
  </si>
  <si>
    <t xml:space="preserve">Phillips, D. C. (Denis Charles), 1938-</t>
  </si>
  <si>
    <t xml:space="preserve">Stanford, Calif. : Stanford University Press, 1976.</t>
  </si>
  <si>
    <t xml:space="preserve">459610:eng</t>
  </si>
  <si>
    <t xml:space="preserve">2649896</t>
  </si>
  <si>
    <t xml:space="preserve">991004200079702656</t>
  </si>
  <si>
    <t xml:space="preserve">2269850280002656</t>
  </si>
  <si>
    <t xml:space="preserve">9780804709231</t>
  </si>
  <si>
    <t xml:space="preserve">32285000255546</t>
  </si>
  <si>
    <t xml:space="preserve">893500259</t>
  </si>
  <si>
    <t xml:space="preserve">B818 .W66</t>
  </si>
  <si>
    <t xml:space="preserve">0                      B  0818000W  66</t>
  </si>
  <si>
    <t xml:space="preserve">Romanticism and evolution : the nineteenth century / an anthology selected, edited, and with an introd. by Bruce Wilshire.</t>
  </si>
  <si>
    <t xml:space="preserve">Wilshire, Bruce W., 1932- compiler.</t>
  </si>
  <si>
    <t xml:space="preserve">The Spirit of Western civilization, 6</t>
  </si>
  <si>
    <t xml:space="preserve">2006-11-11</t>
  </si>
  <si>
    <t xml:space="preserve">10245312:eng</t>
  </si>
  <si>
    <t xml:space="preserve">268957</t>
  </si>
  <si>
    <t xml:space="preserve">991002123009702656</t>
  </si>
  <si>
    <t xml:space="preserve">2270418170002656</t>
  </si>
  <si>
    <t xml:space="preserve">32285000255611</t>
  </si>
  <si>
    <t xml:space="preserve">893809316</t>
  </si>
  <si>
    <t xml:space="preserve">B819 .A213</t>
  </si>
  <si>
    <t xml:space="preserve">0                      B  0819000A  213</t>
  </si>
  <si>
    <t xml:space="preserve">Critical existentialism / Translated and edited by Nino Langiulli. Introd. by the editor.</t>
  </si>
  <si>
    <t xml:space="preserve">Abbagnano, Nicola, 1901-1990.</t>
  </si>
  <si>
    <t xml:space="preserve">Garden City, N.Y. : Anchor Books, 1969.</t>
  </si>
  <si>
    <t xml:space="preserve">2004-07-16</t>
  </si>
  <si>
    <t xml:space="preserve">104146388:eng</t>
  </si>
  <si>
    <t xml:space="preserve">1684</t>
  </si>
  <si>
    <t xml:space="preserve">991005433189702656</t>
  </si>
  <si>
    <t xml:space="preserve">2271286120002656</t>
  </si>
  <si>
    <t xml:space="preserve">32285000255637</t>
  </si>
  <si>
    <t xml:space="preserve">893533860</t>
  </si>
  <si>
    <t xml:space="preserve">B819 .A6 1973</t>
  </si>
  <si>
    <t xml:space="preserve">0                      B  0819000A  6           1973</t>
  </si>
  <si>
    <t xml:space="preserve">Existentialism from within / by E. L. Allen.</t>
  </si>
  <si>
    <t xml:space="preserve">Allen, E. L. (Edgar Leonard), 1893-1961.</t>
  </si>
  <si>
    <t xml:space="preserve">Westport, Conn. : Greenwood Press, [1973]</t>
  </si>
  <si>
    <t xml:space="preserve">1497773:eng</t>
  </si>
  <si>
    <t xml:space="preserve">516187</t>
  </si>
  <si>
    <t xml:space="preserve">991002899509702656</t>
  </si>
  <si>
    <t xml:space="preserve">2256707490002656</t>
  </si>
  <si>
    <t xml:space="preserve">9780837165264</t>
  </si>
  <si>
    <t xml:space="preserve">32285000255645</t>
  </si>
  <si>
    <t xml:space="preserve">893685928</t>
  </si>
  <si>
    <t xml:space="preserve">B819 .B63</t>
  </si>
  <si>
    <t xml:space="preserve">0                      B  0819000B  63</t>
  </si>
  <si>
    <t xml:space="preserve">The philosophy of decadentism : a study in existentialism / Translated by David Moore.</t>
  </si>
  <si>
    <t xml:space="preserve">Bobbio, Norberto, 1909-2004.</t>
  </si>
  <si>
    <t xml:space="preserve">Oxford : B. Blackwell, 1948.</t>
  </si>
  <si>
    <t xml:space="preserve">463029660:eng</t>
  </si>
  <si>
    <t xml:space="preserve">476108</t>
  </si>
  <si>
    <t xml:space="preserve">991002827609702656</t>
  </si>
  <si>
    <t xml:space="preserve">2254765180002656</t>
  </si>
  <si>
    <t xml:space="preserve">32285000255736</t>
  </si>
  <si>
    <t xml:space="preserve">893780273</t>
  </si>
  <si>
    <t xml:space="preserve">B819 .B68</t>
  </si>
  <si>
    <t xml:space="preserve">0                      B  0819000B  68</t>
  </si>
  <si>
    <t xml:space="preserve">Introduction to modern existentialism.</t>
  </si>
  <si>
    <t xml:space="preserve">Breisach, Ernst.</t>
  </si>
  <si>
    <t xml:space="preserve">New York : Grove Press, [1962]</t>
  </si>
  <si>
    <t xml:space="preserve">2004-11-29</t>
  </si>
  <si>
    <t xml:space="preserve">10824285:eng</t>
  </si>
  <si>
    <t xml:space="preserve">41441166</t>
  </si>
  <si>
    <t xml:space="preserve">991003190379702656</t>
  </si>
  <si>
    <t xml:space="preserve">2256916180002656</t>
  </si>
  <si>
    <t xml:space="preserve">32285000255751</t>
  </si>
  <si>
    <t xml:space="preserve">893780694</t>
  </si>
  <si>
    <t xml:space="preserve">B819 .H4 1979</t>
  </si>
  <si>
    <t xml:space="preserve">0                      B  0819000H  4           1979</t>
  </si>
  <si>
    <t xml:space="preserve">Existentialism and the modern predicament / F. H. Heinemann.</t>
  </si>
  <si>
    <t xml:space="preserve">Heinemann, F. H. (Frederick Henry), 1889-1970.</t>
  </si>
  <si>
    <t xml:space="preserve">Westport, Conn. : Greenwood Press, 1979, c1958.</t>
  </si>
  <si>
    <t xml:space="preserve">2006-04-10</t>
  </si>
  <si>
    <t xml:space="preserve">1321439:eng</t>
  </si>
  <si>
    <t xml:space="preserve">4211040</t>
  </si>
  <si>
    <t xml:space="preserve">991004610099702656</t>
  </si>
  <si>
    <t xml:space="preserve">2256593500002656</t>
  </si>
  <si>
    <t xml:space="preserve">9780313211034</t>
  </si>
  <si>
    <t xml:space="preserve">32285000256080</t>
  </si>
  <si>
    <t xml:space="preserve">893788909</t>
  </si>
  <si>
    <t xml:space="preserve">B819 .K8</t>
  </si>
  <si>
    <t xml:space="preserve">0                      B  0819000K  8</t>
  </si>
  <si>
    <t xml:space="preserve">Encounter with nothingness : an essay on existentialism.</t>
  </si>
  <si>
    <t xml:space="preserve">Kuhn, Helmut, 1899-1991.</t>
  </si>
  <si>
    <t xml:space="preserve">Hinsdale, Ill. : H. Regnery Co., 1949.</t>
  </si>
  <si>
    <t xml:space="preserve">The Humanist library ; 11</t>
  </si>
  <si>
    <t xml:space="preserve">2005-04-12</t>
  </si>
  <si>
    <t xml:space="preserve">1530610:eng</t>
  </si>
  <si>
    <t xml:space="preserve">525489</t>
  </si>
  <si>
    <t xml:space="preserve">991002918209702656</t>
  </si>
  <si>
    <t xml:space="preserve">2258367960002656</t>
  </si>
  <si>
    <t xml:space="preserve">32285000256122</t>
  </si>
  <si>
    <t xml:space="preserve">893317431</t>
  </si>
  <si>
    <t xml:space="preserve">B819 .M254 T7 V2</t>
  </si>
  <si>
    <t xml:space="preserve">0                      B  0819000M  254                T  7                  V  2</t>
  </si>
  <si>
    <t xml:space="preserve">32285000256163</t>
  </si>
  <si>
    <t xml:space="preserve">893810737</t>
  </si>
  <si>
    <t xml:space="preserve">B819 .M642</t>
  </si>
  <si>
    <t xml:space="preserve">0                      B  0819000M  642</t>
  </si>
  <si>
    <t xml:space="preserve">Existentialist philosophies : an introduction.</t>
  </si>
  <si>
    <t xml:space="preserve">Mounier, Emmanuel, 1905-1950.</t>
  </si>
  <si>
    <t xml:space="preserve">London : Rockliff, [1948]</t>
  </si>
  <si>
    <t xml:space="preserve">2003-10-29</t>
  </si>
  <si>
    <t xml:space="preserve">1429937:eng</t>
  </si>
  <si>
    <t xml:space="preserve">494132</t>
  </si>
  <si>
    <t xml:space="preserve">991002862259702656</t>
  </si>
  <si>
    <t xml:space="preserve">2255620590002656</t>
  </si>
  <si>
    <t xml:space="preserve">32285000256247</t>
  </si>
  <si>
    <t xml:space="preserve">893530570</t>
  </si>
  <si>
    <t xml:space="preserve">B819 .S37</t>
  </si>
  <si>
    <t xml:space="preserve">0                      B  0819000S  37</t>
  </si>
  <si>
    <t xml:space="preserve">Existence and freedom : towards an ontology of human finitude.</t>
  </si>
  <si>
    <t xml:space="preserve">Schrag, Calvin O.</t>
  </si>
  <si>
    <t xml:space="preserve">[Evanston, Ill.] : Northwestern University Press, [1961]</t>
  </si>
  <si>
    <t xml:space="preserve">2006-11-03</t>
  </si>
  <si>
    <t xml:space="preserve">282663970:eng</t>
  </si>
  <si>
    <t xml:space="preserve">172491</t>
  </si>
  <si>
    <t xml:space="preserve">991001005319702656</t>
  </si>
  <si>
    <t xml:space="preserve">2270380160002656</t>
  </si>
  <si>
    <t xml:space="preserve">32285000256437</t>
  </si>
  <si>
    <t xml:space="preserve">893614692</t>
  </si>
  <si>
    <t xml:space="preserve">B819 .S578</t>
  </si>
  <si>
    <t xml:space="preserve">0                      B  0819000S  578</t>
  </si>
  <si>
    <t xml:space="preserve">Introducing the existentialists : imaginary interviews with Sartre, Heidegger, and Camus / by Robert C. Solomon.</t>
  </si>
  <si>
    <t xml:space="preserve">Indianapolis, Ind. : Hackett Pub. Co., 1981.</t>
  </si>
  <si>
    <t xml:space="preserve">2008-10-30</t>
  </si>
  <si>
    <t xml:space="preserve">909784573:eng</t>
  </si>
  <si>
    <t xml:space="preserve">6982688</t>
  </si>
  <si>
    <t xml:space="preserve">991005068549702656</t>
  </si>
  <si>
    <t xml:space="preserve">2272577580002656</t>
  </si>
  <si>
    <t xml:space="preserve">9780915144389</t>
  </si>
  <si>
    <t xml:space="preserve">32285000256460</t>
  </si>
  <si>
    <t xml:space="preserve">893332350</t>
  </si>
  <si>
    <t xml:space="preserve">B819 .W32</t>
  </si>
  <si>
    <t xml:space="preserve">0                      B  0819000W  32</t>
  </si>
  <si>
    <t xml:space="preserve">A short history of existentialism / tr. from the French by Forrest Williams and Stanley Maron.</t>
  </si>
  <si>
    <t xml:space="preserve">Wahl, Jean André, 1888-1974.</t>
  </si>
  <si>
    <t xml:space="preserve">New York : Philosophical Library, [1949]</t>
  </si>
  <si>
    <t xml:space="preserve">2002-12-03</t>
  </si>
  <si>
    <t xml:space="preserve">1369839:eng</t>
  </si>
  <si>
    <t xml:space="preserve">261193</t>
  </si>
  <si>
    <t xml:space="preserve">991002042379702656</t>
  </si>
  <si>
    <t xml:space="preserve">2265564550002656</t>
  </si>
  <si>
    <t xml:space="preserve">32285000256510</t>
  </si>
  <si>
    <t xml:space="preserve">893232497</t>
  </si>
  <si>
    <t xml:space="preserve">B819.S275 D4 1960</t>
  </si>
  <si>
    <t xml:space="preserve">0                      B  0819000S  275                D  4           1960</t>
  </si>
  <si>
    <t xml:space="preserve">The tragic finale : an essay on the philosophy of Jean-Paul Sartre.</t>
  </si>
  <si>
    <t xml:space="preserve">New York : Harper &amp; Row, [1960]</t>
  </si>
  <si>
    <t xml:space="preserve">Harper torchbooks ; TB1030</t>
  </si>
  <si>
    <t xml:space="preserve">2266986:eng</t>
  </si>
  <si>
    <t xml:space="preserve">16627969</t>
  </si>
  <si>
    <t xml:space="preserve">991001086189702656</t>
  </si>
  <si>
    <t xml:space="preserve">2272145620002656</t>
  </si>
  <si>
    <t xml:space="preserve">32285000256387</t>
  </si>
  <si>
    <t xml:space="preserve">893684019</t>
  </si>
  <si>
    <t xml:space="preserve">B819.S34 S73 1967</t>
  </si>
  <si>
    <t xml:space="preserve">0                      B  0819000S  34                 S  73          1967</t>
  </si>
  <si>
    <t xml:space="preserve">Sartre, his philosophy and existential psychoanalysis.</t>
  </si>
  <si>
    <t xml:space="preserve">Stern, Alfred, 1899-1980.</t>
  </si>
  <si>
    <t xml:space="preserve">[New York : Dell Pub. Co., 1967]</t>
  </si>
  <si>
    <t xml:space="preserve">2d rev. and enl. ed.</t>
  </si>
  <si>
    <t xml:space="preserve">A Delta Book</t>
  </si>
  <si>
    <t xml:space="preserve">2007-11-25</t>
  </si>
  <si>
    <t xml:space="preserve">422778138:eng</t>
  </si>
  <si>
    <t xml:space="preserve">831941</t>
  </si>
  <si>
    <t xml:space="preserve">991003308319702656</t>
  </si>
  <si>
    <t xml:space="preserve">2271922010002656</t>
  </si>
  <si>
    <t xml:space="preserve">32285000256403</t>
  </si>
  <si>
    <t xml:space="preserve">893227923</t>
  </si>
  <si>
    <t xml:space="preserve">B82 .H5513</t>
  </si>
  <si>
    <t xml:space="preserve">0                      B  0082000H  5513</t>
  </si>
  <si>
    <t xml:space="preserve">The history of philosophy / translated by Anthony N. Fuerst.</t>
  </si>
  <si>
    <t xml:space="preserve">Hirschberger, Johannes.</t>
  </si>
  <si>
    <t xml:space="preserve">Milwaukee : Bruce Pub. Co., [c1958-59]</t>
  </si>
  <si>
    <t xml:space="preserve">2003-09-17</t>
  </si>
  <si>
    <t xml:space="preserve">8907260507:eng</t>
  </si>
  <si>
    <t xml:space="preserve">1525336</t>
  </si>
  <si>
    <t xml:space="preserve">991003799289702656</t>
  </si>
  <si>
    <t xml:space="preserve">2259293640002656</t>
  </si>
  <si>
    <t xml:space="preserve">32285000125061</t>
  </si>
  <si>
    <t xml:space="preserve">893441767</t>
  </si>
  <si>
    <t xml:space="preserve">2003-05-12</t>
  </si>
  <si>
    <t xml:space="preserve">32285000125079</t>
  </si>
  <si>
    <t xml:space="preserve">893429241</t>
  </si>
  <si>
    <t xml:space="preserve">B820 .E8</t>
  </si>
  <si>
    <t xml:space="preserve">0                      B  0820000E  8</t>
  </si>
  <si>
    <t xml:space="preserve">Language, meaning, and maturity : selections from Etc., a review of general semantics, 1943-1953 / edited by S. I. Hayakawa.</t>
  </si>
  <si>
    <t xml:space="preserve">Etc., a review of general semantics.</t>
  </si>
  <si>
    <t xml:space="preserve">2001-12-04</t>
  </si>
  <si>
    <t xml:space="preserve">1090752363:eng</t>
  </si>
  <si>
    <t xml:space="preserve">371006</t>
  </si>
  <si>
    <t xml:space="preserve">991002555159702656</t>
  </si>
  <si>
    <t xml:space="preserve">2260114760002656</t>
  </si>
  <si>
    <t xml:space="preserve">32285000171123</t>
  </si>
  <si>
    <t xml:space="preserve">893867381</t>
  </si>
  <si>
    <t xml:space="preserve">B821 .C62</t>
  </si>
  <si>
    <t xml:space="preserve">0                      B  0821000C  62</t>
  </si>
  <si>
    <t xml:space="preserve">The emergence of liberal humanism : an intellectual history of Western Europe / [by] Willson H. Coates, Hayden V. White [and] J. Salwyn Schapiro.</t>
  </si>
  <si>
    <t xml:space="preserve">Coates, Willson Havelock.</t>
  </si>
  <si>
    <t xml:space="preserve">New York : McGraw-Hill, [1966-70]</t>
  </si>
  <si>
    <t xml:space="preserve">1992-03-20</t>
  </si>
  <si>
    <t xml:space="preserve">1990-09-27</t>
  </si>
  <si>
    <t xml:space="preserve">1446760:eng</t>
  </si>
  <si>
    <t xml:space="preserve">370979</t>
  </si>
  <si>
    <t xml:space="preserve">991002554869702656</t>
  </si>
  <si>
    <t xml:space="preserve">2259821520002656</t>
  </si>
  <si>
    <t xml:space="preserve">32285000171214</t>
  </si>
  <si>
    <t xml:space="preserve">893530153</t>
  </si>
  <si>
    <t xml:space="preserve">32285000322825</t>
  </si>
  <si>
    <t xml:space="preserve">893530152</t>
  </si>
  <si>
    <t xml:space="preserve">B821 .D8 1930</t>
  </si>
  <si>
    <t xml:space="preserve">0                      B  0821000D  8           1930</t>
  </si>
  <si>
    <t xml:space="preserve">Will men be like Gods? : Humanitarianism or human happiness? / by Owen Francis Dudley. Introduction by G. K. Chesterton.</t>
  </si>
  <si>
    <t xml:space="preserve">Dudley, Owen Francis, 1882-1952.</t>
  </si>
  <si>
    <t xml:space="preserve">London ; New York [etc.] : Longmans, Green and co., 1930.</t>
  </si>
  <si>
    <t xml:space="preserve">[New ed.]</t>
  </si>
  <si>
    <t xml:space="preserve">[His problems of human happiness. I]</t>
  </si>
  <si>
    <t xml:space="preserve">2005-06-29</t>
  </si>
  <si>
    <t xml:space="preserve">1371232:eng</t>
  </si>
  <si>
    <t xml:space="preserve">4825039</t>
  </si>
  <si>
    <t xml:space="preserve">991004727609702656</t>
  </si>
  <si>
    <t xml:space="preserve">2261715400002656</t>
  </si>
  <si>
    <t xml:space="preserve">32285000171222</t>
  </si>
  <si>
    <t xml:space="preserve">893905053</t>
  </si>
  <si>
    <t xml:space="preserve">B821 .H36 1968</t>
  </si>
  <si>
    <t xml:space="preserve">0                      B  0821000H  36          1968</t>
  </si>
  <si>
    <t xml:space="preserve">Beyond humanism : essays in the new philosophy of nature / by Charles Hartshorne.</t>
  </si>
  <si>
    <t xml:space="preserve">Lincoln : University of Nebraska Press, [1968, c1937]</t>
  </si>
  <si>
    <t xml:space="preserve">2007-09-12</t>
  </si>
  <si>
    <t xml:space="preserve">431867482:eng</t>
  </si>
  <si>
    <t xml:space="preserve">371005</t>
  </si>
  <si>
    <t xml:space="preserve">991003819629702656</t>
  </si>
  <si>
    <t xml:space="preserve">2268128110002656</t>
  </si>
  <si>
    <t xml:space="preserve">32285000171693</t>
  </si>
  <si>
    <t xml:space="preserve">893258902</t>
  </si>
  <si>
    <t xml:space="preserve">B821 .H59</t>
  </si>
  <si>
    <t xml:space="preserve">0                      B  0821000H  59</t>
  </si>
  <si>
    <t xml:space="preserve">The new humanism : a critique of modern America, 1900-1940 / J. David Hoeveler, Jr.</t>
  </si>
  <si>
    <t xml:space="preserve">Hoeveler, J. David, 1943-</t>
  </si>
  <si>
    <t xml:space="preserve">Charlottesville : University Press of Virginia, 1977.</t>
  </si>
  <si>
    <t xml:space="preserve">2007-08-09</t>
  </si>
  <si>
    <t xml:space="preserve">815133066:eng</t>
  </si>
  <si>
    <t xml:space="preserve">2346684</t>
  </si>
  <si>
    <t xml:space="preserve">991004092559702656</t>
  </si>
  <si>
    <t xml:space="preserve">2260867230002656</t>
  </si>
  <si>
    <t xml:space="preserve">9780813906584</t>
  </si>
  <si>
    <t xml:space="preserve">32285000171313</t>
  </si>
  <si>
    <t xml:space="preserve">893417218</t>
  </si>
  <si>
    <t xml:space="preserve">B821 .H8 1969</t>
  </si>
  <si>
    <t xml:space="preserve">0                      B  0821000H  8           1969</t>
  </si>
  <si>
    <t xml:space="preserve">The prospects of humanism.</t>
  </si>
  <si>
    <t xml:space="preserve">Hyde, Lawrence, 1894-1957.</t>
  </si>
  <si>
    <t xml:space="preserve">Freeport, N.Y. : Books for Libraries Press, [1969]</t>
  </si>
  <si>
    <t xml:space="preserve">Select bibliographies reprint series</t>
  </si>
  <si>
    <t xml:space="preserve">1186755:eng</t>
  </si>
  <si>
    <t xml:space="preserve">32616</t>
  </si>
  <si>
    <t xml:space="preserve">991000083759702656</t>
  </si>
  <si>
    <t xml:space="preserve">2258315860002656</t>
  </si>
  <si>
    <t xml:space="preserve">9780836950472</t>
  </si>
  <si>
    <t xml:space="preserve">32285000171339</t>
  </si>
  <si>
    <t xml:space="preserve">893708098</t>
  </si>
  <si>
    <t xml:space="preserve">B821 .L33</t>
  </si>
  <si>
    <t xml:space="preserve">0                      B  0821000L  33</t>
  </si>
  <si>
    <t xml:space="preserve">The philosophy of humanism.</t>
  </si>
  <si>
    <t xml:space="preserve">Lamont, Corliss, 1902-1995.</t>
  </si>
  <si>
    <t xml:space="preserve">The Humanist bookshelf</t>
  </si>
  <si>
    <t xml:space="preserve">2005-04-22</t>
  </si>
  <si>
    <t xml:space="preserve">2218794152:eng</t>
  </si>
  <si>
    <t xml:space="preserve">478662</t>
  </si>
  <si>
    <t xml:space="preserve">991002833039702656</t>
  </si>
  <si>
    <t xml:space="preserve">2264172050002656</t>
  </si>
  <si>
    <t xml:space="preserve">32285000171370</t>
  </si>
  <si>
    <t xml:space="preserve">893886794</t>
  </si>
  <si>
    <t xml:space="preserve">B821 .M3422</t>
  </si>
  <si>
    <t xml:space="preserve">0                      B  0821000M  3422</t>
  </si>
  <si>
    <t xml:space="preserve">Integral humanism : temporal and spiritual problems of a new Christendom / Newly translated by Joseph W. Evans.</t>
  </si>
  <si>
    <t xml:space="preserve">New York : Scribner, [1968]</t>
  </si>
  <si>
    <t xml:space="preserve">2001-01-10</t>
  </si>
  <si>
    <t xml:space="preserve">4160709354:eng</t>
  </si>
  <si>
    <t xml:space="preserve">448701</t>
  </si>
  <si>
    <t xml:space="preserve">991002803659702656</t>
  </si>
  <si>
    <t xml:space="preserve">2266694700002656</t>
  </si>
  <si>
    <t xml:space="preserve">32285000171404</t>
  </si>
  <si>
    <t xml:space="preserve">893227296</t>
  </si>
  <si>
    <t xml:space="preserve">B821 .R627</t>
  </si>
  <si>
    <t xml:space="preserve">0                      B  0821000R  627</t>
  </si>
  <si>
    <t xml:space="preserve">Humanism in the contemporary era.</t>
  </si>
  <si>
    <t xml:space="preserve">The Hague : Mouton, 1963.</t>
  </si>
  <si>
    <t xml:space="preserve">Studies in philosophy ; 1</t>
  </si>
  <si>
    <t xml:space="preserve">118796409:eng</t>
  </si>
  <si>
    <t xml:space="preserve">178364</t>
  </si>
  <si>
    <t xml:space="preserve">991001067269702656</t>
  </si>
  <si>
    <t xml:space="preserve">2264299510002656</t>
  </si>
  <si>
    <t xml:space="preserve">32285000009547</t>
  </si>
  <si>
    <t xml:space="preserve">893784782</t>
  </si>
  <si>
    <t xml:space="preserve">B823.3 .B57</t>
  </si>
  <si>
    <t xml:space="preserve">0                      B  0823300B  57</t>
  </si>
  <si>
    <t xml:space="preserve">The history of ideas : an introduction.</t>
  </si>
  <si>
    <t xml:space="preserve">New York : Scribner, [1969]</t>
  </si>
  <si>
    <t xml:space="preserve">2000-03-06</t>
  </si>
  <si>
    <t xml:space="preserve">229095884:eng</t>
  </si>
  <si>
    <t xml:space="preserve">29384</t>
  </si>
  <si>
    <t xml:space="preserve">991000074219702656</t>
  </si>
  <si>
    <t xml:space="preserve">2266345600002656</t>
  </si>
  <si>
    <t xml:space="preserve">32285000171644</t>
  </si>
  <si>
    <t xml:space="preserve">893683138</t>
  </si>
  <si>
    <t xml:space="preserve">B823.3 .H53 1979</t>
  </si>
  <si>
    <t xml:space="preserve">0                      B  0823300H  53          1979</t>
  </si>
  <si>
    <t xml:space="preserve">On law and ideology / Paul Hirst.</t>
  </si>
  <si>
    <t xml:space="preserve">Hirst, Paul Q.</t>
  </si>
  <si>
    <t xml:space="preserve">Language, discourse, and society</t>
  </si>
  <si>
    <t xml:space="preserve">14776824:eng</t>
  </si>
  <si>
    <t xml:space="preserve">4550094</t>
  </si>
  <si>
    <t xml:space="preserve">991004679249702656</t>
  </si>
  <si>
    <t xml:space="preserve">2260392550002656</t>
  </si>
  <si>
    <t xml:space="preserve">9780391009707</t>
  </si>
  <si>
    <t xml:space="preserve">32285000171701</t>
  </si>
  <si>
    <t xml:space="preserve">893901608</t>
  </si>
  <si>
    <t xml:space="preserve">B823.3 .I33 1988</t>
  </si>
  <si>
    <t xml:space="preserve">0                      B  0823300I  33          1988</t>
  </si>
  <si>
    <t xml:space="preserve">Ideological dilemmas : a social psychology of everyday thinking / Michael Billig ... [et al.].</t>
  </si>
  <si>
    <t xml:space="preserve">London : Sage, 1988.</t>
  </si>
  <si>
    <t xml:space="preserve">2001-10-19</t>
  </si>
  <si>
    <t xml:space="preserve">1990-06-01</t>
  </si>
  <si>
    <t xml:space="preserve">836716900:eng</t>
  </si>
  <si>
    <t xml:space="preserve">21923909</t>
  </si>
  <si>
    <t xml:space="preserve">991001333159702656</t>
  </si>
  <si>
    <t xml:space="preserve">2260767450002656</t>
  </si>
  <si>
    <t xml:space="preserve">9780803980969</t>
  </si>
  <si>
    <t xml:space="preserve">32285000180314</t>
  </si>
  <si>
    <t xml:space="preserve">893340352</t>
  </si>
  <si>
    <t xml:space="preserve">B823.3 .P57</t>
  </si>
  <si>
    <t xml:space="preserve">0                      B  0823300P  57</t>
  </si>
  <si>
    <t xml:space="preserve">Ideology / [by] John Plamenatz.</t>
  </si>
  <si>
    <t xml:space="preserve">New York : Praeger, [1970]</t>
  </si>
  <si>
    <t xml:space="preserve">Key concepts in political science</t>
  </si>
  <si>
    <t xml:space="preserve">462197990:eng</t>
  </si>
  <si>
    <t xml:space="preserve">110086</t>
  </si>
  <si>
    <t xml:space="preserve">991000643119702656</t>
  </si>
  <si>
    <t xml:space="preserve">2266962260002656</t>
  </si>
  <si>
    <t xml:space="preserve">32285000180371</t>
  </si>
  <si>
    <t xml:space="preserve">893255605</t>
  </si>
  <si>
    <t xml:space="preserve">B824 .R43 1986</t>
  </si>
  <si>
    <t xml:space="preserve">0                      B  0824000R  43          1986</t>
  </si>
  <si>
    <t xml:space="preserve">Reconstructing individualism : autonomy, individuality, and the self in Western thought / edited by Thomas C. Heller ... [et al. ; contributors, Christine Brooke-Rose ... et al.].</t>
  </si>
  <si>
    <t xml:space="preserve">Stanford, Calif. : Stanford University Press, 1986.</t>
  </si>
  <si>
    <t xml:space="preserve">2001-04-23</t>
  </si>
  <si>
    <t xml:space="preserve">889563845:eng</t>
  </si>
  <si>
    <t xml:space="preserve">12840158</t>
  </si>
  <si>
    <t xml:space="preserve">991000745849702656</t>
  </si>
  <si>
    <t xml:space="preserve">2267136680002656</t>
  </si>
  <si>
    <t xml:space="preserve">9780804712910</t>
  </si>
  <si>
    <t xml:space="preserve">32285000180454</t>
  </si>
  <si>
    <t xml:space="preserve">893509069</t>
  </si>
  <si>
    <t xml:space="preserve">B824.4 .F74 1989</t>
  </si>
  <si>
    <t xml:space="preserve">0                      B  0824400F  74          1989</t>
  </si>
  <si>
    <t xml:space="preserve">Freedom in the modern world : Jacques Maritain, Yves R. Simon, Mortimer J. Adler / edited by Michael D. Torre.</t>
  </si>
  <si>
    <t xml:space="preserve">Mishawaka, Ind. : American Maritain Association ; Notre Dame, Ind. : Distributed by University of Notre Dame Press, c1989.</t>
  </si>
  <si>
    <t xml:space="preserve">2006-12-14</t>
  </si>
  <si>
    <t xml:space="preserve">796636410:eng</t>
  </si>
  <si>
    <t xml:space="preserve">21040721</t>
  </si>
  <si>
    <t xml:space="preserve">991001644399702656</t>
  </si>
  <si>
    <t xml:space="preserve">2270068910002656</t>
  </si>
  <si>
    <t xml:space="preserve">9780268009786</t>
  </si>
  <si>
    <t xml:space="preserve">32285000491174</t>
  </si>
  <si>
    <t xml:space="preserve">893232116</t>
  </si>
  <si>
    <t xml:space="preserve">B824.6 .C58 1972</t>
  </si>
  <si>
    <t xml:space="preserve">0                      B  0824600C  58          1972</t>
  </si>
  <si>
    <t xml:space="preserve">Contemporary philosophy; studies of logical positivism and existentialism, by Frederick Copleston.</t>
  </si>
  <si>
    <t xml:space="preserve">London, Search Press; Paramus, N.J., Newman Press [1972]</t>
  </si>
  <si>
    <t xml:space="preserve">[New and rev. ed.]</t>
  </si>
  <si>
    <t xml:space="preserve">312743961:eng</t>
  </si>
  <si>
    <t xml:space="preserve">508962</t>
  </si>
  <si>
    <t xml:space="preserve">991002886779702656</t>
  </si>
  <si>
    <t xml:space="preserve">2261218610002656</t>
  </si>
  <si>
    <t xml:space="preserve">9780855321895</t>
  </si>
  <si>
    <t xml:space="preserve">32285000180579</t>
  </si>
  <si>
    <t xml:space="preserve">893335858</t>
  </si>
  <si>
    <t xml:space="preserve">B824.6 .K713</t>
  </si>
  <si>
    <t xml:space="preserve">0                      B  0824600K  713</t>
  </si>
  <si>
    <t xml:space="preserve">The Vienna Circle, the origin of neo-positivism : a chapter in the history of recent philosophy / [Translated by Arthur Pap]</t>
  </si>
  <si>
    <t xml:space="preserve">Kraft, Viktor, 1880-1975.</t>
  </si>
  <si>
    <t xml:space="preserve">New York : Philosophical Library, [1953]</t>
  </si>
  <si>
    <t xml:space="preserve">4927666845:eng</t>
  </si>
  <si>
    <t xml:space="preserve">919208</t>
  </si>
  <si>
    <t xml:space="preserve">991003382349702656</t>
  </si>
  <si>
    <t xml:space="preserve">2261182510002656</t>
  </si>
  <si>
    <t xml:space="preserve">32285000180629</t>
  </si>
  <si>
    <t xml:space="preserve">893535454</t>
  </si>
  <si>
    <t xml:space="preserve">B828.2 .K7</t>
  </si>
  <si>
    <t xml:space="preserve">0                      B  0828200K  7</t>
  </si>
  <si>
    <t xml:space="preserve">Naturalism and the human spirit.</t>
  </si>
  <si>
    <t xml:space="preserve">Krikorian, Yervant H. (Yervant Hovhannes), 1892-1977, editor.</t>
  </si>
  <si>
    <t xml:space="preserve">New York : Columbia University Press, 1944.</t>
  </si>
  <si>
    <t xml:space="preserve">Columbia University. Department of Philosophy. Columbia studies in philosophy, no.8</t>
  </si>
  <si>
    <t xml:space="preserve">351554544:eng</t>
  </si>
  <si>
    <t xml:space="preserve">16750197</t>
  </si>
  <si>
    <t xml:space="preserve">991002662709702656</t>
  </si>
  <si>
    <t xml:space="preserve">2260692130002656</t>
  </si>
  <si>
    <t xml:space="preserve">32285000180835</t>
  </si>
  <si>
    <t xml:space="preserve">893227128</t>
  </si>
  <si>
    <t xml:space="preserve">B828.2 .P7 1970</t>
  </si>
  <si>
    <t xml:space="preserve">0                      B  0828200P  7           1970</t>
  </si>
  <si>
    <t xml:space="preserve">Naturalism.</t>
  </si>
  <si>
    <t xml:space="preserve">Pratt, James Bissett, 1875-1944.</t>
  </si>
  <si>
    <t xml:space="preserve">Westport, Conn. : Greenwood Press, [1970, c1967]</t>
  </si>
  <si>
    <t xml:space="preserve">Powell lectures on philosophy at Indiana University</t>
  </si>
  <si>
    <t xml:space="preserve">1179851:eng</t>
  </si>
  <si>
    <t xml:space="preserve">103741</t>
  </si>
  <si>
    <t xml:space="preserve">991000624749702656</t>
  </si>
  <si>
    <t xml:space="preserve">2260253770002656</t>
  </si>
  <si>
    <t xml:space="preserve">9780837140018</t>
  </si>
  <si>
    <t xml:space="preserve">32285000180868</t>
  </si>
  <si>
    <t xml:space="preserve">893878217</t>
  </si>
  <si>
    <t xml:space="preserve">B828.45 .P48 1988</t>
  </si>
  <si>
    <t xml:space="preserve">0                      B  0828450P  48          1988</t>
  </si>
  <si>
    <t xml:space="preserve">Perceptual knowledge / edited by Jonathan Dancy.</t>
  </si>
  <si>
    <t xml:space="preserve">Oxford [Oxfordshire] ; New York : Oxford University Press, 1988.</t>
  </si>
  <si>
    <t xml:space="preserve">2003-04-16</t>
  </si>
  <si>
    <t xml:space="preserve">16183528:eng</t>
  </si>
  <si>
    <t xml:space="preserve">17297769</t>
  </si>
  <si>
    <t xml:space="preserve">991001197739702656</t>
  </si>
  <si>
    <t xml:space="preserve">2265275630002656</t>
  </si>
  <si>
    <t xml:space="preserve">9780198750741</t>
  </si>
  <si>
    <t xml:space="preserve">32285000512276</t>
  </si>
  <si>
    <t xml:space="preserve">893225679</t>
  </si>
  <si>
    <t xml:space="preserve">B828.45 .Y64 1984</t>
  </si>
  <si>
    <t xml:space="preserve">0                      B  0828450Y  64          1984</t>
  </si>
  <si>
    <t xml:space="preserve">Perceptual acquaintance from Descartes to Reid / John W. Yolton.</t>
  </si>
  <si>
    <t xml:space="preserve">Yolton, John W.</t>
  </si>
  <si>
    <t xml:space="preserve">Minneapolis : University of Minnesota Press, 1984.</t>
  </si>
  <si>
    <t xml:space="preserve">1995-05-03</t>
  </si>
  <si>
    <t xml:space="preserve">4899768:eng</t>
  </si>
  <si>
    <t xml:space="preserve">9826830</t>
  </si>
  <si>
    <t xml:space="preserve">991000262489702656</t>
  </si>
  <si>
    <t xml:space="preserve">2270645790002656</t>
  </si>
  <si>
    <t xml:space="preserve">9780816611638</t>
  </si>
  <si>
    <t xml:space="preserve">32285000180975</t>
  </si>
  <si>
    <t xml:space="preserve">893796537</t>
  </si>
  <si>
    <t xml:space="preserve">B829.5 .G7 1984</t>
  </si>
  <si>
    <t xml:space="preserve">0                      B  0829500G  7           1984</t>
  </si>
  <si>
    <t xml:space="preserve">Phenomenology and existentialism : an introduction / Reinhardt Grossmann.</t>
  </si>
  <si>
    <t xml:space="preserve">London ; Boston : Routledge &amp; K. Paul, 1984.</t>
  </si>
  <si>
    <t xml:space="preserve">370171401:eng</t>
  </si>
  <si>
    <t xml:space="preserve">10533638</t>
  </si>
  <si>
    <t xml:space="preserve">991000389299702656</t>
  </si>
  <si>
    <t xml:space="preserve">2257574660002656</t>
  </si>
  <si>
    <t xml:space="preserve">9780710202918</t>
  </si>
  <si>
    <t xml:space="preserve">32285000181163</t>
  </si>
  <si>
    <t xml:space="preserve">893261446</t>
  </si>
  <si>
    <t xml:space="preserve">B829.5 .I34 1976</t>
  </si>
  <si>
    <t xml:space="preserve">0                      B  0829500I  34          1976</t>
  </si>
  <si>
    <t xml:space="preserve">Listening and voice : a phenomenology of sound / Don Ihde.</t>
  </si>
  <si>
    <t xml:space="preserve">Ihde, Don, 1934-</t>
  </si>
  <si>
    <t xml:space="preserve">Athens : Ohio University Press, c1976.</t>
  </si>
  <si>
    <t xml:space="preserve">10349296452:eng</t>
  </si>
  <si>
    <t xml:space="preserve">2558022</t>
  </si>
  <si>
    <t xml:space="preserve">991004163489702656</t>
  </si>
  <si>
    <t xml:space="preserve">2270259070002656</t>
  </si>
  <si>
    <t xml:space="preserve">9780821402016</t>
  </si>
  <si>
    <t xml:space="preserve">32285000185321</t>
  </si>
  <si>
    <t xml:space="preserve">893693610</t>
  </si>
  <si>
    <t xml:space="preserve">B829.5 .P454</t>
  </si>
  <si>
    <t xml:space="preserve">0                      B  0829500P  454</t>
  </si>
  <si>
    <t xml:space="preserve">Phenomenology and the social sciences : a dialogue / edited by Joseph Bien.</t>
  </si>
  <si>
    <t xml:space="preserve">The Hague ; Boston : M. Nijhoff, 1978.</t>
  </si>
  <si>
    <t xml:space="preserve">864110408:eng</t>
  </si>
  <si>
    <t xml:space="preserve">4211136</t>
  </si>
  <si>
    <t xml:space="preserve">991004610359702656</t>
  </si>
  <si>
    <t xml:space="preserve">2256580680002656</t>
  </si>
  <si>
    <t xml:space="preserve">9789024720408</t>
  </si>
  <si>
    <t xml:space="preserve">32285000185552</t>
  </si>
  <si>
    <t xml:space="preserve">893628259</t>
  </si>
  <si>
    <t xml:space="preserve">B829.5 .P455</t>
  </si>
  <si>
    <t xml:space="preserve">0                      B  0829500P  455</t>
  </si>
  <si>
    <t xml:space="preserve">Phenomenology, continuation and criticism : essays in memory of Dorion Cairns / [edited by] F. Kersten and R. Zaner.</t>
  </si>
  <si>
    <t xml:space="preserve">The Hague : M. Nijhoff, 1973.</t>
  </si>
  <si>
    <t xml:space="preserve">Phaenomenologica ; 50</t>
  </si>
  <si>
    <t xml:space="preserve">2004-09-21</t>
  </si>
  <si>
    <t xml:space="preserve">806963266:eng</t>
  </si>
  <si>
    <t xml:space="preserve">790732</t>
  </si>
  <si>
    <t xml:space="preserve">991003265169702656</t>
  </si>
  <si>
    <t xml:space="preserve">2263965600002656</t>
  </si>
  <si>
    <t xml:space="preserve">9789024713028</t>
  </si>
  <si>
    <t xml:space="preserve">32285000185560</t>
  </si>
  <si>
    <t xml:space="preserve">893686378</t>
  </si>
  <si>
    <t xml:space="preserve">B829.5 .S635</t>
  </si>
  <si>
    <t xml:space="preserve">0                      B  0829500S  635</t>
  </si>
  <si>
    <t xml:space="preserve">The context of the phenomenological movement / Herbert Spiegelberg.</t>
  </si>
  <si>
    <t xml:space="preserve">Spiegelberg, Herbert.</t>
  </si>
  <si>
    <t xml:space="preserve">The Hague ; Boston : Martinus Nijhoff, 1981.</t>
  </si>
  <si>
    <t xml:space="preserve">Phaenomenologica ; 80</t>
  </si>
  <si>
    <t xml:space="preserve">1990-06-08</t>
  </si>
  <si>
    <t xml:space="preserve">3901202957:eng</t>
  </si>
  <si>
    <t xml:space="preserve">16538874</t>
  </si>
  <si>
    <t xml:space="preserve">991005175109702656</t>
  </si>
  <si>
    <t xml:space="preserve">2265305880002656</t>
  </si>
  <si>
    <t xml:space="preserve">9789024723928</t>
  </si>
  <si>
    <t xml:space="preserve">32285000186337</t>
  </si>
  <si>
    <t xml:space="preserve">893418501</t>
  </si>
  <si>
    <t xml:space="preserve">B829.5 .S64 V2</t>
  </si>
  <si>
    <t xml:space="preserve">0                      B  0829500S  64                 V  2</t>
  </si>
  <si>
    <t xml:space="preserve">The phenomenological movement : a historical introduction.</t>
  </si>
  <si>
    <t xml:space="preserve">Hague : Nijhoff, 1960.</t>
  </si>
  <si>
    <t xml:space="preserve">Phaenomenologica ; 5/6</t>
  </si>
  <si>
    <t xml:space="preserve">1992-09-20</t>
  </si>
  <si>
    <t xml:space="preserve">1998-02-16</t>
  </si>
  <si>
    <t xml:space="preserve">3901016782:eng</t>
  </si>
  <si>
    <t xml:space="preserve">1308246</t>
  </si>
  <si>
    <t xml:space="preserve">991003681949702656</t>
  </si>
  <si>
    <t xml:space="preserve">2265561410002656</t>
  </si>
  <si>
    <t xml:space="preserve">32285000186378</t>
  </si>
  <si>
    <t xml:space="preserve">893881428</t>
  </si>
  <si>
    <t xml:space="preserve">B829.5 .S642</t>
  </si>
  <si>
    <t xml:space="preserve">0                      B  0829500S  642</t>
  </si>
  <si>
    <t xml:space="preserve">The Hague : M. Nijhoff, 1965-</t>
  </si>
  <si>
    <t xml:space="preserve">Phaenomenologica ; 5</t>
  </si>
  <si>
    <t xml:space="preserve">1560230</t>
  </si>
  <si>
    <t xml:space="preserve">991003821629702656</t>
  </si>
  <si>
    <t xml:space="preserve">2262079160002656</t>
  </si>
  <si>
    <t xml:space="preserve">32285000186386</t>
  </si>
  <si>
    <t xml:space="preserve">893531628</t>
  </si>
  <si>
    <t xml:space="preserve">B832 .L6</t>
  </si>
  <si>
    <t xml:space="preserve">0                      B  0832000L  6</t>
  </si>
  <si>
    <t xml:space="preserve">The thirteen pragmatisms : and other essays.</t>
  </si>
  <si>
    <t xml:space="preserve">Lovejoy, Arthur O. (Arthur Oncken), 1873-1962.</t>
  </si>
  <si>
    <t xml:space="preserve">Baltimore : Johns Hopkins Press, [1963]</t>
  </si>
  <si>
    <t xml:space="preserve">285612820:eng</t>
  </si>
  <si>
    <t xml:space="preserve">363265</t>
  </si>
  <si>
    <t xml:space="preserve">991002494039702656</t>
  </si>
  <si>
    <t xml:space="preserve">2264078240002656</t>
  </si>
  <si>
    <t xml:space="preserve">32285000186659</t>
  </si>
  <si>
    <t xml:space="preserve">893609918</t>
  </si>
  <si>
    <t xml:space="preserve">B832 .M68 1970</t>
  </si>
  <si>
    <t xml:space="preserve">0                      B  0832000M  68          1970</t>
  </si>
  <si>
    <t xml:space="preserve">The pragmatic movement in American philosophy / [by] Charles Morris.</t>
  </si>
  <si>
    <t xml:space="preserve">Morris, Charles W. (Charles William), 1903-1979.</t>
  </si>
  <si>
    <t xml:space="preserve">New York : G. Braziller, [1970]</t>
  </si>
  <si>
    <t xml:space="preserve">2004-01-18</t>
  </si>
  <si>
    <t xml:space="preserve">180105691:eng</t>
  </si>
  <si>
    <t xml:space="preserve">91244</t>
  </si>
  <si>
    <t xml:space="preserve">991000544079702656</t>
  </si>
  <si>
    <t xml:space="preserve">2264569710002656</t>
  </si>
  <si>
    <t xml:space="preserve">9780807605646</t>
  </si>
  <si>
    <t xml:space="preserve">32285000186675</t>
  </si>
  <si>
    <t xml:space="preserve">893695927</t>
  </si>
  <si>
    <t xml:space="preserve">B832 .P75 1987</t>
  </si>
  <si>
    <t xml:space="preserve">0                      B  0832000P  75          1987</t>
  </si>
  <si>
    <t xml:space="preserve">The limits of pragmatism / C.G. Prado.</t>
  </si>
  <si>
    <t xml:space="preserve">Prado, C. G.</t>
  </si>
  <si>
    <t xml:space="preserve">Atlantic Highlands, NJ : Humanities Press International, 1987.</t>
  </si>
  <si>
    <t xml:space="preserve">2006-10-27</t>
  </si>
  <si>
    <t xml:space="preserve">7348230:eng</t>
  </si>
  <si>
    <t xml:space="preserve">13525380</t>
  </si>
  <si>
    <t xml:space="preserve">991000840449702656</t>
  </si>
  <si>
    <t xml:space="preserve">2262444100002656</t>
  </si>
  <si>
    <t xml:space="preserve">9780391034563</t>
  </si>
  <si>
    <t xml:space="preserve">32285001073906</t>
  </si>
  <si>
    <t xml:space="preserve">893690086</t>
  </si>
  <si>
    <t xml:space="preserve">B832 .S6 1978</t>
  </si>
  <si>
    <t xml:space="preserve">0                      B  0832000S  6           1978</t>
  </si>
  <si>
    <t xml:space="preserve">Purpose and thought : the meaning of pragmatism / John E. Smith.</t>
  </si>
  <si>
    <t xml:space="preserve">Smith, John E. (John Edwin), 1921-2009.</t>
  </si>
  <si>
    <t xml:space="preserve">2000-11-24</t>
  </si>
  <si>
    <t xml:space="preserve">1990-06-15</t>
  </si>
  <si>
    <t xml:space="preserve">196532988:eng</t>
  </si>
  <si>
    <t xml:space="preserve">3627809</t>
  </si>
  <si>
    <t xml:space="preserve">991004482079702656</t>
  </si>
  <si>
    <t xml:space="preserve">2269218890002656</t>
  </si>
  <si>
    <t xml:space="preserve">9780300021714</t>
  </si>
  <si>
    <t xml:space="preserve">32285000186758</t>
  </si>
  <si>
    <t xml:space="preserve">893446239</t>
  </si>
  <si>
    <t xml:space="preserve">B832 .T48</t>
  </si>
  <si>
    <t xml:space="preserve">0                      B  0832000T  48</t>
  </si>
  <si>
    <t xml:space="preserve">Meaning and action : a critical history of pragmatism / [by] H. S. Thayer.</t>
  </si>
  <si>
    <t xml:space="preserve">Thayer, H. S. (Horace Standish), 1923-</t>
  </si>
  <si>
    <t xml:space="preserve">Indianapolis : Bobbs-Merrill, [1968]</t>
  </si>
  <si>
    <t xml:space="preserve">1726035:eng</t>
  </si>
  <si>
    <t xml:space="preserve">160366</t>
  </si>
  <si>
    <t xml:space="preserve">991000914969702656</t>
  </si>
  <si>
    <t xml:space="preserve">2267275040002656</t>
  </si>
  <si>
    <t xml:space="preserve">32285000186766</t>
  </si>
  <si>
    <t xml:space="preserve">893708833</t>
  </si>
  <si>
    <t xml:space="preserve">B835 .M34 1986</t>
  </si>
  <si>
    <t xml:space="preserve">0                      B  0835000M  34          1986</t>
  </si>
  <si>
    <t xml:space="preserve">Pragmatism without foundations : reconciling realism and relativism / Joseph Margolis.</t>
  </si>
  <si>
    <t xml:space="preserve">Margolis, Joseph, 1924-</t>
  </si>
  <si>
    <t xml:space="preserve">The persistence of reality ; 1</t>
  </si>
  <si>
    <t xml:space="preserve">906804518:eng</t>
  </si>
  <si>
    <t xml:space="preserve">13581978</t>
  </si>
  <si>
    <t xml:space="preserve">991000850359702656</t>
  </si>
  <si>
    <t xml:space="preserve">2259462530002656</t>
  </si>
  <si>
    <t xml:space="preserve">9780631150343</t>
  </si>
  <si>
    <t xml:space="preserve">32285000186881</t>
  </si>
  <si>
    <t xml:space="preserve">893333836</t>
  </si>
  <si>
    <t xml:space="preserve">B835 .V57 1988</t>
  </si>
  <si>
    <t xml:space="preserve">0                      B  0835000V  57          1988</t>
  </si>
  <si>
    <t xml:space="preserve">Modern anti-realism and manufactured truth / Gerald Vision.</t>
  </si>
  <si>
    <t xml:space="preserve">Vision, Gerald.</t>
  </si>
  <si>
    <t xml:space="preserve">16470510:eng</t>
  </si>
  <si>
    <t xml:space="preserve">17764583</t>
  </si>
  <si>
    <t xml:space="preserve">991001259279702656</t>
  </si>
  <si>
    <t xml:space="preserve">2256472380002656</t>
  </si>
  <si>
    <t xml:space="preserve">9780415000970</t>
  </si>
  <si>
    <t xml:space="preserve">32285000209790</t>
  </si>
  <si>
    <t xml:space="preserve">893709138</t>
  </si>
  <si>
    <t xml:space="preserve">B837 .A55 1985</t>
  </si>
  <si>
    <t xml:space="preserve">0                      B  0837000A  55          1985</t>
  </si>
  <si>
    <t xml:space="preserve">The modes of scepticism : ancient texts and modern interpretations / Julia Annas and Jonathan Barnes.</t>
  </si>
  <si>
    <t xml:space="preserve">Annas, Julia.</t>
  </si>
  <si>
    <t xml:space="preserve">Cambridge ; New York : Cambridge University Press, 1985.</t>
  </si>
  <si>
    <t xml:space="preserve">1999-09-12</t>
  </si>
  <si>
    <t xml:space="preserve">836679426:eng</t>
  </si>
  <si>
    <t xml:space="preserve">11210281</t>
  </si>
  <si>
    <t xml:space="preserve">991000505079702656</t>
  </si>
  <si>
    <t xml:space="preserve">2254745860002656</t>
  </si>
  <si>
    <t xml:space="preserve">9780521276443</t>
  </si>
  <si>
    <t xml:space="preserve">32285000186956</t>
  </si>
  <si>
    <t xml:space="preserve">893607964</t>
  </si>
  <si>
    <t xml:space="preserve">B839 .K46 1987</t>
  </si>
  <si>
    <t xml:space="preserve">0                      B  0839000K  46          1987</t>
  </si>
  <si>
    <t xml:space="preserve">A catalogue of Thomists, 1270-1900 / Leonard A. Kennedy.</t>
  </si>
  <si>
    <t xml:space="preserve">Kennedy, Leonard A.</t>
  </si>
  <si>
    <t xml:space="preserve">Houston, Tex. : Center for Thomistic Studies, University of St. Thomas, c1987.</t>
  </si>
  <si>
    <t xml:space="preserve">1998-08-12</t>
  </si>
  <si>
    <t xml:space="preserve">349046083:eng</t>
  </si>
  <si>
    <t xml:space="preserve">15367326</t>
  </si>
  <si>
    <t xml:space="preserve">991001021669702656</t>
  </si>
  <si>
    <t xml:space="preserve">2260420750002656</t>
  </si>
  <si>
    <t xml:space="preserve">9780268007638</t>
  </si>
  <si>
    <t xml:space="preserve">32285000187087</t>
  </si>
  <si>
    <t xml:space="preserve">893509313</t>
  </si>
  <si>
    <t xml:space="preserve">B839 .M3</t>
  </si>
  <si>
    <t xml:space="preserve">0                      B  0839000M  3</t>
  </si>
  <si>
    <t xml:space="preserve">Essays in modern scholasticism in honor of John F. McCormick, S. J., 1874-1943 / edited by Anton C. Pegis.</t>
  </si>
  <si>
    <t xml:space="preserve">Westminster, Md. : The Newman bookshop, 1944.</t>
  </si>
  <si>
    <t xml:space="preserve">2000-12-12</t>
  </si>
  <si>
    <t xml:space="preserve">988384450:eng</t>
  </si>
  <si>
    <t xml:space="preserve">1836588</t>
  </si>
  <si>
    <t xml:space="preserve">991003905439702656</t>
  </si>
  <si>
    <t xml:space="preserve">2257558120002656</t>
  </si>
  <si>
    <t xml:space="preserve">32285000187137</t>
  </si>
  <si>
    <t xml:space="preserve">893337109</t>
  </si>
  <si>
    <t xml:space="preserve">B839 .O53</t>
  </si>
  <si>
    <t xml:space="preserve">0                      B  0839000O  53</t>
  </si>
  <si>
    <t xml:space="preserve">One hundred years of Thomism : Aeterni Patris and afterwards, a symposium / edited by Victor B. Brezik.</t>
  </si>
  <si>
    <t xml:space="preserve">Houston, Tex. : Center for Thomistic Studies, University of St. Thomas, c1981.</t>
  </si>
  <si>
    <t xml:space="preserve">2004-10-18</t>
  </si>
  <si>
    <t xml:space="preserve">366527657:eng</t>
  </si>
  <si>
    <t xml:space="preserve">7534405</t>
  </si>
  <si>
    <t xml:space="preserve">991005122119702656</t>
  </si>
  <si>
    <t xml:space="preserve">2259401290002656</t>
  </si>
  <si>
    <t xml:space="preserve">9780960545605</t>
  </si>
  <si>
    <t xml:space="preserve">32285000187178</t>
  </si>
  <si>
    <t xml:space="preserve">893876977</t>
  </si>
  <si>
    <t xml:space="preserve">B840 .B57</t>
  </si>
  <si>
    <t xml:space="preserve">0                      B  0840000B  57</t>
  </si>
  <si>
    <t xml:space="preserve">The labyrinth of language.</t>
  </si>
  <si>
    <t xml:space="preserve">Black, Max, 1909-1988.</t>
  </si>
  <si>
    <t xml:space="preserve">New York : Praeger, [1968]</t>
  </si>
  <si>
    <t xml:space="preserve">Britannica perspective</t>
  </si>
  <si>
    <t xml:space="preserve">2002-04-21</t>
  </si>
  <si>
    <t xml:space="preserve">1318513:eng</t>
  </si>
  <si>
    <t xml:space="preserve">371007</t>
  </si>
  <si>
    <t xml:space="preserve">991002555189702656</t>
  </si>
  <si>
    <t xml:space="preserve">2260115230002656</t>
  </si>
  <si>
    <t xml:space="preserve">32285000187210</t>
  </si>
  <si>
    <t xml:space="preserve">893798724</t>
  </si>
  <si>
    <t xml:space="preserve">B840 .B58</t>
  </si>
  <si>
    <t xml:space="preserve">0                      B  0840000B  58</t>
  </si>
  <si>
    <t xml:space="preserve">Language and philosophy : studies in method.</t>
  </si>
  <si>
    <t xml:space="preserve">Ithaca : Cornell University Press, 1949.</t>
  </si>
  <si>
    <t xml:space="preserve">446742:eng</t>
  </si>
  <si>
    <t xml:space="preserve">371039</t>
  </si>
  <si>
    <t xml:space="preserve">991002555409702656</t>
  </si>
  <si>
    <t xml:space="preserve">2260103790002656</t>
  </si>
  <si>
    <t xml:space="preserve">32285000187228</t>
  </si>
  <si>
    <t xml:space="preserve">893427723</t>
  </si>
  <si>
    <t xml:space="preserve">B840 .C38</t>
  </si>
  <si>
    <t xml:space="preserve">0                      B  0840000C  38</t>
  </si>
  <si>
    <t xml:space="preserve">Philosophy and ordinary language.</t>
  </si>
  <si>
    <t xml:space="preserve">Caton, Charles E. (Charles Edwin), 1928-, editor.</t>
  </si>
  <si>
    <t xml:space="preserve">Urbana : University of Illinois Press, 1963.</t>
  </si>
  <si>
    <t xml:space="preserve">1449808:eng</t>
  </si>
  <si>
    <t xml:space="preserve">371791</t>
  </si>
  <si>
    <t xml:space="preserve">991002561499702656</t>
  </si>
  <si>
    <t xml:space="preserve">2260003590002656</t>
  </si>
  <si>
    <t xml:space="preserve">32285000187285</t>
  </si>
  <si>
    <t xml:space="preserve">893809558</t>
  </si>
  <si>
    <t xml:space="preserve">B840 .C6 1963</t>
  </si>
  <si>
    <t xml:space="preserve">0                      B  0840000C  6           1963</t>
  </si>
  <si>
    <t xml:space="preserve">The diversity of meaning.</t>
  </si>
  <si>
    <t xml:space="preserve">[New York] : Herder and Herder, [1963]</t>
  </si>
  <si>
    <t xml:space="preserve">1522554:eng</t>
  </si>
  <si>
    <t xml:space="preserve">522942</t>
  </si>
  <si>
    <t xml:space="preserve">991002912979702656</t>
  </si>
  <si>
    <t xml:space="preserve">2259999310002656</t>
  </si>
  <si>
    <t xml:space="preserve">32285000187293</t>
  </si>
  <si>
    <t xml:space="preserve">893721706</t>
  </si>
  <si>
    <t xml:space="preserve">B840 .K813</t>
  </si>
  <si>
    <t xml:space="preserve">0                      B  0840000K  813</t>
  </si>
  <si>
    <t xml:space="preserve">Ontology and the logistic analysis of language : an enquiry into the contemporary views on universals / [translated by E. C. M. Mays, and revised by the author]</t>
  </si>
  <si>
    <t xml:space="preserve">Küng, Guido.</t>
  </si>
  <si>
    <t xml:space="preserve">Dordrecht : D. Reidel, 1967.</t>
  </si>
  <si>
    <t xml:space="preserve">Synthese library</t>
  </si>
  <si>
    <t xml:space="preserve">2010-03-13</t>
  </si>
  <si>
    <t xml:space="preserve">4924903297:eng</t>
  </si>
  <si>
    <t xml:space="preserve">372033</t>
  </si>
  <si>
    <t xml:space="preserve">991002562669702656</t>
  </si>
  <si>
    <t xml:space="preserve">2261742630002656</t>
  </si>
  <si>
    <t xml:space="preserve">32285000187350</t>
  </si>
  <si>
    <t xml:space="preserve">893530172</t>
  </si>
  <si>
    <t xml:space="preserve">B840 .L4</t>
  </si>
  <si>
    <t xml:space="preserve">0                      B  0840000L  4</t>
  </si>
  <si>
    <t xml:space="preserve">Theory of meaning / edited by Adrienne and Keith Lehrer.</t>
  </si>
  <si>
    <t xml:space="preserve">Lehrer, Adrienne compiler.</t>
  </si>
  <si>
    <t xml:space="preserve">Englewood Cliffs, N.J. : Prentice-Hall, [1970]</t>
  </si>
  <si>
    <t xml:space="preserve">Central issues in philosophy series</t>
  </si>
  <si>
    <t xml:space="preserve">2000-10-01</t>
  </si>
  <si>
    <t xml:space="preserve">350740941:eng</t>
  </si>
  <si>
    <t xml:space="preserve">83849</t>
  </si>
  <si>
    <t xml:space="preserve">991000512369702656</t>
  </si>
  <si>
    <t xml:space="preserve">2272616870002656</t>
  </si>
  <si>
    <t xml:space="preserve">9780139145988</t>
  </si>
  <si>
    <t xml:space="preserve">32285000187368</t>
  </si>
  <si>
    <t xml:space="preserve">893327347</t>
  </si>
  <si>
    <t xml:space="preserve">B840 .L54 1967</t>
  </si>
  <si>
    <t xml:space="preserve">0                      B  0840000L  54          1967</t>
  </si>
  <si>
    <t xml:space="preserve">Referring.</t>
  </si>
  <si>
    <t xml:space="preserve">Linsky, Leonard.</t>
  </si>
  <si>
    <t xml:space="preserve">London : Routledge &amp; K. Paul ; New York : Humanities P., 1967</t>
  </si>
  <si>
    <t xml:space="preserve">1444901:eng</t>
  </si>
  <si>
    <t xml:space="preserve">558499</t>
  </si>
  <si>
    <t xml:space="preserve">991002987809702656</t>
  </si>
  <si>
    <t xml:space="preserve">2258221230002656</t>
  </si>
  <si>
    <t xml:space="preserve">32285000199215</t>
  </si>
  <si>
    <t xml:space="preserve">893623001</t>
  </si>
  <si>
    <t xml:space="preserve">B840 .M58 1969</t>
  </si>
  <si>
    <t xml:space="preserve">0                      B  0840000M  58          1969</t>
  </si>
  <si>
    <t xml:space="preserve">Signification and significance : a study of the relations of signs and values / Charles Morris.</t>
  </si>
  <si>
    <t xml:space="preserve">Cambridge, Mass. : M.I.T. Press, 1969, c1964.</t>
  </si>
  <si>
    <t xml:space="preserve">MIT Press paperback edition</t>
  </si>
  <si>
    <t xml:space="preserve">2005-09-20</t>
  </si>
  <si>
    <t xml:space="preserve">865158452:eng</t>
  </si>
  <si>
    <t xml:space="preserve">2512024</t>
  </si>
  <si>
    <t xml:space="preserve">991004146449702656</t>
  </si>
  <si>
    <t xml:space="preserve">2270242240002656</t>
  </si>
  <si>
    <t xml:space="preserve">9782262630140</t>
  </si>
  <si>
    <t xml:space="preserve">32285000199231</t>
  </si>
  <si>
    <t xml:space="preserve">893411169</t>
  </si>
  <si>
    <t xml:space="preserve">B840 .T8 1970</t>
  </si>
  <si>
    <t xml:space="preserve">0                      B  0840000T  8           1970</t>
  </si>
  <si>
    <t xml:space="preserve">The myth of metaphor / with forewords by Morse Peckham and Foster Tait, and an appendix by Rolf Eberle.</t>
  </si>
  <si>
    <t xml:space="preserve">Turbayne, Colin Murray.</t>
  </si>
  <si>
    <t xml:space="preserve">Columbia : University of South Carolina Press, [1970]</t>
  </si>
  <si>
    <t xml:space="preserve">scu</t>
  </si>
  <si>
    <t xml:space="preserve">2001-04-26</t>
  </si>
  <si>
    <t xml:space="preserve">519803:eng</t>
  </si>
  <si>
    <t xml:space="preserve">130998</t>
  </si>
  <si>
    <t xml:space="preserve">991000763889702656</t>
  </si>
  <si>
    <t xml:space="preserve">2254873890002656</t>
  </si>
  <si>
    <t xml:space="preserve">9780872491717</t>
  </si>
  <si>
    <t xml:space="preserve">32285000199371</t>
  </si>
  <si>
    <t xml:space="preserve">893871984</t>
  </si>
  <si>
    <t xml:space="preserve">B841.4 .C576</t>
  </si>
  <si>
    <t xml:space="preserve">0                      B  0841400C  576</t>
  </si>
  <si>
    <t xml:space="preserve">The foundations of structuralism : a critique of Lévi-Strauss and the structuralist movement / Simon Clarke.</t>
  </si>
  <si>
    <t xml:space="preserve">Clarke, Simon, 1946-</t>
  </si>
  <si>
    <t xml:space="preserve">Sussex [England] : Harvester Press ; Totowa, N.J. : Barnes &amp; Noble, 1981.</t>
  </si>
  <si>
    <t xml:space="preserve">889758836:eng</t>
  </si>
  <si>
    <t xml:space="preserve">8281995</t>
  </si>
  <si>
    <t xml:space="preserve">991005165359702656</t>
  </si>
  <si>
    <t xml:space="preserve">2262272090002656</t>
  </si>
  <si>
    <t xml:space="preserve">9780389201151</t>
  </si>
  <si>
    <t xml:space="preserve">32285000169002</t>
  </si>
  <si>
    <t xml:space="preserve">893248470</t>
  </si>
  <si>
    <t xml:space="preserve">B841.4 .S45</t>
  </si>
  <si>
    <t xml:space="preserve">0                      B  0841400S  45</t>
  </si>
  <si>
    <t xml:space="preserve">Structuralism and hermeneutics / T.K. Seung.</t>
  </si>
  <si>
    <t xml:space="preserve">Seung, T. K., 1930-</t>
  </si>
  <si>
    <t xml:space="preserve">New York : Columbia University Press, 1982.</t>
  </si>
  <si>
    <t xml:space="preserve">28795147:eng</t>
  </si>
  <si>
    <t xml:space="preserve">7672557</t>
  </si>
  <si>
    <t xml:space="preserve">991005147819702656</t>
  </si>
  <si>
    <t xml:space="preserve">2271588170002656</t>
  </si>
  <si>
    <t xml:space="preserve">9780231052788</t>
  </si>
  <si>
    <t xml:space="preserve">32285000169051</t>
  </si>
  <si>
    <t xml:space="preserve">893520509</t>
  </si>
  <si>
    <t xml:space="preserve">B841.4 .S5</t>
  </si>
  <si>
    <t xml:space="preserve">0                      B  0841400S  5</t>
  </si>
  <si>
    <t xml:space="preserve">Claude Lévi-Strauss ou la Passion de l'inceste : introduction au structuralisme.</t>
  </si>
  <si>
    <t xml:space="preserve">Simonis, Yvan.</t>
  </si>
  <si>
    <t xml:space="preserve">Paris : Aubier, Éditions Montaigne, 1968.</t>
  </si>
  <si>
    <t xml:space="preserve">Collection Recherches économiques et sociales ; 8</t>
  </si>
  <si>
    <t xml:space="preserve">806987683:fre</t>
  </si>
  <si>
    <t xml:space="preserve">1656459</t>
  </si>
  <si>
    <t xml:space="preserve">991003856929702656</t>
  </si>
  <si>
    <t xml:space="preserve">2269902540002656</t>
  </si>
  <si>
    <t xml:space="preserve">32285000199496</t>
  </si>
  <si>
    <t xml:space="preserve">893499794</t>
  </si>
  <si>
    <t xml:space="preserve">B843 .S27</t>
  </si>
  <si>
    <t xml:space="preserve">0                      B  0843000S  27</t>
  </si>
  <si>
    <t xml:space="preserve">Individual conduct and social norms : a utilitarian account of social union and the rule of law / Rolf E. Sartorius.</t>
  </si>
  <si>
    <t xml:space="preserve">Sartorius, Rolf E.</t>
  </si>
  <si>
    <t xml:space="preserve">Encino, Calif. : Dickenson Pub. Co., [1975]</t>
  </si>
  <si>
    <t xml:space="preserve">Dickenson series in philosophy</t>
  </si>
  <si>
    <t xml:space="preserve">1999-02-16</t>
  </si>
  <si>
    <t xml:space="preserve">196794420:eng</t>
  </si>
  <si>
    <t xml:space="preserve">1335131</t>
  </si>
  <si>
    <t xml:space="preserve">991003699879702656</t>
  </si>
  <si>
    <t xml:space="preserve">2259286890002656</t>
  </si>
  <si>
    <t xml:space="preserve">9780822101482</t>
  </si>
  <si>
    <t xml:space="preserve">32285003263265</t>
  </si>
  <si>
    <t xml:space="preserve">893429101</t>
  </si>
  <si>
    <t xml:space="preserve">B851 .F56 1977</t>
  </si>
  <si>
    <t xml:space="preserve">0                      B  0851000F  56          1977</t>
  </si>
  <si>
    <t xml:space="preserve">A history of philosophy in America / Elizabeth Flower and Murray G. Murphey. --</t>
  </si>
  <si>
    <t xml:space="preserve">Flower, Elizabeth.</t>
  </si>
  <si>
    <t xml:space="preserve">New York : Capricorn Books, c1977.</t>
  </si>
  <si>
    <t xml:space="preserve">2004-02-05</t>
  </si>
  <si>
    <t xml:space="preserve">2625701:eng</t>
  </si>
  <si>
    <t xml:space="preserve">1958381</t>
  </si>
  <si>
    <t xml:space="preserve">991003951839702656</t>
  </si>
  <si>
    <t xml:space="preserve">2265624280002656</t>
  </si>
  <si>
    <t xml:space="preserve">9780399116506</t>
  </si>
  <si>
    <t xml:space="preserve">32285000187442</t>
  </si>
  <si>
    <t xml:space="preserve">893599242</t>
  </si>
  <si>
    <t xml:space="preserve">B851 .F56 1977 V2</t>
  </si>
  <si>
    <t xml:space="preserve">0                      B  0851000F  56          1977   V  2</t>
  </si>
  <si>
    <t xml:space="preserve">32285000187459</t>
  </si>
  <si>
    <t xml:space="preserve">893624166</t>
  </si>
  <si>
    <t xml:space="preserve">B851 .V3 1960</t>
  </si>
  <si>
    <t xml:space="preserve">0                      B  0851000V  3           1960</t>
  </si>
  <si>
    <t xml:space="preserve">Seven sages : the story of American philosophy : Franklin, Emerson, James, Dewey, Santayana, Peirce [and] Whitehead.</t>
  </si>
  <si>
    <t xml:space="preserve">Van Wesep, H. B. (Hendrikus Boeve), 1888-</t>
  </si>
  <si>
    <t xml:space="preserve">New York : Longmans, Green, 1960.</t>
  </si>
  <si>
    <t xml:space="preserve">2000-09-28</t>
  </si>
  <si>
    <t xml:space="preserve">3768410925:eng</t>
  </si>
  <si>
    <t xml:space="preserve">3062292</t>
  </si>
  <si>
    <t xml:space="preserve">991004331589702656</t>
  </si>
  <si>
    <t xml:space="preserve">2272703650002656</t>
  </si>
  <si>
    <t xml:space="preserve">32285000187590</t>
  </si>
  <si>
    <t xml:space="preserve">893253568</t>
  </si>
  <si>
    <t xml:space="preserve">B870 .A5 1955</t>
  </si>
  <si>
    <t xml:space="preserve">0                      B  0870000A  5           1955</t>
  </si>
  <si>
    <t xml:space="preserve">The philosophy of Jonathan Edwards from his private notebooks / edited by Harvey G. Townsend.</t>
  </si>
  <si>
    <t xml:space="preserve">Edwards, Jonathan, 1703-1758.</t>
  </si>
  <si>
    <t xml:space="preserve">Eugene : University of Oregon, 1955.</t>
  </si>
  <si>
    <t xml:space="preserve">University of Oregon monographs. Studies in philosophy ; no. 2</t>
  </si>
  <si>
    <t xml:space="preserve">2007-06-27</t>
  </si>
  <si>
    <t xml:space="preserve">1483898:eng</t>
  </si>
  <si>
    <t xml:space="preserve">1421620</t>
  </si>
  <si>
    <t xml:space="preserve">991003748329702656</t>
  </si>
  <si>
    <t xml:space="preserve">2269508920002656</t>
  </si>
  <si>
    <t xml:space="preserve">32285000187707</t>
  </si>
  <si>
    <t xml:space="preserve">893505942</t>
  </si>
  <si>
    <t xml:space="preserve">B871 .M5</t>
  </si>
  <si>
    <t xml:space="preserve">0                      B  0871000M  5</t>
  </si>
  <si>
    <t xml:space="preserve">The mind.</t>
  </si>
  <si>
    <t xml:space="preserve">Berkeley : University of California Press, 1963.</t>
  </si>
  <si>
    <t xml:space="preserve">University of California, Berkeley. University of California publications. English studies, 28</t>
  </si>
  <si>
    <t xml:space="preserve">2001-02-24</t>
  </si>
  <si>
    <t xml:space="preserve">5218511735:eng</t>
  </si>
  <si>
    <t xml:space="preserve">371009</t>
  </si>
  <si>
    <t xml:space="preserve">991002555219702656</t>
  </si>
  <si>
    <t xml:space="preserve">2260115610002656</t>
  </si>
  <si>
    <t xml:space="preserve">32285000187715</t>
  </si>
  <si>
    <t xml:space="preserve">893523755</t>
  </si>
  <si>
    <t xml:space="preserve">B874.A4 E72</t>
  </si>
  <si>
    <t xml:space="preserve">0                      B  0874000A  4                  E  72</t>
  </si>
  <si>
    <t xml:space="preserve">Jonathan Edwards, art and the sense of the heart / Terrence Erdt.</t>
  </si>
  <si>
    <t xml:space="preserve">Erdt, Terrence, 1942-</t>
  </si>
  <si>
    <t xml:space="preserve">Amherst : University of Massachusetts Press, c1980.</t>
  </si>
  <si>
    <t xml:space="preserve">2001-04-06</t>
  </si>
  <si>
    <t xml:space="preserve">514807:eng</t>
  </si>
  <si>
    <t xml:space="preserve">6280583</t>
  </si>
  <si>
    <t xml:space="preserve">991004956799702656</t>
  </si>
  <si>
    <t xml:space="preserve">2255943930002656</t>
  </si>
  <si>
    <t xml:space="preserve">9780870233043</t>
  </si>
  <si>
    <t xml:space="preserve">32285000169135</t>
  </si>
  <si>
    <t xml:space="preserve">893801535</t>
  </si>
  <si>
    <t xml:space="preserve">B878 .B6 1981</t>
  </si>
  <si>
    <t xml:space="preserve">0                      B  0878000B  6           1981</t>
  </si>
  <si>
    <t xml:space="preserve">The lost world of Thomas Jefferson : with a new preface / Daniel J. Boorstin.</t>
  </si>
  <si>
    <t xml:space="preserve">Boorstin, Daniel J. (Daniel Joseph), 1914-2004.</t>
  </si>
  <si>
    <t xml:space="preserve">Chicago : University of Chicago Press, 1981.</t>
  </si>
  <si>
    <t xml:space="preserve">Phoenix ed.</t>
  </si>
  <si>
    <t xml:space="preserve">1993-03-19</t>
  </si>
  <si>
    <t xml:space="preserve">1990-04-03</t>
  </si>
  <si>
    <t xml:space="preserve">48210210:eng</t>
  </si>
  <si>
    <t xml:space="preserve">6982685</t>
  </si>
  <si>
    <t xml:space="preserve">991005068509702656</t>
  </si>
  <si>
    <t xml:space="preserve">2272565500002656</t>
  </si>
  <si>
    <t xml:space="preserve">9780226064963</t>
  </si>
  <si>
    <t xml:space="preserve">32285000108588</t>
  </si>
  <si>
    <t xml:space="preserve">893319962</t>
  </si>
  <si>
    <t xml:space="preserve">B878 .E38 1982</t>
  </si>
  <si>
    <t xml:space="preserve">0                      B  0878000E  38          1982</t>
  </si>
  <si>
    <t xml:space="preserve">A return to moral and religious philosophy in early America / Rem B. Edwards.</t>
  </si>
  <si>
    <t xml:space="preserve">Edwards, Rem Blanchard.</t>
  </si>
  <si>
    <t xml:space="preserve">2006-01-04</t>
  </si>
  <si>
    <t xml:space="preserve">470529981:eng</t>
  </si>
  <si>
    <t xml:space="preserve">8474112</t>
  </si>
  <si>
    <t xml:space="preserve">991005247239702656</t>
  </si>
  <si>
    <t xml:space="preserve">2258940580002656</t>
  </si>
  <si>
    <t xml:space="preserve">9780819124791</t>
  </si>
  <si>
    <t xml:space="preserve">32285000187749</t>
  </si>
  <si>
    <t xml:space="preserve">893514328</t>
  </si>
  <si>
    <t xml:space="preserve">B901 .M3</t>
  </si>
  <si>
    <t xml:space="preserve">0                      B  0901000M  3</t>
  </si>
  <si>
    <t xml:space="preserve">Civil disobedience and moral law in nineteenth-century American philosophy / by Edward H. Madden.</t>
  </si>
  <si>
    <t xml:space="preserve">Madden, Edward H.</t>
  </si>
  <si>
    <t xml:space="preserve">Seattle : University of Washington Press, [1968]</t>
  </si>
  <si>
    <t xml:space="preserve">2001-02-22</t>
  </si>
  <si>
    <t xml:space="preserve">1409698:eng</t>
  </si>
  <si>
    <t xml:space="preserve">248788</t>
  </si>
  <si>
    <t xml:space="preserve">991001930949702656</t>
  </si>
  <si>
    <t xml:space="preserve">2258591720002656</t>
  </si>
  <si>
    <t xml:space="preserve">32285000187830</t>
  </si>
  <si>
    <t xml:space="preserve">893497554</t>
  </si>
  <si>
    <t xml:space="preserve">B905 .B64 1974</t>
  </si>
  <si>
    <t xml:space="preserve">0                      B  0905000B  64          1974</t>
  </si>
  <si>
    <t xml:space="preserve">American transcendentalism, 1830-1860 : an intellectual inquiry / by Paul F. Boller, Jr.</t>
  </si>
  <si>
    <t xml:space="preserve">Boller, Paul F.</t>
  </si>
  <si>
    <t xml:space="preserve">New York : Putnam, [1974]</t>
  </si>
  <si>
    <t xml:space="preserve">1953707:eng</t>
  </si>
  <si>
    <t xml:space="preserve">1023677</t>
  </si>
  <si>
    <t xml:space="preserve">991003478139702656</t>
  </si>
  <si>
    <t xml:space="preserve">2272120190002656</t>
  </si>
  <si>
    <t xml:space="preserve">9780399111631</t>
  </si>
  <si>
    <t xml:space="preserve">32285000187848</t>
  </si>
  <si>
    <t xml:space="preserve">893258456</t>
  </si>
  <si>
    <t xml:space="preserve">B905 .S17 1976</t>
  </si>
  <si>
    <t xml:space="preserve">0                      B  0905000S  17          1976</t>
  </si>
  <si>
    <t xml:space="preserve">Sixty years of Concord, 1855-1915 : life, people, institutions, and transcendental philosophy in Massachusetts, with memories of Emerson, Thoreau, Alcott, Channing, and others / by Franklin Benjamin Sanborn ; edited with notes and an index by Kenneth Walter Cameron.</t>
  </si>
  <si>
    <t xml:space="preserve">Sanborn, F. B. (Franklin Benjamin), 1831-1917.</t>
  </si>
  <si>
    <t xml:space="preserve">Hartford : Transcendental Books, c1976.</t>
  </si>
  <si>
    <t xml:space="preserve">2006-03-29</t>
  </si>
  <si>
    <t xml:space="preserve">6644936:eng</t>
  </si>
  <si>
    <t xml:space="preserve">2968462</t>
  </si>
  <si>
    <t xml:space="preserve">991004301439702656</t>
  </si>
  <si>
    <t xml:space="preserve">2268930730002656</t>
  </si>
  <si>
    <t xml:space="preserve">32285000187921</t>
  </si>
  <si>
    <t xml:space="preserve">893325191</t>
  </si>
  <si>
    <t xml:space="preserve">B905 .S3</t>
  </si>
  <si>
    <t xml:space="preserve">0                      B  0905000S  3</t>
  </si>
  <si>
    <t xml:space="preserve">Transcendental and literary New England : Emerson, Thoreau, Alcott, Bryant, Whittier, Lowell, Longfellow, and others / by Franklin Benjamin Sanborn ; edited by Kenneth Walter Cameron.</t>
  </si>
  <si>
    <t xml:space="preserve">Hartford : Transcendental Books, c1975.</t>
  </si>
  <si>
    <t xml:space="preserve">945099692:eng</t>
  </si>
  <si>
    <t xml:space="preserve">1913375</t>
  </si>
  <si>
    <t xml:space="preserve">991003935799702656</t>
  </si>
  <si>
    <t xml:space="preserve">2255046800002656</t>
  </si>
  <si>
    <t xml:space="preserve">32285000187939</t>
  </si>
  <si>
    <t xml:space="preserve">893531786</t>
  </si>
  <si>
    <t xml:space="preserve">B908.B64 L3</t>
  </si>
  <si>
    <t xml:space="preserve">0                      B  0908000B  64                 L  3</t>
  </si>
  <si>
    <t xml:space="preserve">Orestes A. Brownson / by Americo D. Lapati.</t>
  </si>
  <si>
    <t xml:space="preserve">Lapati, Americo D.</t>
  </si>
  <si>
    <t xml:space="preserve">New York : Twayne Publishers, [1965]</t>
  </si>
  <si>
    <t xml:space="preserve">Twayne's United States authors series, 88</t>
  </si>
  <si>
    <t xml:space="preserve">1999-02-12</t>
  </si>
  <si>
    <t xml:space="preserve">1994-10-13</t>
  </si>
  <si>
    <t xml:space="preserve">1658604:eng</t>
  </si>
  <si>
    <t xml:space="preserve">711514</t>
  </si>
  <si>
    <t xml:space="preserve">991003179799702656</t>
  </si>
  <si>
    <t xml:space="preserve">2261929100002656</t>
  </si>
  <si>
    <t xml:space="preserve">32285001961084</t>
  </si>
  <si>
    <t xml:space="preserve">893704987</t>
  </si>
  <si>
    <t xml:space="preserve">B908.B64 M3 1943</t>
  </si>
  <si>
    <t xml:space="preserve">0                      B  0908000B  64                 M  3           1943</t>
  </si>
  <si>
    <t xml:space="preserve">Orestes Brownson, Yankee, radical, Catholic / by Theodore Maynard.</t>
  </si>
  <si>
    <t xml:space="preserve">Maynard, Theodore, 1890-1956.</t>
  </si>
  <si>
    <t xml:space="preserve">New York : The Macmillan company, 1943.</t>
  </si>
  <si>
    <t xml:space="preserve">2010-03-21</t>
  </si>
  <si>
    <t xml:space="preserve">1269306:eng</t>
  </si>
  <si>
    <t xml:space="preserve">947404</t>
  </si>
  <si>
    <t xml:space="preserve">991003407549702656</t>
  </si>
  <si>
    <t xml:space="preserve">2264456960002656</t>
  </si>
  <si>
    <t xml:space="preserve">32285000169184</t>
  </si>
  <si>
    <t xml:space="preserve">893499265</t>
  </si>
  <si>
    <t xml:space="preserve">B908.B64 N6</t>
  </si>
  <si>
    <t xml:space="preserve">0                      B  0908000B  64                 N  6</t>
  </si>
  <si>
    <t xml:space="preserve">No divided allegiance : essays in Brownson's thought / edited by Leonard Gilhooley.</t>
  </si>
  <si>
    <t xml:space="preserve">New York : Fordham University Press, 1980.</t>
  </si>
  <si>
    <t xml:space="preserve">54416220:eng</t>
  </si>
  <si>
    <t xml:space="preserve">6969034</t>
  </si>
  <si>
    <t xml:space="preserve">991005066359702656</t>
  </si>
  <si>
    <t xml:space="preserve">2261656720002656</t>
  </si>
  <si>
    <t xml:space="preserve">9780823210565</t>
  </si>
  <si>
    <t xml:space="preserve">32285000171800</t>
  </si>
  <si>
    <t xml:space="preserve">893807770</t>
  </si>
  <si>
    <t xml:space="preserve">B908.B64 S35 1939</t>
  </si>
  <si>
    <t xml:space="preserve">0                      B  0908000B  64                 S  35          1939</t>
  </si>
  <si>
    <t xml:space="preserve">Orestes A. Brownson : a pilgrim's progress / by Arthur M. Schlesinger, jr.</t>
  </si>
  <si>
    <t xml:space="preserve">Schlesinger, Arthur M., Jr. (Arthur Meier), 1917-2007.</t>
  </si>
  <si>
    <t xml:space="preserve">Boston : Little, Brown and company, 1939.</t>
  </si>
  <si>
    <t xml:space="preserve">376711436:eng</t>
  </si>
  <si>
    <t xml:space="preserve">1515357</t>
  </si>
  <si>
    <t xml:space="preserve">991003794479702656</t>
  </si>
  <si>
    <t xml:space="preserve">2263922650002656</t>
  </si>
  <si>
    <t xml:space="preserve">32285000171826</t>
  </si>
  <si>
    <t xml:space="preserve">893252795</t>
  </si>
  <si>
    <t xml:space="preserve">B92 .M313</t>
  </si>
  <si>
    <t xml:space="preserve">0                      B  0092000M  313</t>
  </si>
  <si>
    <t xml:space="preserve">History of philosophy, by Julián Marías. Translated from the Spanish by Stanley Appelbaum and Clarence C. Strowbridge.</t>
  </si>
  <si>
    <t xml:space="preserve">New York, Dover Publications [1967]</t>
  </si>
  <si>
    <t xml:space="preserve">1993-05-21</t>
  </si>
  <si>
    <t xml:space="preserve">58347725:eng</t>
  </si>
  <si>
    <t xml:space="preserve">606931</t>
  </si>
  <si>
    <t xml:space="preserve">991003046699702656</t>
  </si>
  <si>
    <t xml:space="preserve">2264162290002656</t>
  </si>
  <si>
    <t xml:space="preserve">32285000125129</t>
  </si>
  <si>
    <t xml:space="preserve">893887081</t>
  </si>
  <si>
    <t xml:space="preserve">B935 .C48 1987</t>
  </si>
  <si>
    <t xml:space="preserve">0                      B  0935000C  48          1987</t>
  </si>
  <si>
    <t xml:space="preserve">Classical American philosophy : essential readings and interpretive essays / [edited by] John J. Stuhr.</t>
  </si>
  <si>
    <t xml:space="preserve">3855459111:eng</t>
  </si>
  <si>
    <t xml:space="preserve">14068008</t>
  </si>
  <si>
    <t xml:space="preserve">991000901499702656</t>
  </si>
  <si>
    <t xml:space="preserve">2256921440002656</t>
  </si>
  <si>
    <t xml:space="preserve">9780195041989</t>
  </si>
  <si>
    <t xml:space="preserve">32285000169200</t>
  </si>
  <si>
    <t xml:space="preserve">893528481</t>
  </si>
  <si>
    <t xml:space="preserve">B935 .S6</t>
  </si>
  <si>
    <t xml:space="preserve">0                      B  0935000S  6</t>
  </si>
  <si>
    <t xml:space="preserve">Contemporary American philosophy : second series / edited by John E. Smith.</t>
  </si>
  <si>
    <t xml:space="preserve">London : Allen &amp; Unwin ; New York : Humanities Press, 1970.</t>
  </si>
  <si>
    <t xml:space="preserve">2001-12-06</t>
  </si>
  <si>
    <t xml:space="preserve">366016154:eng</t>
  </si>
  <si>
    <t xml:space="preserve">118365</t>
  </si>
  <si>
    <t xml:space="preserve">991000665369702656</t>
  </si>
  <si>
    <t xml:space="preserve">2261663740002656</t>
  </si>
  <si>
    <t xml:space="preserve">9780391000469</t>
  </si>
  <si>
    <t xml:space="preserve">32285000172006</t>
  </si>
  <si>
    <t xml:space="preserve">893601956</t>
  </si>
  <si>
    <t xml:space="preserve">B945 .D41 M3 V2</t>
  </si>
  <si>
    <t xml:space="preserve">0                      B  0945000D  41                 M  3                  V  2</t>
  </si>
  <si>
    <t xml:space="preserve">The philosophy of John Dewey / edited with an introd. and commentary by John J. McDermott.</t>
  </si>
  <si>
    <t xml:space="preserve">New York : Putnam Sons, [1973]</t>
  </si>
  <si>
    <t xml:space="preserve">3943451848:eng</t>
  </si>
  <si>
    <t xml:space="preserve">784498</t>
  </si>
  <si>
    <t xml:space="preserve">991003258939702656</t>
  </si>
  <si>
    <t xml:space="preserve">2261903150002656</t>
  </si>
  <si>
    <t xml:space="preserve">32285000172477</t>
  </si>
  <si>
    <t xml:space="preserve">893868239</t>
  </si>
  <si>
    <t xml:space="preserve">B945 .D43 C5 1970 V2</t>
  </si>
  <si>
    <t xml:space="preserve">0                      B  0945000D  43                 C  5           1970   V  2</t>
  </si>
  <si>
    <t xml:space="preserve">Characters and events : popular essays in social and political philosophy / Edited by Joseph Ratner.</t>
  </si>
  <si>
    <t xml:space="preserve">New York : Octagon Books, 1970 [c1927]</t>
  </si>
  <si>
    <t xml:space="preserve">5576878718:eng</t>
  </si>
  <si>
    <t xml:space="preserve">91561</t>
  </si>
  <si>
    <t xml:space="preserve">991000546659702656</t>
  </si>
  <si>
    <t xml:space="preserve">2264761830002656</t>
  </si>
  <si>
    <t xml:space="preserve">32285000172535</t>
  </si>
  <si>
    <t xml:space="preserve">893714682</t>
  </si>
  <si>
    <t xml:space="preserve">B945 .H351 1970b</t>
  </si>
  <si>
    <t xml:space="preserve">0                      B  0945000H  351         1970b</t>
  </si>
  <si>
    <t xml:space="preserve">Creative synthesis and philosophic method.</t>
  </si>
  <si>
    <t xml:space="preserve">La Salle, Ill. : Open Court Pub. Co., [1970]</t>
  </si>
  <si>
    <t xml:space="preserve">2000-03-22</t>
  </si>
  <si>
    <t xml:space="preserve">1173435:eng</t>
  </si>
  <si>
    <t xml:space="preserve">108710</t>
  </si>
  <si>
    <t xml:space="preserve">991000639249702656</t>
  </si>
  <si>
    <t xml:space="preserve">2262425230002656</t>
  </si>
  <si>
    <t xml:space="preserve">32285000173608</t>
  </si>
  <si>
    <t xml:space="preserve">893871849</t>
  </si>
  <si>
    <t xml:space="preserve">B945 .S21 1953</t>
  </si>
  <si>
    <t xml:space="preserve">0                      B  0945000S  21          1953</t>
  </si>
  <si>
    <t xml:space="preserve">The philosophy of Santayana : selections from all the works of George Santayana.</t>
  </si>
  <si>
    <t xml:space="preserve">New York : Scribner, 1953.</t>
  </si>
  <si>
    <t xml:space="preserve">New and greatly enlarged edition, edited, with a new pref. and an introductory essay, by Irwin Edman.</t>
  </si>
  <si>
    <t xml:space="preserve">3943268459:eng</t>
  </si>
  <si>
    <t xml:space="preserve">1428455</t>
  </si>
  <si>
    <t xml:space="preserve">991003751469702656</t>
  </si>
  <si>
    <t xml:space="preserve">2265751390002656</t>
  </si>
  <si>
    <t xml:space="preserve">32285000185651</t>
  </si>
  <si>
    <t xml:space="preserve">893349088</t>
  </si>
  <si>
    <t xml:space="preserve">B945.A2864 A35</t>
  </si>
  <si>
    <t xml:space="preserve">0                      B  0945000A  2864               A  35</t>
  </si>
  <si>
    <t xml:space="preserve">Philosopher at large : an intellectual autobiography / by Mortimer J. Adler.</t>
  </si>
  <si>
    <t xml:space="preserve">New York : Macmillan, c1977.</t>
  </si>
  <si>
    <t xml:space="preserve">2001-07-24</t>
  </si>
  <si>
    <t xml:space="preserve">47766249:eng</t>
  </si>
  <si>
    <t xml:space="preserve">2798761</t>
  </si>
  <si>
    <t xml:space="preserve">991004246819702656</t>
  </si>
  <si>
    <t xml:space="preserve">2270945950002656</t>
  </si>
  <si>
    <t xml:space="preserve">9780025004900</t>
  </si>
  <si>
    <t xml:space="preserve">32285000172071</t>
  </si>
  <si>
    <t xml:space="preserve">893794650</t>
  </si>
  <si>
    <t xml:space="preserve">B945.B773 G7 1969</t>
  </si>
  <si>
    <t xml:space="preserve">0                      B  0945000B  773                G  7           1969</t>
  </si>
  <si>
    <t xml:space="preserve">A grammar of motives.</t>
  </si>
  <si>
    <t xml:space="preserve">Burke, Kenneth, 1897-1993.</t>
  </si>
  <si>
    <t xml:space="preserve">2006-12-04</t>
  </si>
  <si>
    <t xml:space="preserve">118030690:eng</t>
  </si>
  <si>
    <t xml:space="preserve">51016</t>
  </si>
  <si>
    <t xml:space="preserve">991000123459702656</t>
  </si>
  <si>
    <t xml:space="preserve">2258605880002656</t>
  </si>
  <si>
    <t xml:space="preserve">32285000172147</t>
  </si>
  <si>
    <t xml:space="preserve">893495941</t>
  </si>
  <si>
    <t xml:space="preserve">B945.C54 A3 1975</t>
  </si>
  <si>
    <t xml:space="preserve">0                      B  0945000C  54                 A  3           1975</t>
  </si>
  <si>
    <t xml:space="preserve">A dreamer's journey : the autobiography of Morris Raphael Cohen.</t>
  </si>
  <si>
    <t xml:space="preserve">New York : Arno Press, 1975, c1949.</t>
  </si>
  <si>
    <t xml:space="preserve">The Modern Jewish experience</t>
  </si>
  <si>
    <t xml:space="preserve">2007-11-19</t>
  </si>
  <si>
    <t xml:space="preserve">476870:eng</t>
  </si>
  <si>
    <t xml:space="preserve">1195114</t>
  </si>
  <si>
    <t xml:space="preserve">991003612509702656</t>
  </si>
  <si>
    <t xml:space="preserve">2260237660002656</t>
  </si>
  <si>
    <t xml:space="preserve">9780405067020</t>
  </si>
  <si>
    <t xml:space="preserve">32285000172246</t>
  </si>
  <si>
    <t xml:space="preserve">893531362</t>
  </si>
  <si>
    <t xml:space="preserve">B945.D41 B4</t>
  </si>
  <si>
    <t xml:space="preserve">0                      B  0945000D  41                 B  4</t>
  </si>
  <si>
    <t xml:space="preserve">On experience, nature, and freedom : representative selections / edited, with an introd. by Richard J. Bernstein.</t>
  </si>
  <si>
    <t xml:space="preserve">New York : Liberal Arts Press, [1960]</t>
  </si>
  <si>
    <t xml:space="preserve">The Library of liberal arts, no. 41</t>
  </si>
  <si>
    <t xml:space="preserve">2001-12-03</t>
  </si>
  <si>
    <t xml:space="preserve">827115367:eng</t>
  </si>
  <si>
    <t xml:space="preserve">311167</t>
  </si>
  <si>
    <t xml:space="preserve">991002284519702656</t>
  </si>
  <si>
    <t xml:space="preserve">2272417350002656</t>
  </si>
  <si>
    <t xml:space="preserve">32285000172311</t>
  </si>
  <si>
    <t xml:space="preserve">893615936</t>
  </si>
  <si>
    <t xml:space="preserve">B945.D41 M3</t>
  </si>
  <si>
    <t xml:space="preserve">0                      B  0945000D  41                 M  3</t>
  </si>
  <si>
    <t xml:space="preserve">32285000172469</t>
  </si>
  <si>
    <t xml:space="preserve">893868238</t>
  </si>
  <si>
    <t xml:space="preserve">B945.D41 R17</t>
  </si>
  <si>
    <t xml:space="preserve">0                      B  0945000D  41                 R  17</t>
  </si>
  <si>
    <t xml:space="preserve">Intelligence in the modern world : John Dewey's philosophy / edited, and with introd., by Joseph Ratner.</t>
  </si>
  <si>
    <t xml:space="preserve">New York : Modern Library, [1939]</t>
  </si>
  <si>
    <t xml:space="preserve">1993-12-11</t>
  </si>
  <si>
    <t xml:space="preserve">1391778:eng</t>
  </si>
  <si>
    <t xml:space="preserve">268377</t>
  </si>
  <si>
    <t xml:space="preserve">991002117039702656</t>
  </si>
  <si>
    <t xml:space="preserve">2270497590002656</t>
  </si>
  <si>
    <t xml:space="preserve">32285000172485</t>
  </si>
  <si>
    <t xml:space="preserve">893232605</t>
  </si>
  <si>
    <t xml:space="preserve">B945.D41 R2</t>
  </si>
  <si>
    <t xml:space="preserve">0                      B  0945000D  41                 R  2</t>
  </si>
  <si>
    <t xml:space="preserve">The philosophy of John Dewey / selected and edited by Joseph Ratner.</t>
  </si>
  <si>
    <t xml:space="preserve">New York : H. Holt and Company, [c1928]</t>
  </si>
  <si>
    <t xml:space="preserve">2001-12-01</t>
  </si>
  <si>
    <t xml:space="preserve">1091239075:eng</t>
  </si>
  <si>
    <t xml:space="preserve">371265</t>
  </si>
  <si>
    <t xml:space="preserve">991002558649702656</t>
  </si>
  <si>
    <t xml:space="preserve">2260080120002656</t>
  </si>
  <si>
    <t xml:space="preserve">32285000172493</t>
  </si>
  <si>
    <t xml:space="preserve">893415345</t>
  </si>
  <si>
    <t xml:space="preserve">B945.D43 C5 1970</t>
  </si>
  <si>
    <t xml:space="preserve">0                      B  0945000D  43                 C  5           1970</t>
  </si>
  <si>
    <t xml:space="preserve">1994-02-11</t>
  </si>
  <si>
    <t xml:space="preserve">32285000172527</t>
  </si>
  <si>
    <t xml:space="preserve">893714683</t>
  </si>
  <si>
    <t xml:space="preserve">B945.D43 I4 1965</t>
  </si>
  <si>
    <t xml:space="preserve">0                      B  0945000D  43                 I  4           1965</t>
  </si>
  <si>
    <t xml:space="preserve">The influence of Darwin on philosophy : and other essays in contemporary thought.</t>
  </si>
  <si>
    <t xml:space="preserve">Bloomington : Indiana University Press, [1965, c1910]</t>
  </si>
  <si>
    <t xml:space="preserve">A Midland book, MB-70</t>
  </si>
  <si>
    <t xml:space="preserve">1996-10-03</t>
  </si>
  <si>
    <t xml:space="preserve">1150996687:eng</t>
  </si>
  <si>
    <t xml:space="preserve">312392</t>
  </si>
  <si>
    <t xml:space="preserve">991002288779702656</t>
  </si>
  <si>
    <t xml:space="preserve">2271070930002656</t>
  </si>
  <si>
    <t xml:space="preserve">32285000172568</t>
  </si>
  <si>
    <t xml:space="preserve">893251042</t>
  </si>
  <si>
    <t xml:space="preserve">B945.D43 P7</t>
  </si>
  <si>
    <t xml:space="preserve">0                      B  0945000D  43                 P  7</t>
  </si>
  <si>
    <t xml:space="preserve">Problems of men.</t>
  </si>
  <si>
    <t xml:space="preserve">New York : Philosophical library, [1946]</t>
  </si>
  <si>
    <t xml:space="preserve">2008-04-19</t>
  </si>
  <si>
    <t xml:space="preserve">4535574635:eng</t>
  </si>
  <si>
    <t xml:space="preserve">259229</t>
  </si>
  <si>
    <t xml:space="preserve">991002017149702656</t>
  </si>
  <si>
    <t xml:space="preserve">2271302500002656</t>
  </si>
  <si>
    <t xml:space="preserve">32285000172584</t>
  </si>
  <si>
    <t xml:space="preserve">893328590</t>
  </si>
  <si>
    <t xml:space="preserve">B945.D43 R4 1957</t>
  </si>
  <si>
    <t xml:space="preserve">0                      B  0945000D  43                 R  4           1957</t>
  </si>
  <si>
    <t xml:space="preserve">Reconstruction in philosophy / enl. ed. with a new introd. by the author.</t>
  </si>
  <si>
    <t xml:space="preserve">Boston : Beacon Press, [1957, c1948]</t>
  </si>
  <si>
    <t xml:space="preserve">[1st Beacon paperback ed.]</t>
  </si>
  <si>
    <t xml:space="preserve">Beacon paperback no. 48</t>
  </si>
  <si>
    <t xml:space="preserve">2010-09-01</t>
  </si>
  <si>
    <t xml:space="preserve">463343:eng</t>
  </si>
  <si>
    <t xml:space="preserve">265485</t>
  </si>
  <si>
    <t xml:space="preserve">991002095569702656</t>
  </si>
  <si>
    <t xml:space="preserve">2267674220002656</t>
  </si>
  <si>
    <t xml:space="preserve">32285000172600</t>
  </si>
  <si>
    <t xml:space="preserve">893420942</t>
  </si>
  <si>
    <t xml:space="preserve">B945.D44 B55</t>
  </si>
  <si>
    <t xml:space="preserve">0                      B  0945000D  44                 B  55</t>
  </si>
  <si>
    <t xml:space="preserve">John Dewey : his thought and influence / with a foreword by John S. Brubacher.</t>
  </si>
  <si>
    <t xml:space="preserve">Blewett, John, editor.</t>
  </si>
  <si>
    <t xml:space="preserve">New York : Fordham University Press, [1960]</t>
  </si>
  <si>
    <t xml:space="preserve">The Orestes Brownson series on contemporary thought and affairs, no. 2</t>
  </si>
  <si>
    <t xml:space="preserve">2000-12-20</t>
  </si>
  <si>
    <t xml:space="preserve">500602:eng</t>
  </si>
  <si>
    <t xml:space="preserve">372106</t>
  </si>
  <si>
    <t xml:space="preserve">991002563129702656</t>
  </si>
  <si>
    <t xml:space="preserve">2261677020002656</t>
  </si>
  <si>
    <t xml:space="preserve">32285000173285</t>
  </si>
  <si>
    <t xml:space="preserve">893427726</t>
  </si>
  <si>
    <t xml:space="preserve">B945.D44 K47</t>
  </si>
  <si>
    <t xml:space="preserve">0                      B  0945000D  44                 K  47</t>
  </si>
  <si>
    <t xml:space="preserve">The phenomenological sense of John Dewey : habit and meaning / by Victor Kestenbaum.</t>
  </si>
  <si>
    <t xml:space="preserve">Kestenbaum, Victor.</t>
  </si>
  <si>
    <t xml:space="preserve">2001-11-02</t>
  </si>
  <si>
    <t xml:space="preserve">309239816:eng</t>
  </si>
  <si>
    <t xml:space="preserve">2425364</t>
  </si>
  <si>
    <t xml:space="preserve">991004120849702656</t>
  </si>
  <si>
    <t xml:space="preserve">2264442770002656</t>
  </si>
  <si>
    <t xml:space="preserve">9780391006683</t>
  </si>
  <si>
    <t xml:space="preserve">32285000173384</t>
  </si>
  <si>
    <t xml:space="preserve">893247176</t>
  </si>
  <si>
    <t xml:space="preserve">B945.D44 N47 1995</t>
  </si>
  <si>
    <t xml:space="preserve">0                      B  0945000D  44                 N  47          1995</t>
  </si>
  <si>
    <t xml:space="preserve">The new scholarship on Dewey / edited by Jim Garrison.</t>
  </si>
  <si>
    <t xml:space="preserve">Dordrecht ; Boston : Kluwer Academic, c1995.</t>
  </si>
  <si>
    <t xml:space="preserve">1996-05-28</t>
  </si>
  <si>
    <t xml:space="preserve">8960566867:eng</t>
  </si>
  <si>
    <t xml:space="preserve">32200887</t>
  </si>
  <si>
    <t xml:space="preserve">991002472489702656</t>
  </si>
  <si>
    <t xml:space="preserve">2272244150002656</t>
  </si>
  <si>
    <t xml:space="preserve">9780792334460</t>
  </si>
  <si>
    <t xml:space="preserve">32285002178423</t>
  </si>
  <si>
    <t xml:space="preserve">893873565</t>
  </si>
  <si>
    <t xml:space="preserve">B945.D44 R6 1963</t>
  </si>
  <si>
    <t xml:space="preserve">0                      B  0945000D  44                 R  6           1963</t>
  </si>
  <si>
    <t xml:space="preserve">John Dewey and self-realization.</t>
  </si>
  <si>
    <t xml:space="preserve">Roth, Robert J.</t>
  </si>
  <si>
    <t xml:space="preserve">Englewood Cliffs, N.J. : Prentice-Hall, [1963,c1962]</t>
  </si>
  <si>
    <t xml:space="preserve">2009-10-26</t>
  </si>
  <si>
    <t xml:space="preserve">2216289:eng</t>
  </si>
  <si>
    <t xml:space="preserve">1330882</t>
  </si>
  <si>
    <t xml:space="preserve">991003697559702656</t>
  </si>
  <si>
    <t xml:space="preserve">2260975120002656</t>
  </si>
  <si>
    <t xml:space="preserve">32285000173467</t>
  </si>
  <si>
    <t xml:space="preserve">893699298</t>
  </si>
  <si>
    <t xml:space="preserve">B945.H2843 P7</t>
  </si>
  <si>
    <t xml:space="preserve">0                      B  0945000H  2843               P  7</t>
  </si>
  <si>
    <t xml:space="preserve">Proprieties and vagaries : a philosophical thesis from science, horse racing, sexual customs, religion, and politics.</t>
  </si>
  <si>
    <t xml:space="preserve">Hammond, Albert L. (Albert Lanphier), 1892-1970.</t>
  </si>
  <si>
    <t xml:space="preserve">Baltimore : Johns Hopkins Press [1961]</t>
  </si>
  <si>
    <t xml:space="preserve">1511477:eng</t>
  </si>
  <si>
    <t xml:space="preserve">299961</t>
  </si>
  <si>
    <t xml:space="preserve">991002252799702656</t>
  </si>
  <si>
    <t xml:space="preserve">2264281910002656</t>
  </si>
  <si>
    <t xml:space="preserve">32285000173590</t>
  </si>
  <si>
    <t xml:space="preserve">893510507</t>
  </si>
  <si>
    <t xml:space="preserve">B945.H353 R4</t>
  </si>
  <si>
    <t xml:space="preserve">0                      B  0945000H  353                R  4</t>
  </si>
  <si>
    <t xml:space="preserve">Reality as social process : studies in metaphysics and religion / foreword by William Ernest Hocking.</t>
  </si>
  <si>
    <t xml:space="preserve">Glencoe, Ill. : Free Press, [1953]</t>
  </si>
  <si>
    <t xml:space="preserve">The Phoenix series, 2 [i.e. 3]</t>
  </si>
  <si>
    <t xml:space="preserve">2002-11-22</t>
  </si>
  <si>
    <t xml:space="preserve">1175507:eng</t>
  </si>
  <si>
    <t xml:space="preserve">9291406</t>
  </si>
  <si>
    <t xml:space="preserve">991000166979702656</t>
  </si>
  <si>
    <t xml:space="preserve">2263586500002656</t>
  </si>
  <si>
    <t xml:space="preserve">32285000173616</t>
  </si>
  <si>
    <t xml:space="preserve">893261382</t>
  </si>
  <si>
    <t xml:space="preserve">B945.H354 P4</t>
  </si>
  <si>
    <t xml:space="preserve">0                      B  0945000H  354                P  4</t>
  </si>
  <si>
    <t xml:space="preserve">Hartshorne and neoclassical metaphysics : an interpretation / [by] Eugene H. Peters.</t>
  </si>
  <si>
    <t xml:space="preserve">Peters, Eugene H. (Eugene Herbert), 1929-1983.</t>
  </si>
  <si>
    <t xml:space="preserve">2001-02-05</t>
  </si>
  <si>
    <t xml:space="preserve">139181834:eng</t>
  </si>
  <si>
    <t xml:space="preserve">100701</t>
  </si>
  <si>
    <t xml:space="preserve">991000612279702656</t>
  </si>
  <si>
    <t xml:space="preserve">2258371360002656</t>
  </si>
  <si>
    <t xml:space="preserve">9780803207660</t>
  </si>
  <si>
    <t xml:space="preserve">32285000173640</t>
  </si>
  <si>
    <t xml:space="preserve">893778075</t>
  </si>
  <si>
    <t xml:space="preserve">B945.J21 R6 1969</t>
  </si>
  <si>
    <t xml:space="preserve">0                      B  0945000J  21                 R  6           1969</t>
  </si>
  <si>
    <t xml:space="preserve">The moral philosophy of William James / edited and with an introd. by John K. Roth.</t>
  </si>
  <si>
    <t xml:space="preserve">James, William, 1842-1910.</t>
  </si>
  <si>
    <t xml:space="preserve">New York : Crowell, [1969]</t>
  </si>
  <si>
    <t xml:space="preserve">1165653:eng</t>
  </si>
  <si>
    <t xml:space="preserve">26171</t>
  </si>
  <si>
    <t xml:space="preserve">991000064549702656</t>
  </si>
  <si>
    <t xml:space="preserve">2265640400002656</t>
  </si>
  <si>
    <t xml:space="preserve">32285000173749</t>
  </si>
  <si>
    <t xml:space="preserve">893595237</t>
  </si>
  <si>
    <t xml:space="preserve">B945.J24 M34</t>
  </si>
  <si>
    <t xml:space="preserve">0                      B  0945000J  24                 M  34</t>
  </si>
  <si>
    <t xml:space="preserve">The metaphysics of William James and John Dewey : process and structure in philosophy and religion.</t>
  </si>
  <si>
    <t xml:space="preserve">Martland, Thomas R.</t>
  </si>
  <si>
    <t xml:space="preserve">New York : Philosophical Library, [1963]</t>
  </si>
  <si>
    <t xml:space="preserve">1649478:eng</t>
  </si>
  <si>
    <t xml:space="preserve">775180</t>
  </si>
  <si>
    <t xml:space="preserve">991003250079702656</t>
  </si>
  <si>
    <t xml:space="preserve">2266675010002656</t>
  </si>
  <si>
    <t xml:space="preserve">32285000173863</t>
  </si>
  <si>
    <t xml:space="preserve">893711192</t>
  </si>
  <si>
    <t xml:space="preserve">B945.J24 P38</t>
  </si>
  <si>
    <t xml:space="preserve">0                      B  0945000J  24                 P  38</t>
  </si>
  <si>
    <t xml:space="preserve">In the spirit of William James / by Ralph Barton Perry ... Published for Indiana University.</t>
  </si>
  <si>
    <t xml:space="preserve">New Haven : Yale University Press ; London : H. Milford, Oxford University Press, 1938.</t>
  </si>
  <si>
    <t xml:space="preserve">Powell lectures on philosophy at Indiana University, 2d ser.</t>
  </si>
  <si>
    <t xml:space="preserve">1997-11-07</t>
  </si>
  <si>
    <t xml:space="preserve">445315:eng</t>
  </si>
  <si>
    <t xml:space="preserve">927223</t>
  </si>
  <si>
    <t xml:space="preserve">991003389669702656</t>
  </si>
  <si>
    <t xml:space="preserve">2266587840002656</t>
  </si>
  <si>
    <t xml:space="preserve">32285000173897</t>
  </si>
  <si>
    <t xml:space="preserve">893324043</t>
  </si>
  <si>
    <t xml:space="preserve">B945.J24 P46</t>
  </si>
  <si>
    <t xml:space="preserve">0                      B  0945000J  24                 P  46</t>
  </si>
  <si>
    <t xml:space="preserve">Annotated bibliography of the writings of William James / by Ralph Barton Perry.</t>
  </si>
  <si>
    <t xml:space="preserve">Dubuque : Wm. C. Brown Reprint Library, [19--] [c1920]</t>
  </si>
  <si>
    <t xml:space="preserve">2005-02-11</t>
  </si>
  <si>
    <t xml:space="preserve">1565412:eng</t>
  </si>
  <si>
    <t xml:space="preserve">3585050</t>
  </si>
  <si>
    <t xml:space="preserve">991004468699702656</t>
  </si>
  <si>
    <t xml:space="preserve">2266904030002656</t>
  </si>
  <si>
    <t xml:space="preserve">32285000173939</t>
  </si>
  <si>
    <t xml:space="preserve">893436319</t>
  </si>
  <si>
    <t xml:space="preserve">B945.J24 S57</t>
  </si>
  <si>
    <t xml:space="preserve">0                      B  0945000J  24                 S  57</t>
  </si>
  <si>
    <t xml:space="preserve">William James : a reference guide / Ignas K. Skrupskelis.</t>
  </si>
  <si>
    <t xml:space="preserve">Skrupskelis, Ignas K., 1938-</t>
  </si>
  <si>
    <t xml:space="preserve">Boston : G. K. Hall, c1977.</t>
  </si>
  <si>
    <t xml:space="preserve">Reference guides in literature ; no. 17</t>
  </si>
  <si>
    <t xml:space="preserve">1908997709:eng</t>
  </si>
  <si>
    <t xml:space="preserve">2346194</t>
  </si>
  <si>
    <t xml:space="preserve">991004092299702656</t>
  </si>
  <si>
    <t xml:space="preserve">2260880400002656</t>
  </si>
  <si>
    <t xml:space="preserve">9780816178056</t>
  </si>
  <si>
    <t xml:space="preserve">32285000173962</t>
  </si>
  <si>
    <t xml:space="preserve">893605611</t>
  </si>
  <si>
    <t xml:space="preserve">B945.K6 H3</t>
  </si>
  <si>
    <t xml:space="preserve">0                      B  0945000K  6                  H  3</t>
  </si>
  <si>
    <t xml:space="preserve">Habits and virtues / [by] George P. Klubertanz.</t>
  </si>
  <si>
    <t xml:space="preserve">New York : Appleton-Century-Crofts, [1965]</t>
  </si>
  <si>
    <t xml:space="preserve">803687472:eng</t>
  </si>
  <si>
    <t xml:space="preserve">1453289</t>
  </si>
  <si>
    <t xml:space="preserve">991003763039702656</t>
  </si>
  <si>
    <t xml:space="preserve">2257373640002656</t>
  </si>
  <si>
    <t xml:space="preserve">32285000173996</t>
  </si>
  <si>
    <t xml:space="preserve">893342982</t>
  </si>
  <si>
    <t xml:space="preserve">32285000174002</t>
  </si>
  <si>
    <t xml:space="preserve">893342981</t>
  </si>
  <si>
    <t xml:space="preserve">B945.L454 P5</t>
  </si>
  <si>
    <t xml:space="preserve">0                      B  0945000L  454                P  5</t>
  </si>
  <si>
    <t xml:space="preserve">The Philosophy of C. I. Lewis / edited by Paul Arthur Schilpp.</t>
  </si>
  <si>
    <t xml:space="preserve">La Salle, Ill. : Open Court, [1968]</t>
  </si>
  <si>
    <t xml:space="preserve">The Library of living philosophers, v. 13</t>
  </si>
  <si>
    <t xml:space="preserve">2006-04-23</t>
  </si>
  <si>
    <t xml:space="preserve">309316407:eng</t>
  </si>
  <si>
    <t xml:space="preserve">158</t>
  </si>
  <si>
    <t xml:space="preserve">991005431019702656</t>
  </si>
  <si>
    <t xml:space="preserve">2272763340002656</t>
  </si>
  <si>
    <t xml:space="preserve">32285000174051</t>
  </si>
  <si>
    <t xml:space="preserve">893345188</t>
  </si>
  <si>
    <t xml:space="preserve">B945.L583 E7</t>
  </si>
  <si>
    <t xml:space="preserve">0                      B  0945000L  583                E  7</t>
  </si>
  <si>
    <t xml:space="preserve">Essays in the history of ideas.</t>
  </si>
  <si>
    <t xml:space="preserve">Baltimore : Johns Hopkins Press, 1948.</t>
  </si>
  <si>
    <t xml:space="preserve">1992-02-26</t>
  </si>
  <si>
    <t xml:space="preserve">1400214:eng</t>
  </si>
  <si>
    <t xml:space="preserve">271427</t>
  </si>
  <si>
    <t xml:space="preserve">991002145279702656</t>
  </si>
  <si>
    <t xml:space="preserve">2261984980002656</t>
  </si>
  <si>
    <t xml:space="preserve">32285000174101</t>
  </si>
  <si>
    <t xml:space="preserve">893250866</t>
  </si>
  <si>
    <t xml:space="preserve">B945.L583 R4</t>
  </si>
  <si>
    <t xml:space="preserve">0                      B  0945000L  583                R  4</t>
  </si>
  <si>
    <t xml:space="preserve">The reason, the understanding, and time.</t>
  </si>
  <si>
    <t xml:space="preserve">1447854:eng</t>
  </si>
  <si>
    <t xml:space="preserve">371257</t>
  </si>
  <si>
    <t xml:space="preserve">991002557319702656</t>
  </si>
  <si>
    <t xml:space="preserve">2260081700002656</t>
  </si>
  <si>
    <t xml:space="preserve">32285000174119</t>
  </si>
  <si>
    <t xml:space="preserve">893323081</t>
  </si>
  <si>
    <t xml:space="preserve">B945.L584 W54</t>
  </si>
  <si>
    <t xml:space="preserve">0                      B  0945000L  584                W  54</t>
  </si>
  <si>
    <t xml:space="preserve">Arthur O. Lovejoy and the quest for intelligibility / by Daniel J. Wilson.</t>
  </si>
  <si>
    <t xml:space="preserve">Wilson, Daniel J., 1949-</t>
  </si>
  <si>
    <t xml:space="preserve">Chapel Hill : University of North Carolina Press, 1980.</t>
  </si>
  <si>
    <t xml:space="preserve">146685167:eng</t>
  </si>
  <si>
    <t xml:space="preserve">5751405</t>
  </si>
  <si>
    <t xml:space="preserve">991004870679702656</t>
  </si>
  <si>
    <t xml:space="preserve">2270189570002656</t>
  </si>
  <si>
    <t xml:space="preserve">9780807814314</t>
  </si>
  <si>
    <t xml:space="preserve">32285000169440</t>
  </si>
  <si>
    <t xml:space="preserve">893520139</t>
  </si>
  <si>
    <t xml:space="preserve">B945.M287 T5</t>
  </si>
  <si>
    <t xml:space="preserve">0                      B  0945000M  287                T  5</t>
  </si>
  <si>
    <t xml:space="preserve">Thought, action, and passion.</t>
  </si>
  <si>
    <t xml:space="preserve">McKeon, Richard (Richard Peter), 1900-1985.</t>
  </si>
  <si>
    <t xml:space="preserve">355754872:eng</t>
  </si>
  <si>
    <t xml:space="preserve">282584</t>
  </si>
  <si>
    <t xml:space="preserve">991002194729702656</t>
  </si>
  <si>
    <t xml:space="preserve">2266321930002656</t>
  </si>
  <si>
    <t xml:space="preserve">32285000232917</t>
  </si>
  <si>
    <t xml:space="preserve">893529657</t>
  </si>
  <si>
    <t xml:space="preserve">B945.M2982 E5</t>
  </si>
  <si>
    <t xml:space="preserve">0                      B  0945000M  2982               E  5</t>
  </si>
  <si>
    <t xml:space="preserve">Negations : essays in critical theory / with translations from the German by Jeremy J. Shapiro.</t>
  </si>
  <si>
    <t xml:space="preserve">Boston : Beacon Press, [1968]</t>
  </si>
  <si>
    <t xml:space="preserve">2005-09-14</t>
  </si>
  <si>
    <t xml:space="preserve">49292438:eng</t>
  </si>
  <si>
    <t xml:space="preserve">371254</t>
  </si>
  <si>
    <t xml:space="preserve">991002557079702656</t>
  </si>
  <si>
    <t xml:space="preserve">2260081080002656</t>
  </si>
  <si>
    <t xml:space="preserve">32285000174150</t>
  </si>
  <si>
    <t xml:space="preserve">893323071</t>
  </si>
  <si>
    <t xml:space="preserve">B945.M2984 B62</t>
  </si>
  <si>
    <t xml:space="preserve">0                      B  0945000M  2984               B  62</t>
  </si>
  <si>
    <t xml:space="preserve">The philosophy of Herbert Marcuse / Harold Bleich. --</t>
  </si>
  <si>
    <t xml:space="preserve">Bleich, Harold.</t>
  </si>
  <si>
    <t xml:space="preserve">Washington : University Press of America, c1977.</t>
  </si>
  <si>
    <t xml:space="preserve">12393893:eng</t>
  </si>
  <si>
    <t xml:space="preserve">3729294</t>
  </si>
  <si>
    <t xml:space="preserve">991004502849702656</t>
  </si>
  <si>
    <t xml:space="preserve">2266180960002656</t>
  </si>
  <si>
    <t xml:space="preserve">9780819102294</t>
  </si>
  <si>
    <t xml:space="preserve">32285000169457</t>
  </si>
  <si>
    <t xml:space="preserve">893700327</t>
  </si>
  <si>
    <t xml:space="preserve">B945.M2984 C7</t>
  </si>
  <si>
    <t xml:space="preserve">0                      B  0945000M  2984               C  7</t>
  </si>
  <si>
    <t xml:space="preserve">Critical interruptions : new left perspectives on Herbert Marcuse / edited by Paul Breines.</t>
  </si>
  <si>
    <t xml:space="preserve">[New York] : Herder and Herder, [1970]</t>
  </si>
  <si>
    <t xml:space="preserve">53932387:eng</t>
  </si>
  <si>
    <t xml:space="preserve">80647</t>
  </si>
  <si>
    <t xml:space="preserve">991000492209702656</t>
  </si>
  <si>
    <t xml:space="preserve">2269908710002656</t>
  </si>
  <si>
    <t xml:space="preserve">32285000174176</t>
  </si>
  <si>
    <t xml:space="preserve">893865397</t>
  </si>
  <si>
    <t xml:space="preserve">B945.M2984 M22 1970</t>
  </si>
  <si>
    <t xml:space="preserve">0                      B  0945000M  2984               M  22          1970</t>
  </si>
  <si>
    <t xml:space="preserve">Herbert Marcuse : an exposition and a polemic / [by] Alasdair MacIntyre.</t>
  </si>
  <si>
    <t xml:space="preserve">New York : Viking Press, [1970]</t>
  </si>
  <si>
    <t xml:space="preserve">Modern masters, M4</t>
  </si>
  <si>
    <t xml:space="preserve">2908425162:eng</t>
  </si>
  <si>
    <t xml:space="preserve">81719</t>
  </si>
  <si>
    <t xml:space="preserve">991000502159702656</t>
  </si>
  <si>
    <t xml:space="preserve">2272091430002656</t>
  </si>
  <si>
    <t xml:space="preserve">9780670019069</t>
  </si>
  <si>
    <t xml:space="preserve">32285000174184</t>
  </si>
  <si>
    <t xml:space="preserve">893419511</t>
  </si>
  <si>
    <t xml:space="preserve">B945.M464 C76 1987</t>
  </si>
  <si>
    <t xml:space="preserve">0                      B  0945000M  464                C  76          1987</t>
  </si>
  <si>
    <t xml:space="preserve">The philosophical anthropology of George Herbert Mead / George Cronk.</t>
  </si>
  <si>
    <t xml:space="preserve">Cronk, George, 1938-</t>
  </si>
  <si>
    <t xml:space="preserve">American university studies. Series V, Philosophy ; vol. 27</t>
  </si>
  <si>
    <t xml:space="preserve">10248256:eng</t>
  </si>
  <si>
    <t xml:space="preserve">15223532</t>
  </si>
  <si>
    <t xml:space="preserve">991001004389702656</t>
  </si>
  <si>
    <t xml:space="preserve">2268526670002656</t>
  </si>
  <si>
    <t xml:space="preserve">9780820404042</t>
  </si>
  <si>
    <t xml:space="preserve">32285000175884</t>
  </si>
  <si>
    <t xml:space="preserve">893772214</t>
  </si>
  <si>
    <t xml:space="preserve">B945.M464 J613 1985</t>
  </si>
  <si>
    <t xml:space="preserve">0                      B  0945000M  464                J  613         1985</t>
  </si>
  <si>
    <t xml:space="preserve">G.H. Mead, a contemporary re-examination of his thought / Hans Joas ; translated by Raymond Meyer.</t>
  </si>
  <si>
    <t xml:space="preserve">Joas, Hans, 1948-</t>
  </si>
  <si>
    <t xml:space="preserve">Cambridge, Mass. : MIT Press, c1985.</t>
  </si>
  <si>
    <t xml:space="preserve">3901022904:eng</t>
  </si>
  <si>
    <t xml:space="preserve">11785560</t>
  </si>
  <si>
    <t xml:space="preserve">991000591929702656</t>
  </si>
  <si>
    <t xml:space="preserve">2255688520002656</t>
  </si>
  <si>
    <t xml:space="preserve">9780262100335</t>
  </si>
  <si>
    <t xml:space="preserve">32285000175876</t>
  </si>
  <si>
    <t xml:space="preserve">893521817</t>
  </si>
  <si>
    <t xml:space="preserve">B945.M464 P54 1973</t>
  </si>
  <si>
    <t xml:space="preserve">0                      B  0945000M  464                P  54          1973</t>
  </si>
  <si>
    <t xml:space="preserve">The Philosophy of George Herbert Mead / Walter Robert Corti, editor.</t>
  </si>
  <si>
    <t xml:space="preserve">[Amriswil, Switzerland] : Amriswiler Bücherei, 1973.</t>
  </si>
  <si>
    <t xml:space="preserve">2007-04-24</t>
  </si>
  <si>
    <t xml:space="preserve">2090093:eng</t>
  </si>
  <si>
    <t xml:space="preserve">1205447</t>
  </si>
  <si>
    <t xml:space="preserve">991003618629702656</t>
  </si>
  <si>
    <t xml:space="preserve">2272197320002656</t>
  </si>
  <si>
    <t xml:space="preserve">32285000175868</t>
  </si>
  <si>
    <t xml:space="preserve">893592693</t>
  </si>
  <si>
    <t xml:space="preserve">B945.O73 T5</t>
  </si>
  <si>
    <t xml:space="preserve">0                      B  0945000O  73                 T  5</t>
  </si>
  <si>
    <t xml:space="preserve">Things and ideals : essays in functional philosophy / by M.C. Otto.</t>
  </si>
  <si>
    <t xml:space="preserve">Otto, Max Carl, 1876-1968.</t>
  </si>
  <si>
    <t xml:space="preserve">New York : H. Holt, [c1924]</t>
  </si>
  <si>
    <t xml:space="preserve">1995-09-10</t>
  </si>
  <si>
    <t xml:space="preserve">890975540:eng</t>
  </si>
  <si>
    <t xml:space="preserve">1159552</t>
  </si>
  <si>
    <t xml:space="preserve">991003578989702656</t>
  </si>
  <si>
    <t xml:space="preserve">2262327740002656</t>
  </si>
  <si>
    <t xml:space="preserve">32285000174424</t>
  </si>
  <si>
    <t xml:space="preserve">893234306</t>
  </si>
  <si>
    <t xml:space="preserve">B945.P44 F4 1970</t>
  </si>
  <si>
    <t xml:space="preserve">0                      B  0945000P  44                 F  4           1970</t>
  </si>
  <si>
    <t xml:space="preserve">An introduction to the philosophy of Charles S. Peirce : interpreted as a system / by James K. Feibleman.</t>
  </si>
  <si>
    <t xml:space="preserve">Cambridge, Mass. : M.I.T. Press, [1970, c1946]</t>
  </si>
  <si>
    <t xml:space="preserve">1997-04-01</t>
  </si>
  <si>
    <t xml:space="preserve">4020114626:eng</t>
  </si>
  <si>
    <t xml:space="preserve">66289</t>
  </si>
  <si>
    <t xml:space="preserve">991000209929702656</t>
  </si>
  <si>
    <t xml:space="preserve">2258828660002656</t>
  </si>
  <si>
    <t xml:space="preserve">9780262060356</t>
  </si>
  <si>
    <t xml:space="preserve">32285000174689</t>
  </si>
  <si>
    <t xml:space="preserve">893320908</t>
  </si>
  <si>
    <t xml:space="preserve">B945.P44 G3</t>
  </si>
  <si>
    <t xml:space="preserve">0                      B  0945000P  44                 G  3</t>
  </si>
  <si>
    <t xml:space="preserve">Peirce and pragmatism.</t>
  </si>
  <si>
    <t xml:space="preserve">Gallie, W. B., 1912-1998.</t>
  </si>
  <si>
    <t xml:space="preserve">Harmondsworth, Middlesex : Penguin Books, [1952]</t>
  </si>
  <si>
    <t xml:space="preserve">Pelican books ; A254</t>
  </si>
  <si>
    <t xml:space="preserve">149302269:eng</t>
  </si>
  <si>
    <t xml:space="preserve">40247131</t>
  </si>
  <si>
    <t xml:space="preserve">991003698059702656</t>
  </si>
  <si>
    <t xml:space="preserve">2259899090002656</t>
  </si>
  <si>
    <t xml:space="preserve">32285000174721</t>
  </si>
  <si>
    <t xml:space="preserve">893699299</t>
  </si>
  <si>
    <t xml:space="preserve">B945.P44 H66 1985</t>
  </si>
  <si>
    <t xml:space="preserve">0                      B  0945000P  44                 H  66          1985</t>
  </si>
  <si>
    <t xml:space="preserve">Peirce / Christopher Hookway.</t>
  </si>
  <si>
    <t xml:space="preserve">Hookway, Christopher.</t>
  </si>
  <si>
    <t xml:space="preserve">1996-12-07</t>
  </si>
  <si>
    <t xml:space="preserve">3066563:eng</t>
  </si>
  <si>
    <t xml:space="preserve">10913078</t>
  </si>
  <si>
    <t xml:space="preserve">991000454309702656</t>
  </si>
  <si>
    <t xml:space="preserve">2259064080002656</t>
  </si>
  <si>
    <t xml:space="preserve">9780710097156</t>
  </si>
  <si>
    <t xml:space="preserve">32285000174747</t>
  </si>
  <si>
    <t xml:space="preserve">893589454</t>
  </si>
  <si>
    <t xml:space="preserve">B945.P44 R6 1973</t>
  </si>
  <si>
    <t xml:space="preserve">0                      B  0945000P  44                 R  6           1973</t>
  </si>
  <si>
    <t xml:space="preserve">The existential graphs of Charles S. Peirce / by Don D. Roberts.</t>
  </si>
  <si>
    <t xml:space="preserve">Roberts, Don D.</t>
  </si>
  <si>
    <t xml:space="preserve">The Hague : Mouton, 1973.</t>
  </si>
  <si>
    <t xml:space="preserve">Approaches to semiotics ; 27</t>
  </si>
  <si>
    <t xml:space="preserve">2008-10-08</t>
  </si>
  <si>
    <t xml:space="preserve">1696119:eng</t>
  </si>
  <si>
    <t xml:space="preserve">821124</t>
  </si>
  <si>
    <t xml:space="preserve">991005271299702656</t>
  </si>
  <si>
    <t xml:space="preserve">2258491520002656</t>
  </si>
  <si>
    <t xml:space="preserve">32285005462006</t>
  </si>
  <si>
    <t xml:space="preserve">893607114</t>
  </si>
  <si>
    <t xml:space="preserve">B945.P44 R67</t>
  </si>
  <si>
    <t xml:space="preserve">0                      B  0945000P  44                 R  67</t>
  </si>
  <si>
    <t xml:space="preserve">The phenomenology of Charles S. Peirce : from the doctrine of categories to phaneroscopy / by William L. Rosensohn.</t>
  </si>
  <si>
    <t xml:space="preserve">Rosensohn, William L.</t>
  </si>
  <si>
    <t xml:space="preserve">Amsterdam : Grüner, 1974.</t>
  </si>
  <si>
    <t xml:space="preserve">Philosophical currents ; v. 10</t>
  </si>
  <si>
    <t xml:space="preserve">806762745:eng</t>
  </si>
  <si>
    <t xml:space="preserve">1272449</t>
  </si>
  <si>
    <t xml:space="preserve">991003661449702656</t>
  </si>
  <si>
    <t xml:space="preserve">2266493830002656</t>
  </si>
  <si>
    <t xml:space="preserve">9789060320242</t>
  </si>
  <si>
    <t xml:space="preserve">32285000174804</t>
  </si>
  <si>
    <t xml:space="preserve">893605052</t>
  </si>
  <si>
    <t xml:space="preserve">B945.P44 S5</t>
  </si>
  <si>
    <t xml:space="preserve">0                      B  0945000P  44                 S  5</t>
  </si>
  <si>
    <t xml:space="preserve">The road of inquiry, Charles Peirce's pragmatic realism / Peter Skagestad.</t>
  </si>
  <si>
    <t xml:space="preserve">Skagestad, Peter, 1947-</t>
  </si>
  <si>
    <t xml:space="preserve">New York : Columbia University Press, 1981.</t>
  </si>
  <si>
    <t xml:space="preserve">420343:eng</t>
  </si>
  <si>
    <t xml:space="preserve">6889515</t>
  </si>
  <si>
    <t xml:space="preserve">991005053649702656</t>
  </si>
  <si>
    <t xml:space="preserve">2269425460002656</t>
  </si>
  <si>
    <t xml:space="preserve">9780231050043</t>
  </si>
  <si>
    <t xml:space="preserve">32285000174812</t>
  </si>
  <si>
    <t xml:space="preserve">893713374</t>
  </si>
  <si>
    <t xml:space="preserve">B945.R4 D3</t>
  </si>
  <si>
    <t xml:space="preserve">0                      B  0945000R  4                  D  3</t>
  </si>
  <si>
    <t xml:space="preserve">Wisdom in depth : essays in honor of Henri Renard, S. J. / edited by Vincent F. Daues, Maurice R. Holloway [and] Leo Sweeney. Foreword by John Wright.</t>
  </si>
  <si>
    <t xml:space="preserve">Daues, Vincent F., editor.</t>
  </si>
  <si>
    <t xml:space="preserve">Milwaukee : Bruce Pub. Co., [1966]</t>
  </si>
  <si>
    <t xml:space="preserve">134398057:eng</t>
  </si>
  <si>
    <t xml:space="preserve">3776816</t>
  </si>
  <si>
    <t xml:space="preserve">991004513999702656</t>
  </si>
  <si>
    <t xml:space="preserve">2255794880002656</t>
  </si>
  <si>
    <t xml:space="preserve">32285000175009</t>
  </si>
  <si>
    <t xml:space="preserve">893411638</t>
  </si>
  <si>
    <t xml:space="preserve">B945.R64 C6 1968</t>
  </si>
  <si>
    <t xml:space="preserve">0                      B  0945000R  64                 C  6           1968</t>
  </si>
  <si>
    <t xml:space="preserve">Royce on the human self.</t>
  </si>
  <si>
    <t xml:space="preserve">Cotton, J. Harry (James Harry), 1898-1982.</t>
  </si>
  <si>
    <t xml:space="preserve">New York : Greenwood Press, 1968 [c1954]</t>
  </si>
  <si>
    <t xml:space="preserve">1996-10-20</t>
  </si>
  <si>
    <t xml:space="preserve">1198284:eng</t>
  </si>
  <si>
    <t xml:space="preserve">35887</t>
  </si>
  <si>
    <t xml:space="preserve">991000089189702656</t>
  </si>
  <si>
    <t xml:space="preserve">2260291760002656</t>
  </si>
  <si>
    <t xml:space="preserve">32285000185180</t>
  </si>
  <si>
    <t xml:space="preserve">893425415</t>
  </si>
  <si>
    <t xml:space="preserve">B945.R64 F8</t>
  </si>
  <si>
    <t xml:space="preserve">0                      B  0945000R  64                 F  8</t>
  </si>
  <si>
    <t xml:space="preserve">The moral philosophy of Josiah Royce / [by] Peter Fuss.</t>
  </si>
  <si>
    <t xml:space="preserve">Fuss, Peter.</t>
  </si>
  <si>
    <t xml:space="preserve">Cambridge, Mass. : Harvard University Press, 1965.</t>
  </si>
  <si>
    <t xml:space="preserve">1880723:eng</t>
  </si>
  <si>
    <t xml:space="preserve">929925</t>
  </si>
  <si>
    <t xml:space="preserve">991003391669702656</t>
  </si>
  <si>
    <t xml:space="preserve">2267962380002656</t>
  </si>
  <si>
    <t xml:space="preserve">32285000185198</t>
  </si>
  <si>
    <t xml:space="preserve">893422532</t>
  </si>
  <si>
    <t xml:space="preserve">B945.R64 K84</t>
  </si>
  <si>
    <t xml:space="preserve">0                      B  0945000R  64                 K  84</t>
  </si>
  <si>
    <t xml:space="preserve">Josiah Royce : an intellectual biography.</t>
  </si>
  <si>
    <t xml:space="preserve">Kuklick, Bruce, 1941-</t>
  </si>
  <si>
    <t xml:space="preserve">Indianapolis : Bobbs-Merrill, [1972]</t>
  </si>
  <si>
    <t xml:space="preserve">1516703:eng</t>
  </si>
  <si>
    <t xml:space="preserve">388362</t>
  </si>
  <si>
    <t xml:space="preserve">991002654809702656</t>
  </si>
  <si>
    <t xml:space="preserve">2255185980002656</t>
  </si>
  <si>
    <t xml:space="preserve">32285000185206</t>
  </si>
  <si>
    <t xml:space="preserve">893329373</t>
  </si>
  <si>
    <t xml:space="preserve">B945.R64 M33</t>
  </si>
  <si>
    <t xml:space="preserve">0                      B  0945000R  64                 M  33</t>
  </si>
  <si>
    <t xml:space="preserve">Royce's metaphysics.</t>
  </si>
  <si>
    <t xml:space="preserve">Chicago : H. Regnery Co., 1956.</t>
  </si>
  <si>
    <t xml:space="preserve">501243:eng</t>
  </si>
  <si>
    <t xml:space="preserve">372741</t>
  </si>
  <si>
    <t xml:space="preserve">991002566629702656</t>
  </si>
  <si>
    <t xml:space="preserve">2261527470002656</t>
  </si>
  <si>
    <t xml:space="preserve">32285000185222</t>
  </si>
  <si>
    <t xml:space="preserve">893227009</t>
  </si>
  <si>
    <t xml:space="preserve">B945.R64 S5 1969</t>
  </si>
  <si>
    <t xml:space="preserve">0                      B  0945000R  64                 S  5           1969</t>
  </si>
  <si>
    <t xml:space="preserve">Royce's social infinite : the community of interpretation / by John E. Smith. With a new pref. by the author.</t>
  </si>
  <si>
    <t xml:space="preserve">[Hamden, Conn.] : Archon Books, 1969 [c1950]</t>
  </si>
  <si>
    <t xml:space="preserve">368329461:eng</t>
  </si>
  <si>
    <t xml:space="preserve">4848</t>
  </si>
  <si>
    <t xml:space="preserve">991005436829702656</t>
  </si>
  <si>
    <t xml:space="preserve">2266298620002656</t>
  </si>
  <si>
    <t xml:space="preserve">9780208007292</t>
  </si>
  <si>
    <t xml:space="preserve">32285000185255</t>
  </si>
  <si>
    <t xml:space="preserve">893620008</t>
  </si>
  <si>
    <t xml:space="preserve">B945.R64 S7</t>
  </si>
  <si>
    <t xml:space="preserve">0                      B  0945000R  64                 S  7</t>
  </si>
  <si>
    <t xml:space="preserve">Theistic faith for our time : an introduction to the process philosophies of Royce and Whitehead / George Douglas Straton.</t>
  </si>
  <si>
    <t xml:space="preserve">Straton, George Douglas, 1916-</t>
  </si>
  <si>
    <t xml:space="preserve">Washington, D.C. : University Press of America, 1979.</t>
  </si>
  <si>
    <t xml:space="preserve">889448583:eng</t>
  </si>
  <si>
    <t xml:space="preserve">5015921</t>
  </si>
  <si>
    <t xml:space="preserve">991004763479702656</t>
  </si>
  <si>
    <t xml:space="preserve">2271841220002656</t>
  </si>
  <si>
    <t xml:space="preserve">9780819106612</t>
  </si>
  <si>
    <t xml:space="preserve">32285000185263</t>
  </si>
  <si>
    <t xml:space="preserve">893235901</t>
  </si>
  <si>
    <t xml:space="preserve">B945.S424 M4</t>
  </si>
  <si>
    <t xml:space="preserve">0                      B  0945000S  424                M  4</t>
  </si>
  <si>
    <t xml:space="preserve">Realism, materialism, and the mind : the philosophy of Roy Wood Sellars / with a foreword by Roy Wood Sellars.</t>
  </si>
  <si>
    <t xml:space="preserve">Melchert, Norman.</t>
  </si>
  <si>
    <t xml:space="preserve">Springfield, Ill. : Thomas, [1968]</t>
  </si>
  <si>
    <t xml:space="preserve">American lecture series, publication no. 707. A monograph in the Bannerstone division of American lectures in philosophy</t>
  </si>
  <si>
    <t xml:space="preserve">2004-08-11</t>
  </si>
  <si>
    <t xml:space="preserve">378280163:eng</t>
  </si>
  <si>
    <t xml:space="preserve">1692836</t>
  </si>
  <si>
    <t xml:space="preserve">991003870819702656</t>
  </si>
  <si>
    <t xml:space="preserve">2256114050002656</t>
  </si>
  <si>
    <t xml:space="preserve">32285000185990</t>
  </si>
  <si>
    <t xml:space="preserve">893499809</t>
  </si>
  <si>
    <t xml:space="preserve">B945.W483 E9</t>
  </si>
  <si>
    <t xml:space="preserve">0                      B  0945000W  483                E  9</t>
  </si>
  <si>
    <t xml:space="preserve">Existence and the world of freedom.</t>
  </si>
  <si>
    <t xml:space="preserve">1996-11-26</t>
  </si>
  <si>
    <t xml:space="preserve">1446998:eng</t>
  </si>
  <si>
    <t xml:space="preserve">371046</t>
  </si>
  <si>
    <t xml:space="preserve">991002555479702656</t>
  </si>
  <si>
    <t xml:space="preserve">2260106660002656</t>
  </si>
  <si>
    <t xml:space="preserve">32285000186212</t>
  </si>
  <si>
    <t xml:space="preserve">893704212</t>
  </si>
  <si>
    <t xml:space="preserve">B99.R652 C5613 1992</t>
  </si>
  <si>
    <t xml:space="preserve">0                      B  0099000R  652                C  5613        1992</t>
  </si>
  <si>
    <t xml:space="preserve">On the heights of despair / E.M. Cioran ; translated and with an introduction by Ilinca Zarifopol-Johnston.</t>
  </si>
  <si>
    <t xml:space="preserve">Cioran, E. M. (Emile M.), 1911-1995.</t>
  </si>
  <si>
    <t xml:space="preserve">Chicago : University of Chicago Press, 1992.</t>
  </si>
  <si>
    <t xml:space="preserve">2010-11-01</t>
  </si>
  <si>
    <t xml:space="preserve">1993-01-04</t>
  </si>
  <si>
    <t xml:space="preserve">138085809:eng</t>
  </si>
  <si>
    <t xml:space="preserve">24503884</t>
  </si>
  <si>
    <t xml:space="preserve">991001940009702656</t>
  </si>
  <si>
    <t xml:space="preserve">2261539710002656</t>
  </si>
  <si>
    <t xml:space="preserve">9780226106700</t>
  </si>
  <si>
    <t xml:space="preserve">32285001403954</t>
  </si>
  <si>
    <t xml:space="preserve">893328488</t>
  </si>
  <si>
    <t xml:space="preserve">PE1074.7 .C79 2004</t>
  </si>
  <si>
    <t xml:space="preserve">The stories of English / David Crystal.</t>
  </si>
  <si>
    <t xml:space="preserve">PE1072 .B796 1992</t>
  </si>
  <si>
    <t xml:space="preserve">A mouthful of air : language, languages-- especially English / Anthony Burgess.</t>
  </si>
  <si>
    <t xml:space="preserve">PE1075 .M58 1986</t>
  </si>
  <si>
    <t xml:space="preserve">The story of English / Robert McCrum, William Cran, Robert MacNeil.</t>
  </si>
  <si>
    <t xml:space="preserve">PE131 .C3</t>
  </si>
  <si>
    <t xml:space="preserve">Old English grammar.</t>
  </si>
  <si>
    <t xml:space="preserve">PE137 .M46 2004</t>
  </si>
  <si>
    <t xml:space="preserve">The Cambridge Old English reader / Richard Marsden.</t>
  </si>
  <si>
    <t xml:space="preserve">PE1574 .F8</t>
  </si>
  <si>
    <t xml:space="preserve">Word origins and their romantic stories.</t>
  </si>
  <si>
    <t xml:space="preserve">PE1574 .L43 2005</t>
  </si>
  <si>
    <t xml:space="preserve">Word origins : -- and how we know them : etymology for everyone / Anatoly Liberman.</t>
  </si>
  <si>
    <t xml:space="preserve">PE1574 .L46 1986</t>
  </si>
  <si>
    <t xml:space="preserve">Stories behind words : the origins and histories of 285 English words / by Peter R. Limburg.</t>
  </si>
  <si>
    <t xml:space="preserve">PE1582.I55 O69 2000</t>
  </si>
  <si>
    <t xml:space="preserve">A dictionary of Anglo-Irish : words and phrases from Gaelic in the English of Ireland / Diarmaid √ì Muirithe.</t>
  </si>
  <si>
    <t xml:space="preserve">PE1585 .L4 1967</t>
  </si>
  <si>
    <t xml:space="preserve">Studies in words, by C. S. Lewis.</t>
  </si>
  <si>
    <t xml:space="preserve">PE1617.O94 W56 2003</t>
  </si>
  <si>
    <t xml:space="preserve">The meaning of everything : the story of the Oxford English dictionary / Simon Winchester.</t>
  </si>
  <si>
    <t xml:space="preserve">PE2808 .M26 2005</t>
  </si>
  <si>
    <t xml:space="preserve">Do you speak American? : a companion to the PBS television series / Robert MacNeil and William Cran.</t>
  </si>
  <si>
    <t xml:space="preserve">PE2808 .M43</t>
  </si>
  <si>
    <t xml:space="preserve">The American language : an inquiry into the development of English in the United States / the 4th ed. and the two supplements, abridged, with annotations and new material, by Raven I. McDavid, Jr. With the assistance of David W. Maurer.</t>
  </si>
  <si>
    <t xml:space="preserve">PE2808.8 .K68 2000</t>
  </si>
  <si>
    <t xml:space="preserve">American English : an introduction / Zoltan Kovecses.</t>
  </si>
  <si>
    <t xml:space="preserve">PE287.A1 O38 1994</t>
  </si>
  <si>
    <t xml:space="preserve">Old and Middle English texts with accompanying textual and linguistic apparatus / edited by William Vantuono.</t>
  </si>
  <si>
    <t xml:space="preserve">PE2970.W4 W3 1977</t>
  </si>
  <si>
    <t xml:space="preserve">A dictionary of the Old West, 1850-1900 / by Peter Watts.</t>
  </si>
  <si>
    <t xml:space="preserve">PE664.O43 D36 2003</t>
  </si>
  <si>
    <t xml:space="preserve">Words derived from Old Norse in early Middle English : studies in the vocabulary of the South-West Midland texts / by Richard Dance.</t>
  </si>
  <si>
    <t xml:space="preserve">PF3074 .K613 2006</t>
  </si>
  <si>
    <t xml:space="preserve">The language of the Third Reich : LTI-Lingua Tertii Imperii : a philologist's notebook / Victor Klemperer ; translated by Martin Brady.</t>
  </si>
  <si>
    <t xml:space="preserve">PG2111 .U453 1967</t>
  </si>
  <si>
    <t xml:space="preserve">Russian grammar / by B. O. Unbegaun.</t>
  </si>
  <si>
    <t xml:space="preserve">PG2111 .P7</t>
  </si>
  <si>
    <t xml:space="preserve">Russian grammar for class and reference use : a progressive method of learning Russian / by John Dyneley Prince.</t>
  </si>
  <si>
    <t xml:space="preserve">PG2951 .M49 1958</t>
  </si>
  <si>
    <t xml:space="preserve">A history of Russian literature, from its beginnings to 1900 / D. S. Mirsky ; edited by Francis J. Whitfield.</t>
  </si>
  <si>
    <t xml:space="preserve">PG3041 .B67 1991</t>
  </si>
  <si>
    <t xml:space="preserve">A history of Russian poetry / Evelyn Bristol.</t>
  </si>
  <si>
    <t xml:space="preserve">PG3114 .A6 1999</t>
  </si>
  <si>
    <t xml:space="preserve">An anthology of Russian folk epics / translated with an introduction and commentary by James Bailey and Tatyana Ivanova.</t>
  </si>
  <si>
    <t xml:space="preserve">PG3130 .Z4</t>
  </si>
  <si>
    <t xml:space="preserve">Medieval Russia's epics, chronicles, and tales. Edited, translated, and with an introd. by Serge A. Zenkovsky.</t>
  </si>
  <si>
    <t xml:space="preserve">PG3213 .A56 1996</t>
  </si>
  <si>
    <t xml:space="preserve">An Anthology of Russian literature from earliest writings to modern fiction : introduction to a culture / edited by Nicholas Rzhevsky.</t>
  </si>
  <si>
    <t xml:space="preserve">PG3213 .W5 1967</t>
  </si>
  <si>
    <t xml:space="preserve">Anthology of Russian literature from the earliest period to the present time.</t>
  </si>
  <si>
    <t xml:space="preserve">PG3213 .W5 1967 V2</t>
  </si>
  <si>
    <t xml:space="preserve">PG3286 .P7 1969</t>
  </si>
  <si>
    <t xml:space="preserve">From Karamzin to Bunin : an anthology of Russian short stories / edited, with a critical commentary and eleven new translations, by Carl R. Proffer.</t>
  </si>
  <si>
    <t xml:space="preserve">PG3286 .S47 1917</t>
  </si>
  <si>
    <t xml:space="preserve">Best Russian short stories.</t>
  </si>
  <si>
    <t xml:space="preserve">PG3325 .I3 1998</t>
  </si>
  <si>
    <t xml:space="preserve">Dostoevsky's The idiot : a critical companion / edited by Liza Knapp.</t>
  </si>
  <si>
    <t xml:space="preserve">PG3325 .I3313</t>
  </si>
  <si>
    <t xml:space="preserve">The notebooks for The idiot [by] Fyodor Dostoevsky. Edited and with an introd. by Edward Wasiolek. Translated by Katharine Strelsky.</t>
  </si>
  <si>
    <t xml:space="preserve">PG3325.B73 T47 2002</t>
  </si>
  <si>
    <t xml:space="preserve">A Karamazov companion : commentary on the genesis, language, and style of Dostoevsky's novel / Victor Terras.</t>
  </si>
  <si>
    <t xml:space="preserve">PG3325.B73 W3313</t>
  </si>
  <si>
    <t xml:space="preserve">The notebooks for the Brothers Karamazov [by] Fyodor Dostoevsky. Edited and translated by Edward Wasiolek.</t>
  </si>
  <si>
    <t xml:space="preserve">PG3326 .B6 1971</t>
  </si>
  <si>
    <t xml:space="preserve">The devils = (The possessed) / Fyodor Dostoyevsky ; translated with an introduction by David Magarshack.</t>
  </si>
  <si>
    <t xml:space="preserve">PG3326 .I4 1972</t>
  </si>
  <si>
    <t xml:space="preserve">The gambler, with Polina Suslova's diary / Fyodor Dostoevsky ; translated by Victor Terras ; edited by Edward Wasiolek.</t>
  </si>
  <si>
    <t xml:space="preserve">PG3326 .P7 1967</t>
  </si>
  <si>
    <t xml:space="preserve">The notebooks for Crime and punishment / [by] Fyodor Dostoevsky. Edited and translated by Edward Wasiolek.</t>
  </si>
  <si>
    <t xml:space="preserve">PG3326.A15 H6</t>
  </si>
  <si>
    <t xml:space="preserve">An honest thief, and other stories / Fyodor Dostoevsky ; translated from the Russian by Constance Garnett.</t>
  </si>
  <si>
    <t xml:space="preserve">PG3326.A15 M3 1961</t>
  </si>
  <si>
    <t xml:space="preserve">Notes from underground, White nights, the Dream of a ridiculous man, and selections from The House of the dead / Dostoyevsky. A new translation with an afterword by Andrew R. MacAndrew.</t>
  </si>
  <si>
    <t xml:space="preserve">PG3326.A15 S7</t>
  </si>
  <si>
    <t xml:space="preserve">Stories / Fyodor Dostoyevsky ; [translated from the Russian ; illustrated by Andrei Goncharov].</t>
  </si>
  <si>
    <t xml:space="preserve">PG3326.Z3 G3</t>
  </si>
  <si>
    <t xml:space="preserve">The house of the dead; a novel in two parts by Fyodor Dostoevsky, from the Russian by Constance Garnett.</t>
  </si>
  <si>
    <t xml:space="preserve">PG3328 .W4</t>
  </si>
  <si>
    <t xml:space="preserve">Dostoevsky; a collection of critical essays.</t>
  </si>
  <si>
    <t xml:space="preserve">PG3328.A3 M3 1964</t>
  </si>
  <si>
    <t xml:space="preserve">Letters of Fyodor Michailovitch Dostoevsky / translated by Ethel Colburn Mayne ; with an introduction by Avrahm Yarmolinsky.</t>
  </si>
  <si>
    <t xml:space="preserve">PG3328.Z6 F96 2003</t>
  </si>
  <si>
    <t xml:space="preserve">Fyodor Dostoevsky / edited and with an introduction by Harold Bloom.</t>
  </si>
  <si>
    <t xml:space="preserve">PG3332.T3 H3</t>
  </si>
  <si>
    <t xml:space="preserve">Taras Bulba : a tale of the Cossacks.</t>
  </si>
  <si>
    <t xml:space="preserve">PG3347.B6 B3 1953b</t>
  </si>
  <si>
    <t xml:space="preserve">Boris Godunov / Alexander Pushkin ; Russian text with translation and notes by Philip L. Barbour.</t>
  </si>
  <si>
    <t xml:space="preserve">PG3347.Z5 S5 1967</t>
  </si>
  <si>
    <t xml:space="preserve">The letters of Alexander Pushkin. Translated, with pref., introd., and notes by J. Thomas Shaw.</t>
  </si>
  <si>
    <t xml:space="preserve">PG3365 .A6</t>
  </si>
  <si>
    <t xml:space="preserve">Anna Karenina : roman / L. N. Tolstoƒ≠.</t>
  </si>
  <si>
    <t xml:space="preserve">PG3365.A63 T48 1987</t>
  </si>
  <si>
    <t xml:space="preserve">Leo Tolstoy, Anna Karenina / Anthony Thorlby.</t>
  </si>
  <si>
    <t xml:space="preserve">PG3366.A15 R8</t>
  </si>
  <si>
    <t xml:space="preserve">Short stories / Lev Tolstoy ; [illustrated by Mikhail Rudakov].</t>
  </si>
  <si>
    <t xml:space="preserve">PG3455 .A1 1929</t>
  </si>
  <si>
    <t xml:space="preserve">The works of Anton Chekhov.</t>
  </si>
  <si>
    <t xml:space="preserve">PG3455.A2 D7</t>
  </si>
  <si>
    <t xml:space="preserve">Ward six, and other stories / by Anton Chekhov. A new translation by Ann Dunnigan. With an afterword by Rufus W. Mathewson.</t>
  </si>
  <si>
    <t xml:space="preserve">PG3456 .A1 1965</t>
  </si>
  <si>
    <t xml:space="preserve">The Oxford Chekhov. Translated and edited by Ronald Hingley.</t>
  </si>
  <si>
    <t xml:space="preserve">PG3456 .A1 1965 V.4</t>
  </si>
  <si>
    <t xml:space="preserve">PG3456.A13 L5</t>
  </si>
  <si>
    <t xml:space="preserve">The stories of Anton Tchekov / edited, with an introduction, by Robert N. Linscott.</t>
  </si>
  <si>
    <t xml:space="preserve">PG5145.E8 N4</t>
  </si>
  <si>
    <t xml:space="preserve">Czech and Slovak short stories; selected, translated, and with an introduction by Jeanne W. Nemcov√°.</t>
  </si>
  <si>
    <t xml:space="preserve">PG5145.E3 K6</t>
  </si>
  <si>
    <t xml:space="preserve">Songs of the Slav, translations from the Czecho-Slovak [by] Otto Kotouƒç.</t>
  </si>
  <si>
    <t xml:space="preserve">PG7133 .K7</t>
  </si>
  <si>
    <t xml:space="preserve">An Anthology of Polish literature, edited with English commentary and notes.</t>
  </si>
  <si>
    <t xml:space="preserve">PG7213.A84 W6513 2005</t>
  </si>
  <si>
    <t xml:space="preserve">Snow White and Russian Red / Dorota Mas≈Çowska ; translated from the Polish by Benjamin Paloff ; with illustrations by Krysztof Ostrowski.</t>
  </si>
  <si>
    <t xml:space="preserve">PG8701 .L58 1997</t>
  </si>
  <si>
    <t xml:space="preserve">Lithuanian literature / [Vytautas Kubilius ... et al. ; edited by Vytastus Kubilius ; translated by Rita Dapkutƒó and Diana Bartkutƒó].</t>
  </si>
  <si>
    <t xml:space="preserve">PH279 .S68 1998</t>
  </si>
  <si>
    <t xml:space="preserve">NTC's compact Finnish and English dictionary / Sini Sovij√§rvi.</t>
  </si>
  <si>
    <t xml:space="preserve">PH301 .A35 1973</t>
  </si>
  <si>
    <t xml:space="preserve">A history of Finnish literature / by Jaakko, Ahokas.</t>
  </si>
  <si>
    <t xml:space="preserve">PH355.P3783 T85 1982</t>
  </si>
  <si>
    <t xml:space="preserve">Arctic twilight: old Finnish tales / by Samuli Paulaharju ; translated by Allan M. Pitk√§nen ; illustrations by Urpo Huhtanen.</t>
  </si>
  <si>
    <t xml:space="preserve">PH3213.C69 M3</t>
  </si>
  <si>
    <t xml:space="preserve">The magician's garden and other stories / by G√©za Cs√°th ; selected and with an introduction by Marianna D. Birnbaum ; translated by Jascha Kessler and Charlotte Rogers.</t>
  </si>
  <si>
    <t xml:space="preserve">PJ1091 .E57 1968</t>
  </si>
  <si>
    <t xml:space="preserve">Egyptian hieroglyphs for everyone : an introduction to the writing of ancient Egypt / by Joseph &amp; Lenore Scott.</t>
  </si>
  <si>
    <t xml:space="preserve">PJ1430 .E62 1974</t>
  </si>
  <si>
    <t xml:space="preserve">√Ñgyptisches Handw√∂rterbuch / bearb. und hrsg. von Adolf Erman und Hermann Grapow.</t>
  </si>
  <si>
    <t xml:space="preserve">PJ2181 .S63 1983</t>
  </si>
  <si>
    <t xml:space="preserve">A concise Coptic-English lexicon / compiled by Richard Smith.</t>
  </si>
  <si>
    <t xml:space="preserve">PJ3019 .D7 1976</t>
  </si>
  <si>
    <t xml:space="preserve">Semitic writing from pictograph to alphabet / by G. R. Driver.</t>
  </si>
  <si>
    <t xml:space="preserve">PJ3081 .G5</t>
  </si>
  <si>
    <t xml:space="preserve">Textbook of Syrian Semitic inscriptions, by John C. L. Gibson.</t>
  </si>
  <si>
    <t xml:space="preserve">PJ3791 .P37 1997</t>
  </si>
  <si>
    <t xml:space="preserve">Assyrian Prophecies / Simo Parpola ; illustrations edited by Julian Reade and Simo Parpola.</t>
  </si>
  <si>
    <t xml:space="preserve">PJ3791 .T5 1976</t>
  </si>
  <si>
    <t xml:space="preserve">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</si>
  <si>
    <t xml:space="preserve">PJ3837 .T57 1994</t>
  </si>
  <si>
    <t xml:space="preserve">The inscriptions of Tiglath-pileser III, King of Assyria / critical edition, with introductions, translations, and commentary by Hayim Tadmor.</t>
  </si>
  <si>
    <t xml:space="preserve">PJ3882 .L46 1993</t>
  </si>
  <si>
    <t xml:space="preserve">Letters from early Mesopotamia / by Piotr Michalowski ; edited by Erica Reiner.</t>
  </si>
  <si>
    <t xml:space="preserve">PJ409 .S3 1981</t>
  </si>
  <si>
    <t xml:space="preserve">Sacred books of the East : comprising the Vedic hymns, Zend-Avesta, Dhammapada, Upanishads, the Koran, and the life of Buddha / with critical and biographical sketches by Epiphanius Wilson.</t>
  </si>
  <si>
    <t xml:space="preserve">PJ4075 .J3 1974</t>
  </si>
  <si>
    <t xml:space="preserve">Sumerian economic texts from the third Ur dynasty; a catalogue and discussion of documents from various collections [by] Tom B. Jones and John W. Snyder.</t>
  </si>
  <si>
    <t xml:space="preserve">PJ3921.M3 T5 1977</t>
  </si>
  <si>
    <t xml:space="preserve">The reports of the magicians and astrologers of Nineveh and Babylon in the British Museum : the original texts, printed in cuneiform characters / edited with translations, notes, vocabulary, index, and an introd. by R. Campbell Thompson.</t>
  </si>
  <si>
    <t xml:space="preserve">PJ3953 .S3 1971</t>
  </si>
  <si>
    <t xml:space="preserve">Poems of heaven and hell from Ancient Mesopotamia / translated and introduced by N. K. Sandars.</t>
  </si>
  <si>
    <t xml:space="preserve">PJ4544 .B37</t>
  </si>
  <si>
    <t xml:space="preserve">Comparative philology and the text of the Old Testament.</t>
  </si>
  <si>
    <t xml:space="preserve">PJ4567 .J7613 1993</t>
  </si>
  <si>
    <t xml:space="preserve">A grammar of Biblical Hebrew / Paul Jo√ºon ; translated and revised by T. Muraoka.</t>
  </si>
  <si>
    <t xml:space="preserve">PJ4567 .L3 1971</t>
  </si>
  <si>
    <t xml:space="preserve">Introduction to Biblical Hebrew / [by] Thomas O. Lambdin.</t>
  </si>
  <si>
    <t xml:space="preserve">PJ4567 .M23 1979</t>
  </si>
  <si>
    <t xml:space="preserve">Biblical Hebrew steb by step / Menahem Mansoor.</t>
  </si>
  <si>
    <t xml:space="preserve">PJ4833 .G4 1979</t>
  </si>
  <si>
    <t xml:space="preserve">Gesenius' Hebrew and Chaldee lexicon to the Old Testament Scriptures : numerically coded to Strong's Exhaustive concordance, with an English index of more than 12,000 entries / translated by Samuel Prideaux Tregelles.</t>
  </si>
  <si>
    <t xml:space="preserve">PJ5029 .P38</t>
  </si>
  <si>
    <t xml:space="preserve">Hebrew short stories; an anthology, selected by S. Y. Penueli and A. Ukhmani.</t>
  </si>
  <si>
    <t xml:space="preserve">PJ601 .L5 v.6</t>
  </si>
  <si>
    <t xml:space="preserve">Le code de Hammurapi. Introd., traduction et annotation de Andr√© Finet.</t>
  </si>
  <si>
    <t xml:space="preserve">PJ601 .L5 v.13</t>
  </si>
  <si>
    <t xml:space="preserve">Les lettres d'El-Amarna : correspondance diplomatique du pharaon / traduction de William L. Moran, avec la collaboration de V. Haas et G. Wilhelm ; traduction fran√ßaise de Dominique Collon et Henri Cazelles.</t>
  </si>
  <si>
    <t xml:space="preserve">PJ6307 .T45 1993</t>
  </si>
  <si>
    <t xml:space="preserve">Arabic grammar of the written language / G. W. Thatcher.</t>
  </si>
  <si>
    <t xml:space="preserve">PJ6311 .L9</t>
  </si>
  <si>
    <t xml:space="preserve">An elementary classical Arabic reader.</t>
  </si>
  <si>
    <t xml:space="preserve">PJ6645.F6 B5</t>
  </si>
  <si>
    <t xml:space="preserve">Dictionnaire arabe-fran√ßais : contenant toutes les racines de la langue arabe, leurs d√©riv√©s, tant dans l'idiome vulgaire que dans l'idiome lit√©ral, ainsi que les dialectes d'Alger et de Maroc / par A. de Biberstein Kazimirski.</t>
  </si>
  <si>
    <t xml:space="preserve">PJ6645.F6 D6 1981</t>
  </si>
  <si>
    <t xml:space="preserve">Suppl√©ment aux dictionnaires arabes / par R. Dozy.</t>
  </si>
  <si>
    <t xml:space="preserve">PJ7715 .C6</t>
  </si>
  <si>
    <t xml:space="preserve">The Arabian nights' entertainments.</t>
  </si>
  <si>
    <t xml:space="preserve">PJ7755 .N8 1970</t>
  </si>
  <si>
    <t xml:space="preserve">Hispano-Arabic poetry and its relations with the old ProvencÃúal troubadours.</t>
  </si>
  <si>
    <t xml:space="preserve">PJ7846.A46 Z4813 1992</t>
  </si>
  <si>
    <t xml:space="preserve">Midaq Alley / Naguib Mahfouz ; translated by Trevor Le Gassick.</t>
  </si>
  <si>
    <t xml:space="preserve">PJ8410 .P4 1983</t>
  </si>
  <si>
    <t xml:space="preserve">Esplendor de Al-Andalus : la poes√≠a andaluza en √°rabe cl√°sico en el siglo xi : sus aspectos generales, sus principales temas y su valor documental / Henri P√©r√®s ; traducci√≥n de Mercedes Garc√≠a-Arenal.</t>
  </si>
  <si>
    <t xml:space="preserve">PJ8414 .M6</t>
  </si>
  <si>
    <t xml:space="preserve">Hispano-Arabic poetry : a student anthology / [compiled] by James T. Monroe.</t>
  </si>
  <si>
    <t xml:space="preserve">PK2198.G4 A6 1989</t>
  </si>
  <si>
    <t xml:space="preserve">Ghazals of Ghalib / translated and arranged by Basho Swanner.</t>
  </si>
  <si>
    <t xml:space="preserve">PK2903 .K45</t>
  </si>
  <si>
    <t xml:space="preserve">A history of Sanskrit literature, by A. Berriedale Keith.</t>
  </si>
  <si>
    <t xml:space="preserve">PK2903 .M3</t>
  </si>
  <si>
    <t xml:space="preserve">A history of Sanskrit literature.</t>
  </si>
  <si>
    <t xml:space="preserve">PK2903 .R543</t>
  </si>
  <si>
    <t xml:space="preserve">Indian literature / translated from the French by Patrick Evans.</t>
  </si>
  <si>
    <t xml:space="preserve">PK2903.N3 N4 1975</t>
  </si>
  <si>
    <t xml:space="preserve">A new history of Sanskrit literature / Krishna Chaitanya.</t>
  </si>
  <si>
    <t xml:space="preserve">PK3633.A2 B84 1978, v...</t>
  </si>
  <si>
    <t xml:space="preserve">The MahƒÅbhƒÅrata / translated and edited by J.A.B. van Buitenen.</t>
  </si>
  <si>
    <t xml:space="preserve">PK6235 .L35 1961</t>
  </si>
  <si>
    <t xml:space="preserve">Persian grammar.</t>
  </si>
  <si>
    <t xml:space="preserve">PK6406 .L38</t>
  </si>
  <si>
    <t xml:space="preserve">An introduction to Persian literature.</t>
  </si>
  <si>
    <t xml:space="preserve">PK6406 .L4 1974b</t>
  </si>
  <si>
    <t xml:space="preserve">Persian literature; an introduction / Reuben Levy.</t>
  </si>
  <si>
    <t xml:space="preserve">PL1075 .F6 1973</t>
  </si>
  <si>
    <t xml:space="preserve">The Chinese language / by R.A.D. Forrest.</t>
  </si>
  <si>
    <t xml:space="preserve">PL1111 .D36 1963</t>
  </si>
  <si>
    <t xml:space="preserve">Beginning Chinese.</t>
  </si>
  <si>
    <t xml:space="preserve">PL1111 .M25</t>
  </si>
  <si>
    <t xml:space="preserve">A course of Mandarin lessons; based on idiom.</t>
  </si>
  <si>
    <t xml:space="preserve">PL1117.5.P45 Y82 2006</t>
  </si>
  <si>
    <t xml:space="preserve">Classical Chinese : supplementary selections from philosophical texts : glossaries, analyses / Naiying Yuan, Haitao Tang, James Geiss.</t>
  </si>
  <si>
    <t xml:space="preserve">PL2265 .C45</t>
  </si>
  <si>
    <t xml:space="preserve">Chinese literature : a historical introduction.</t>
  </si>
  <si>
    <t xml:space="preserve">PL2280 .W3</t>
  </si>
  <si>
    <t xml:space="preserve">Early Chinese literature.</t>
  </si>
  <si>
    <t xml:space="preserve">PL2658.E1 B5</t>
  </si>
  <si>
    <t xml:space="preserve">Anthology of Chinese literature : from early times to the fourteenth century / compiled and edited by Cyril Birch ; associate editor, Donald Keene.</t>
  </si>
  <si>
    <t xml:space="preserve">PL2658.E1 C5</t>
  </si>
  <si>
    <t xml:space="preserve">A treasury of Chinese literature; a new prose anthology, including fiction and drama. Translated and edited by Ch ºu Chai and Winberg Chai.</t>
  </si>
  <si>
    <t xml:space="preserve">PL2658.E1 C64 1995</t>
  </si>
  <si>
    <t xml:space="preserve">The Columbia anthology of modern Chinese literature / Joseph S.M. Lau and Howard Goldblatt, editors.</t>
  </si>
  <si>
    <t xml:space="preserve">PL2658.E3 G7</t>
  </si>
  <si>
    <t xml:space="preserve">Poems of the late T'ang. Translated with an introd. by A.C. Graham.</t>
  </si>
  <si>
    <t xml:space="preserve">PL2658.E3 L58</t>
  </si>
  <si>
    <t xml:space="preserve">One hundred and one Chinese poems : [Chung shih hs√ºan chi] / with English translations and pref. by Shih Shun Liu. Introductory by Edmund ith English translations and pref. by Shih Shun Liu. Introductory by Edmund Blunden. Foreword by John Cairncross. With 7 additional translations.</t>
  </si>
  <si>
    <t xml:space="preserve">PL2658.E3 P634 2003</t>
  </si>
  <si>
    <t xml:space="preserve">Poems of the masters = Qian jia shi : China's classic anthology of T'ang and Sung dynasty verse / translated by Red Pine.</t>
  </si>
  <si>
    <t xml:space="preserve">PL2658.E8 W3 1968</t>
  </si>
  <si>
    <t xml:space="preserve">Traditional Chinese tales / translated by Chi-chen Wang.</t>
  </si>
  <si>
    <t xml:space="preserve">PL2671 .A25 1996</t>
  </si>
  <si>
    <t xml:space="preserve">The selected poems of Li Po / translated by David Hinton.</t>
  </si>
  <si>
    <t xml:space="preserve">PL2675 .D3</t>
  </si>
  <si>
    <t xml:space="preserve">Tu Fu / by A. R. Davis.</t>
  </si>
  <si>
    <t xml:space="preserve">PL2727 .S2</t>
  </si>
  <si>
    <t xml:space="preserve">The story of the stone; a Chinese novel in five volumes, translated by David Hawkes.</t>
  </si>
  <si>
    <t xml:space="preserve">PL2732.U22 S35 1973</t>
  </si>
  <si>
    <t xml:space="preserve">The scholars / [Translated by Yang Hsien-yi and Gladys Yang. Author's port. and illus. by Cheng Shih-fa]</t>
  </si>
  <si>
    <t xml:space="preserve">PL2754.S5 A294 1980</t>
  </si>
  <si>
    <t xml:space="preserve">Lu Xun, selected works / translated by Yang Xianyi and Gladys Yang.</t>
  </si>
  <si>
    <t xml:space="preserve">PL2754.S5 A3</t>
  </si>
  <si>
    <t xml:space="preserve">Ah Q and others : selected stories of Lusin / translated [from the Chinese] by Chi-chen Wang.</t>
  </si>
  <si>
    <t xml:space="preserve">PL2907 .G5</t>
  </si>
  <si>
    <t xml:space="preserve">A history of Chinese literature / by Herbert A. Giles.</t>
  </si>
  <si>
    <t xml:space="preserve">PL4758.9.R2595 R34 1993</t>
  </si>
  <si>
    <t xml:space="preserve">Ramayana / C. Rajagopalachari.</t>
  </si>
  <si>
    <t xml:space="preserve">PL493 .C55 2003</t>
  </si>
  <si>
    <t xml:space="preserve">The Columbia Companion to modern East Asian literature / general editor, Joshua S. Mostow ; associate editors, Kirk A. Denton, Bruce Fulton, Sharalyn Orbaugh.</t>
  </si>
  <si>
    <t xml:space="preserve">PL539.3 .B33 1993</t>
  </si>
  <si>
    <t xml:space="preserve">The Japanese language : an introduction / A.E. Backhouse.</t>
  </si>
  <si>
    <t xml:space="preserve">PL716 .K2413 1981</t>
  </si>
  <si>
    <t xml:space="preserve">A history of Japanese literature / Shuichi Kato ; translated by David Chibbett ; foreword by Ronald Dore.</t>
  </si>
  <si>
    <t xml:space="preserve">PL717 .A8 1972</t>
  </si>
  <si>
    <t xml:space="preserve">A history of Japanese literature / by W. G. Aston. With an introd. to the new ed. by Terence Barrow.</t>
  </si>
  <si>
    <t xml:space="preserve">PL726.1 .M495 1985</t>
  </si>
  <si>
    <t xml:space="preserve">The Princeton companion to classical Japanese literature / by Earl Miner, Hiroko Odagiri, and Robert E. Morrell.</t>
  </si>
  <si>
    <t xml:space="preserve">PL726.35 .K4 1999</t>
  </si>
  <si>
    <t xml:space="preserve">World within walls : Japanese literature of the pre-modern era, 1600-1867 / Donald Keene, with a new preface by the author.</t>
  </si>
  <si>
    <t xml:space="preserve">PL733.2 .M5</t>
  </si>
  <si>
    <t xml:space="preserve">An introduction to Japanese court poetry / by Earl Miner. With translations by the author and Robert H. Brower.</t>
  </si>
  <si>
    <t xml:space="preserve">PL782.E3 M3</t>
  </si>
  <si>
    <t xml:space="preserve">The Many≈çsh≈´; the Nippon Gakujutsu Shink≈çksi translation of One thousand poems, with the texts in Romaji. With a new foreword by Donald Keene.</t>
  </si>
  <si>
    <t xml:space="preserve">PL782.E5 T95 1992</t>
  </si>
  <si>
    <t xml:space="preserve">Japanese n≈ç dramas / edited and translated by Royall Tyler.</t>
  </si>
  <si>
    <t xml:space="preserve">PL782.E5 W3 1976</t>
  </si>
  <si>
    <t xml:space="preserve">The n≈ç Plays of Japan / by Arthur Waley.</t>
  </si>
  <si>
    <t xml:space="preserve">PL788.4.Z5 A3513 1996</t>
  </si>
  <si>
    <t xml:space="preserve">The diary of Lady Murasaki / translated and introduced by Richard Bowring.</t>
  </si>
  <si>
    <t xml:space="preserve">PL790.H4 K5</t>
  </si>
  <si>
    <t xml:space="preserve">The tale of the Heike = Heike monogatari / translated by Hiroshi Kitagawa, Bruce T. Tsuchida ; with a foreword by Edward Seidensticker.</t>
  </si>
  <si>
    <t xml:space="preserve">PL794.4 .A29 1966</t>
  </si>
  <si>
    <t xml:space="preserve">The narrow road to the Deep North, and other travel sketches / Basho ; translated from the Japanese with an introduction by Nobuyuki Yuasa.</t>
  </si>
  <si>
    <t xml:space="preserve">PL8010 .G4</t>
  </si>
  <si>
    <t xml:space="preserve">Four African literatures: Xhosa, Sotho, Zulu, Amharic [by] Albert S. G√©rard.</t>
  </si>
  <si>
    <t xml:space="preserve">PL832.A9 M3</t>
  </si>
  <si>
    <t xml:space="preserve">The master of go. Translated from the Japanese by Edward G. Seidensticker.</t>
  </si>
  <si>
    <t xml:space="preserve">PL832.A9 A25 1998</t>
  </si>
  <si>
    <t xml:space="preserve">The dancing girl of Izu and other stories / Yasunari Kawabata ; translated by J. Martin Holman.</t>
  </si>
  <si>
    <t xml:space="preserve">PL855 .K4</t>
  </si>
  <si>
    <t xml:space="preserve">Japanese literature : an introduction for Western readers.</t>
  </si>
  <si>
    <t xml:space="preserve">PL855 .K4 1977</t>
  </si>
  <si>
    <t xml:space="preserve">Japanese literature : an introduction for Western readers / by Donald Keene.</t>
  </si>
  <si>
    <t xml:space="preserve">PL971 .K67 1989</t>
  </si>
  <si>
    <t xml:space="preserve">Korean classical literature : an anthology / edited by Chung Chong-wha.</t>
  </si>
  <si>
    <t xml:space="preserve">PL890.O5 .D4</t>
  </si>
  <si>
    <t xml:space="preserve">Tales of the samurai; Oguri Hangwan ichidaiki, being the story of the lives, the adventures of the Hangwan-dai Kojir≈ç Sukeshige and Terutehime, his wife. &lt;A redaction from the k≈çdan anc chronicles of the Japanese originals&gt; by James S. de Benneville.</t>
  </si>
  <si>
    <t xml:space="preserve">PM2007 .H2 1926</t>
  </si>
  <si>
    <t xml:space="preserve">A manual of Navaho grammar / arranged by Berard Haile.</t>
  </si>
  <si>
    <t xml:space="preserve">PM2008 .W3 1958</t>
  </si>
  <si>
    <t xml:space="preserve">Navajo-English dictionary / by Leon Wall ; William Morgan, translator.</t>
  </si>
  <si>
    <t xml:space="preserve">PM3055 .L465 1992</t>
  </si>
  <si>
    <t xml:space="preserve">Literaturas ind√≠genas de M√©xico / Miguel Le√≥n-Portilla.</t>
  </si>
  <si>
    <t xml:space="preserve">PM3968.5 .S616 1964</t>
  </si>
  <si>
    <t xml:space="preserve">La literatura de los mayas / por Demetrio Sodi M.</t>
  </si>
  <si>
    <t xml:space="preserve">PM4068.5.A2 L5 1978</t>
  </si>
  <si>
    <t xml:space="preserve">Literatura del M√©xico antiguo : los textos en lengua nahuatl / edici√≥n, estudios introductorios y versiones de textos de Miguel Le√≥n-Portilla.</t>
  </si>
  <si>
    <t xml:space="preserve">PM4068.6 .C3 1985</t>
  </si>
  <si>
    <t xml:space="preserve">Cantares mexicanos = Songs of the Aztecs / translated from the Nahuatl, with an introduction and commentary, by John Bierhorst.</t>
  </si>
  <si>
    <t xml:space="preserve">PM4068.9.N4 Z72 1972</t>
  </si>
  <si>
    <t xml:space="preserve">Nezahualc√≥yotl : vida y obra / por Jos√© Luis Mart√≠nez.</t>
  </si>
  <si>
    <t xml:space="preserve">PM4291 .T5</t>
  </si>
  <si>
    <t xml:space="preserve">Tarahumara-English, English-Tarahumara dictionary and an introduction to Tarahumara grammar.</t>
  </si>
  <si>
    <t xml:space="preserve">PM5291 .L5 1980</t>
  </si>
  <si>
    <t xml:space="preserve">Literaturas ind√≠genas venezolanas : (visi√≥n panor√°mica actual de las literaturas ind√≠genas venezolanas) / Ces√°reo de Armellada, Carmela Bentivenga de Napolitano.</t>
  </si>
  <si>
    <t xml:space="preserve">PM605 .S5</t>
  </si>
  <si>
    <t xml:space="preserve">The Viking and the red man; the Old Norse origin of the Algonquin language, by Reider T. Sherwin.</t>
  </si>
  <si>
    <t xml:space="preserve">PM64.Z95 E5 1973b</t>
  </si>
  <si>
    <t xml:space="preserve">Eskimo poems from Canada and Greenland. Translated by Tom Lowenstein, from material originally collected by Knud Rasmussen.</t>
  </si>
  <si>
    <t xml:space="preserve">PR1175 .L44 1962</t>
  </si>
  <si>
    <t xml:space="preserve">The stuffed owl: an anthology of bad verse / selected and arranged by D. B. Wyndham Lewis and Charles Lee ; with eight cartoons from the works of Max Beerholm.</t>
  </si>
  <si>
    <t xml:space="preserve">PR1181 .B6</t>
  </si>
  <si>
    <t xml:space="preserve">Early ballads illustrative of history, traditions, and customs; also, Ballads and songs of the peasantry of England, taken down from oral recitation and transcribed from private manuscripts, rare broadsides, and scarce publications. Ed. by Robert Bell.</t>
  </si>
  <si>
    <t xml:space="preserve">PR1181 .B88 1985</t>
  </si>
  <si>
    <t xml:space="preserve">A Book of Scottish ballads / [edited by] David Buchan.</t>
  </si>
  <si>
    <t xml:space="preserve">PR1181 .H2 1853</t>
  </si>
  <si>
    <t xml:space="preserve">The book of British ballads. Edited by S. C. Hall...</t>
  </si>
  <si>
    <t xml:space="preserve">PR1195.C2 R5 1966</t>
  </si>
  <si>
    <t xml:space="preserve">Ancient English Christmas carols MCCCC to MDCC, collected &amp; arranged by Edith Rickert.</t>
  </si>
  <si>
    <t xml:space="preserve">PR1609.A3 T64</t>
  </si>
  <si>
    <t xml:space="preserve">The Old English Exodus / text, translation and commentary by J.R.R. Tolkien ; edited by Joan Turville-Petre.</t>
  </si>
  <si>
    <t xml:space="preserve">PR1502 .M4 1966</t>
  </si>
  <si>
    <t xml:space="preserve">The battle of Maldon [edited] by E.V. Gordon.</t>
  </si>
  <si>
    <t xml:space="preserve">PR1502 .A7 v.1</t>
  </si>
  <si>
    <t xml:space="preserve">The Junius manuscript / edited by George Philip Krapp.</t>
  </si>
  <si>
    <t xml:space="preserve">PR1502 .A7 v.2</t>
  </si>
  <si>
    <t xml:space="preserve">The Vercelli book / edited by George Philip Krapp.</t>
  </si>
  <si>
    <t xml:space="preserve">PR1502 .A7 v.3</t>
  </si>
  <si>
    <t xml:space="preserve">The Exeter book / edited by George Philip Krapp and Elliott Van Kirk Dobbie.</t>
  </si>
  <si>
    <t xml:space="preserve">PR1502 .A7 v.4</t>
  </si>
  <si>
    <t xml:space="preserve">Beowulf, and Judith / edited by Elliott Van Kirk Dobbie.</t>
  </si>
  <si>
    <t xml:space="preserve">PR1502 .A7 v.5</t>
  </si>
  <si>
    <t xml:space="preserve">The Paris Psalter and the meters of Boethius.</t>
  </si>
  <si>
    <t xml:space="preserve">PR1502 .A7 v.6</t>
  </si>
  <si>
    <t xml:space="preserve">The Anglo-Saxon minor poems / edited by Elliott Van Kirk Dobbie.</t>
  </si>
  <si>
    <t xml:space="preserve">PR1506 .B47 1978</t>
  </si>
  <si>
    <t xml:space="preserve">A concordance to the Anglo-Saxon poetic records / edited by J. B. Bessinger, Jr. ; programmed by Philip H. Smith, Jr. ; with an index of compounds compiled by Michael W. Twomey.</t>
  </si>
  <si>
    <t xml:space="preserve">PR1587.D7 R38 2000</t>
  </si>
  <si>
    <t xml:space="preserve">Beowulf and the dragon : parallels and analogues / Christine Rauer.</t>
  </si>
  <si>
    <t xml:space="preserve">PR171 .G58 2001</t>
  </si>
  <si>
    <t xml:space="preserve">Handlist of Anglo-Saxon manuscripts : a list of manuscripts and manuscript fragments written or owned in England up to 1100 / by Helmut Gneuss.</t>
  </si>
  <si>
    <t xml:space="preserve">PR1722 .A17 1979</t>
  </si>
  <si>
    <t xml:space="preserve">The Guthlac poems of the Exeter book / edited with an introd. and commentary by Jane Roberts.</t>
  </si>
  <si>
    <t xml:space="preserve">PR201 .A5</t>
  </si>
  <si>
    <t xml:space="preserve">Anglo-Saxon poetry : essays in appreciation : for John C. McGalliard / edited by Lewis E. Nicholson, Dolores Warwick Frese.</t>
  </si>
  <si>
    <t xml:space="preserve">PR2807 .G69 2001</t>
  </si>
  <si>
    <t xml:space="preserve">Hamlet in purgatory / Stephen Greenblatt.</t>
  </si>
  <si>
    <t xml:space="preserve">PR2819 .T9</t>
  </si>
  <si>
    <t xml:space="preserve">Twentieth century interpretations of King Lear : a collection of critical essays / edited by Janet Adelman.</t>
  </si>
  <si>
    <t xml:space="preserve">PR3562 .A44 1980</t>
  </si>
  <si>
    <t xml:space="preserve">Of costliest emblem : Paradise Lost and the emblem tradition / Shahla Anand.</t>
  </si>
  <si>
    <t xml:space="preserve">PR3562 .A8</t>
  </si>
  <si>
    <t xml:space="preserve">Approaches to Paradise Lost; the York tercentenary lectures, by John Arthos [and others]; edited by C. A. Patrides.</t>
  </si>
  <si>
    <t xml:space="preserve">PR3562 .A83 1986</t>
  </si>
  <si>
    <t xml:space="preserve">Approaches to teaching Milton's Paradise lost / edited by Galbraith M. Crump.</t>
  </si>
  <si>
    <t xml:space="preserve">PR3562 .B4</t>
  </si>
  <si>
    <t xml:space="preserve">Process of speech : Puritan religious writing &amp; Paradise lost / Boyd M. Berry.</t>
  </si>
  <si>
    <t xml:space="preserve">PR3562 .B7 1960</t>
  </si>
  <si>
    <t xml:space="preserve">Some graver subject; an essay on Paradise lost.</t>
  </si>
  <si>
    <t xml:space="preserve">PR3562 .B78 1967b</t>
  </si>
  <si>
    <t xml:space="preserve">The logical epic: a study of the argument of Paradise lost [by] Dennis H. Burden.</t>
  </si>
  <si>
    <t xml:space="preserve">PR3562 .B8 1957</t>
  </si>
  <si>
    <t xml:space="preserve">Paradise lost in our time, some comments.</t>
  </si>
  <si>
    <t xml:space="preserve">PR3562 .C625 1967aa</t>
  </si>
  <si>
    <t xml:space="preserve">Paradise lost, a tercentenary tribute : papers given at the Conference on the Tercentenary of Paradise Lost, University of Western Ontario, October 1967 / edited by Balachandra Rajan.</t>
  </si>
  <si>
    <t xml:space="preserve">PR3562 .C63</t>
  </si>
  <si>
    <t xml:space="preserve">The metaphoric structure of Paradise lost.</t>
  </si>
  <si>
    <t xml:space="preserve">PR3562 .C7</t>
  </si>
  <si>
    <t xml:space="preserve">The mystical design of Paradise lost.</t>
  </si>
  <si>
    <t xml:space="preserve">PR3562 .D45 1958b</t>
  </si>
  <si>
    <t xml:space="preserve">Milton's Paradise lost : a commentary on the argument / by John S. Diekhoff.</t>
  </si>
  <si>
    <t xml:space="preserve">PR3562 .D78</t>
  </si>
  <si>
    <t xml:space="preserve">Milton's earthly paradise : a historical study of Eden / Joseph E. Duncan.</t>
  </si>
  <si>
    <t xml:space="preserve">PR3562 .D84 1985</t>
  </si>
  <si>
    <t xml:space="preserve">Milton and Ovid / Richard J. DuRocher.</t>
  </si>
  <si>
    <t xml:space="preserve">PR3562 .D9</t>
  </si>
  <si>
    <t xml:space="preserve">Milton: Paradise Lost; a casebook edited by A. E. Dyson and Julian Lovelock.</t>
  </si>
  <si>
    <t xml:space="preserve">PR3562 .E89 1996</t>
  </si>
  <si>
    <t xml:space="preserve">Milton's imperial epic : Paradise lost and the discourse of colonialism / J. Martin Evans.</t>
  </si>
  <si>
    <t xml:space="preserve">PR3562 .F4</t>
  </si>
  <si>
    <t xml:space="preserve">Milton's epic voice; the narrator in Paradise lost.</t>
  </si>
  <si>
    <t xml:space="preserve">PR3562 .F47</t>
  </si>
  <si>
    <t xml:space="preserve">Milton and Augustine : patterns of Augustinian thought in Paradise lost / Peter A. Fiore.</t>
  </si>
  <si>
    <t xml:space="preserve">PR3562 .F66</t>
  </si>
  <si>
    <t xml:space="preserve">Milton and the martial muse : Paradise lost and European traditions of war / James A. Freeman.</t>
  </si>
  <si>
    <t xml:space="preserve">PR3562 .G3 1965</t>
  </si>
  <si>
    <t xml:space="preserve">A reading of Paradise lost / by Helen Gardner.</t>
  </si>
  <si>
    <t xml:space="preserve">PR3562 .G75</t>
  </si>
  <si>
    <t xml:space="preserve">Milton's epic process : Paradise lost and its Miltonic background.</t>
  </si>
  <si>
    <t xml:space="preserve">PR3562 .H34</t>
  </si>
  <si>
    <t xml:space="preserve">The club of Hercules; studies in the classical background of Paradise lost.</t>
  </si>
  <si>
    <t xml:space="preserve">PR3562 .K6</t>
  </si>
  <si>
    <t xml:space="preserve">Milton's pastoral vision; an approach to Paradise lost [by] John R. Knott, Jr.</t>
  </si>
  <si>
    <t xml:space="preserve">PR3562 .L36 1990</t>
  </si>
  <si>
    <t xml:space="preserve">Naming in Paradise : Milton and the language of Adam and Eve / John Leonard.</t>
  </si>
  <si>
    <t xml:space="preserve">PR3562 .L52</t>
  </si>
  <si>
    <t xml:space="preserve">Poetics of the holy : a reading of Paradise lost / by Michael Lieb.</t>
  </si>
  <si>
    <t xml:space="preserve">PR3562 .R54</t>
  </si>
  <si>
    <t xml:space="preserve">Milton's grand style.</t>
  </si>
  <si>
    <t xml:space="preserve">PR3562 .S326 1992</t>
  </si>
  <si>
    <t xml:space="preserve">Paradise lost, and the rise of the American Republic / Lydia Dittler Schulman.</t>
  </si>
  <si>
    <t xml:space="preserve">PR3562 .S64</t>
  </si>
  <si>
    <t xml:space="preserve">Epic and tragic structure in Paradise lost / John M. Steadman.</t>
  </si>
  <si>
    <t xml:space="preserve">PR3562 .S7</t>
  </si>
  <si>
    <t xml:space="preserve">Answerable style: essays on Paradise lost.</t>
  </si>
  <si>
    <t xml:space="preserve">PR3562 .S8 1981</t>
  </si>
  <si>
    <t xml:space="preserve">The muse's method : an introduction to Paradise lost / Joseph H. Summers.</t>
  </si>
  <si>
    <t xml:space="preserve">PR3562 .W3 1959</t>
  </si>
  <si>
    <t xml:space="preserve">Paradise lost and its critics / by A.J.A. Waldock.</t>
  </si>
  <si>
    <t xml:space="preserve">PR3562 .W34</t>
  </si>
  <si>
    <t xml:space="preserve">Milton and his epic tradition / by Joan Mallory Webber.</t>
  </si>
  <si>
    <t xml:space="preserve">PR3562 .W4 1952</t>
  </si>
  <si>
    <t xml:space="preserve">Lucifer and Prometheus; a study of Milton's Satan. With an introd. by C. G. Jung.</t>
  </si>
  <si>
    <t xml:space="preserve">PR3562 .W6</t>
  </si>
  <si>
    <t xml:space="preserve">The epic of Paradise lost : twelve essays / by Marianna Woodhull.</t>
  </si>
  <si>
    <t xml:space="preserve">PR3580 .H83</t>
  </si>
  <si>
    <t xml:space="preserve">John Milton: an annotated bibliography, 1929-1968.</t>
  </si>
  <si>
    <t xml:space="preserve">PR3580 .L4</t>
  </si>
  <si>
    <t xml:space="preserve">A Milton dictionary.</t>
  </si>
  <si>
    <t xml:space="preserve">PR3580 .M5</t>
  </si>
  <si>
    <t xml:space="preserve">A Milton encyclopedia / edited by William B. Hunter, Jr., general editor, John T. Shawcross and John M. Steadman, co-editors, Purvis E. Boyette and Leonard Nathanson, associate editors.</t>
  </si>
  <si>
    <t xml:space="preserve">PR3581 .D3 1959</t>
  </si>
  <si>
    <t xml:space="preserve">Milton.</t>
  </si>
  <si>
    <t xml:space="preserve">PR3581 .H25</t>
  </si>
  <si>
    <t xml:space="preserve">John Milton, Englishman.</t>
  </si>
  <si>
    <t xml:space="preserve">PR3581 .H26 1976</t>
  </si>
  <si>
    <t xml:space="preserve">John Milton, poet and humanist; essays by James Holly Hanford. Foreword by John S. Diekhoff.</t>
  </si>
  <si>
    <t xml:space="preserve">PR3581 .H85</t>
  </si>
  <si>
    <t xml:space="preserve">Milton and the English mind, by F.E. Hutchinson.</t>
  </si>
  <si>
    <t xml:space="preserve">PR3581 .L37 1978</t>
  </si>
  <si>
    <t xml:space="preserve">Milton and sex / by Edward Le Comte.</t>
  </si>
  <si>
    <t xml:space="preserve">PR3581 .M17 1934a</t>
  </si>
  <si>
    <t xml:space="preserve">Milton / by Rose Macaulay.</t>
  </si>
  <si>
    <t xml:space="preserve">PR3581 .M2 1898</t>
  </si>
  <si>
    <t xml:space="preserve">Macaulay's essay on Milton / ed. with introduction and notes by Herbert Augustine Smith.</t>
  </si>
  <si>
    <t xml:space="preserve">PR3581 .M3</t>
  </si>
  <si>
    <t xml:space="preserve">The life of John Milton : narrated in connexion with the political, ecclesiastical, and literary history of his time / by David Masson.</t>
  </si>
  <si>
    <t xml:space="preserve">PR3581 .P27</t>
  </si>
  <si>
    <t xml:space="preserve">Milton: a biography.</t>
  </si>
  <si>
    <t xml:space="preserve">PR3581 .P37 1987</t>
  </si>
  <si>
    <t xml:space="preserve">An annotated critical bibliography of John Milton / C.A. Patrides.</t>
  </si>
  <si>
    <t xml:space="preserve">PR3581 .S52 1984</t>
  </si>
  <si>
    <t xml:space="preserve">Milton : a bibliography for the years 1624-1700 / compiled by John T. Shawcross.</t>
  </si>
  <si>
    <t xml:space="preserve">PR3581 .W29 1970</t>
  </si>
  <si>
    <t xml:space="preserve">The personality of Milton / [by] Edward Wagenknecht.</t>
  </si>
  <si>
    <t xml:space="preserve">PR3581 .W471 1984</t>
  </si>
  <si>
    <t xml:space="preserve">The life of John Milton / A.N. Wilson.</t>
  </si>
  <si>
    <t xml:space="preserve">PR3582 .B7 1968</t>
  </si>
  <si>
    <t xml:space="preserve">Milton's blindness.</t>
  </si>
  <si>
    <t xml:space="preserve">PR3582 .C5</t>
  </si>
  <si>
    <t xml:space="preserve">John Milton at St. Paul's School, a study of ancient rhetoric in English Renaissance education.</t>
  </si>
  <si>
    <t xml:space="preserve">PR3587.3 .R85 1996</t>
  </si>
  <si>
    <t xml:space="preserve">Milton unbound : controversy and reinterpretation / John P. Rumrich.</t>
  </si>
  <si>
    <t xml:space="preserve">PR3588 .A3</t>
  </si>
  <si>
    <t xml:space="preserve">Ikon: John Milton and the modern critics.</t>
  </si>
  <si>
    <t xml:space="preserve">PR3588 .C58 2001</t>
  </si>
  <si>
    <t xml:space="preserve">A companion to Milton / edited by Thomas N. Corns.</t>
  </si>
  <si>
    <t xml:space="preserve">PR3588 .F5</t>
  </si>
  <si>
    <t xml:space="preserve">Th'upright heart and pure; essays on John Milton commemorating the tercentenary of the publication of Paradise lost. Edited by Amadeus P. Fiore.</t>
  </si>
  <si>
    <t xml:space="preserve">PR3588 .G75 1986</t>
  </si>
  <si>
    <t xml:space="preserve">Regaining paradise : Milton and the eighteenth century / Dustin Griffin.</t>
  </si>
  <si>
    <t xml:space="preserve">PR3588 .G76 1988</t>
  </si>
  <si>
    <t xml:space="preserve">Milton and the sense of tradition / Christopher Grose.</t>
  </si>
  <si>
    <t xml:space="preserve">PR3588 .H3 1961</t>
  </si>
  <si>
    <t xml:space="preserve">The influence of Milton on English poetry.</t>
  </si>
  <si>
    <t xml:space="preserve">PR3588 .H48 1979</t>
  </si>
  <si>
    <t xml:space="preserve">John Milton, poet, priest, and prophet : a study of divine vocation in Milton's poetry and prose / John Spencer Hill.</t>
  </si>
  <si>
    <t xml:space="preserve">PR3588 .H86 1989</t>
  </si>
  <si>
    <t xml:space="preserve">The descent of Urania : studies in Milton, 1946-1988 / William B. Hunter.</t>
  </si>
  <si>
    <t xml:space="preserve">PR3588 .L38 1991</t>
  </si>
  <si>
    <t xml:space="preserve">Milton re-viewed : ten essays / Edward Le Comte.</t>
  </si>
  <si>
    <t xml:space="preserve">PR3588 .L58 1994</t>
  </si>
  <si>
    <t xml:space="preserve">Literary Milton : text, pretext, context / edited by Diana Trevi√±o Benet &amp; Michael Lieb.</t>
  </si>
  <si>
    <t xml:space="preserve">PR3588 .M37</t>
  </si>
  <si>
    <t xml:space="preserve">Milton &amp; modern man; selected essays, by E. L. Marilla. Pref. by Douglas Bush.</t>
  </si>
  <si>
    <t xml:space="preserve">PR3588 .M49 1976</t>
  </si>
  <si>
    <t xml:space="preserve">Milton reconsidered : essays in honor of Arthur E. Barker / edited by John Karl Franson.</t>
  </si>
  <si>
    <t xml:space="preserve">PR3588 .S42</t>
  </si>
  <si>
    <t xml:space="preserve">Milton and forbidden knowledge.</t>
  </si>
  <si>
    <t xml:space="preserve">PR3588 .S67 1994</t>
  </si>
  <si>
    <t xml:space="preserve">Spokesperson Milton : voices in contemporary criticism / edited by Charles W. Durham and Kristin Pruitt McColgan.</t>
  </si>
  <si>
    <t xml:space="preserve">PR3588 .S7</t>
  </si>
  <si>
    <t xml:space="preserve">On Milton's poetry; a selection of modern studies. Edited by Arnold Stein.</t>
  </si>
  <si>
    <t xml:space="preserve">PR3588 .T56 1950</t>
  </si>
  <si>
    <t xml:space="preserve">Milton criticism : selections from four centuries / edited by James Thorpe.</t>
  </si>
  <si>
    <t xml:space="preserve">PR3588 .T62</t>
  </si>
  <si>
    <t xml:space="preserve">The Miltonic setting, past &amp; present, by E. M. W. Tillyard.</t>
  </si>
  <si>
    <t xml:space="preserve">PR3588 .T64 1951</t>
  </si>
  <si>
    <t xml:space="preserve">Studies in Milton.</t>
  </si>
  <si>
    <t xml:space="preserve">PR3588 .W56</t>
  </si>
  <si>
    <t xml:space="preserve">Visionary poetics : Milton's tradition and his legacy / by Joseph Anthony Wittreich, Jr.</t>
  </si>
  <si>
    <t xml:space="preserve">PR3588 .W59</t>
  </si>
  <si>
    <t xml:space="preserve">The heavenly muse; a preface to Milton. Edited by Hugh MacCallum.</t>
  </si>
  <si>
    <t xml:space="preserve">PR3592.A66 F78</t>
  </si>
  <si>
    <t xml:space="preserve">Milton's imagery and the visual arts : iconographic tradition in the epic poems / Roland Mushat Frye.</t>
  </si>
  <si>
    <t xml:space="preserve">PR3592.H5 L68 1990</t>
  </si>
  <si>
    <t xml:space="preserve">Milton and the drama of history : historical vision, iconoclasm, and the literary imagination / David Loewenstein.</t>
  </si>
  <si>
    <t xml:space="preserve">PR3592.I47 M55 1999</t>
  </si>
  <si>
    <t xml:space="preserve">Milton and the imperial vision / edited by Balachandra Rajan and Elizabeth Sauer.</t>
  </si>
  <si>
    <t xml:space="preserve">PR3592.K6 B3 1950</t>
  </si>
  <si>
    <t xml:space="preserve">Milton's imagery.</t>
  </si>
  <si>
    <t xml:space="preserve">PR3592.P64 H5</t>
  </si>
  <si>
    <t xml:space="preserve">Milton and the English Revolution / by Christopher Hill.</t>
  </si>
  <si>
    <t xml:space="preserve">PR3592.P64 M5 1981</t>
  </si>
  <si>
    <t xml:space="preserve">John Milton and the English Revolution : a study in the sociology of literature / Andrew Milner.</t>
  </si>
  <si>
    <t xml:space="preserve">PR3592.P7 B3</t>
  </si>
  <si>
    <t xml:space="preserve">Milton and the Puritan dilemma, 1641-1660.</t>
  </si>
  <si>
    <t xml:space="preserve">PR3724.G8 B7</t>
  </si>
  <si>
    <t xml:space="preserve">Twentieth century interpretations of Gulliver's travels : a collection of critical essays.</t>
  </si>
  <si>
    <t xml:space="preserve">PR409.O28 B55 1987</t>
  </si>
  <si>
    <t xml:space="preserve">The 'occult' experience and the new criticism : daemonism, sexuality, and the hidden in literature / Clive Bloom.</t>
  </si>
  <si>
    <t xml:space="preserve">PR438.S45 L69 2003</t>
  </si>
  <si>
    <t xml:space="preserve">Aspects of subjectivity : society and individuality from the Middle Ages to Shakespeare and Milton / by Anthony Low.</t>
  </si>
  <si>
    <t xml:space="preserve">PR4583 .M67 1984</t>
  </si>
  <si>
    <t xml:space="preserve">Charles Dicken's quarrel with America / Sidney P. Moss.</t>
  </si>
  <si>
    <t xml:space="preserve">PR479.S62 S62 1983</t>
  </si>
  <si>
    <t xml:space="preserve">Society and literature, 1945-1970 / edited by Alan Sinfield.</t>
  </si>
  <si>
    <t xml:space="preserve">PR504 .B56</t>
  </si>
  <si>
    <t xml:space="preserve">A map of misreading / Harold Bloom.</t>
  </si>
  <si>
    <t xml:space="preserve">PR6019.O9 F57</t>
  </si>
  <si>
    <t xml:space="preserve">A skeleton key to Finnegans wake, by Joseph Campbell &amp; Henry Morton Robinson.</t>
  </si>
  <si>
    <t xml:space="preserve">PR6019.O9 F592</t>
  </si>
  <si>
    <t xml:space="preserve">A concordance to Finnegans wake.</t>
  </si>
  <si>
    <t xml:space="preserve">PR6019.O9 U56</t>
  </si>
  <si>
    <t xml:space="preserve">Approaches to Ulysses; ten essays. Thomas F. Staley and Bernard Benstock, editors.</t>
  </si>
  <si>
    <t xml:space="preserve">PR651 .A3</t>
  </si>
  <si>
    <t xml:space="preserve">A companion to Shakespeare : the non-Shakespearean Elizabethan drama : an introduction / Robert P. Adams.</t>
  </si>
  <si>
    <t xml:space="preserve">PR821 .A4 1955</t>
  </si>
  <si>
    <t xml:space="preserve">The English novel; a short critical history, by Walter Allen.</t>
  </si>
  <si>
    <t xml:space="preserve">PR83 .T64 1983</t>
  </si>
  <si>
    <t xml:space="preserve">The monsters and the critics, and other essays / J.R.R. Tolkien ; edited by Christopher Tolkien.</t>
  </si>
  <si>
    <t xml:space="preserve">PR83 .F65 1987</t>
  </si>
  <si>
    <t xml:space="preserve">A history of English literature / Alastair Fowler.</t>
  </si>
  <si>
    <t xml:space="preserve">PR83 .O94 1987</t>
  </si>
  <si>
    <t xml:space="preserve">The Oxford illustrated history of English literature / edited by Pat Rogers.</t>
  </si>
  <si>
    <t xml:space="preserve">PR830.S6 M37 2003</t>
  </si>
  <si>
    <t xml:space="preserve">The Marxian imagination : representing class in literature / Julian Markels.</t>
  </si>
  <si>
    <t xml:space="preserve">PR8636.5.S36 S38 1996</t>
  </si>
  <si>
    <t xml:space="preserve">Scottish literature : an anthology / David McCordick, editor.</t>
  </si>
  <si>
    <t xml:space="preserve">PR8711 .M35 1982</t>
  </si>
  <si>
    <t xml:space="preserve">Short history of Anglo-Irish literature from its origins to the present day / Roger McHugh and Maurice Harmon.</t>
  </si>
  <si>
    <t xml:space="preserve">PR8711 .V3 1990</t>
  </si>
  <si>
    <t xml:space="preserve">Irish literature : a social history : tradition, identity and difference / Norman Vance.</t>
  </si>
  <si>
    <t xml:space="preserve">PR8714 .E28 1998</t>
  </si>
  <si>
    <t xml:space="preserve">Crazy John and the Bishop and other essays on Irish culture / Terry Eagleton.</t>
  </si>
  <si>
    <t xml:space="preserve">PR8797 .C34 1988</t>
  </si>
  <si>
    <t xml:space="preserve">The Irish novel : a critical history / James M. Cahalan.</t>
  </si>
  <si>
    <t xml:space="preserve">PR99 .E67 1980</t>
  </si>
  <si>
    <t xml:space="preserve">Literature and society / edited, with a pref., by Edward W. Said.</t>
  </si>
  <si>
    <t xml:space="preserve">PR99 .M28</t>
  </si>
  <si>
    <t xml:space="preserve">The interior landscape; the literary criticism of Marshall McLuhan, 1943-1962. Selected, compiled, and edited by Eugene McNamara.</t>
  </si>
  <si>
    <t xml:space="preserve">PQ145.1.G6 G6 1959</t>
  </si>
  <si>
    <t xml:space="preserve">Le dieu cach√© : √©tude sur la vision tragique dans les Pens√©es de Pascal et dans le th√©√¢tre de Racine / Lucien Goldmann.</t>
  </si>
  <si>
    <t xml:space="preserve">PQ118 .K3 1970</t>
  </si>
  <si>
    <t xml:space="preserve">A short history of French literature from the origins to the present day / by L. E. Kastner and Henry Gibson Atkins.</t>
  </si>
  <si>
    <t xml:space="preserve">PQ1494 .L2 1960</t>
  </si>
  <si>
    <t xml:space="preserve">Lais / Marie de France ; edited by Alfred Ewert.</t>
  </si>
  <si>
    <t xml:space="preserve">PQ155.L7 L3 1964</t>
  </si>
  <si>
    <t xml:space="preserve">Amour courtois et "fin'amors" dans la litt√©rature du XIIe si√®cle.</t>
  </si>
  <si>
    <t xml:space="preserve">PQ155.M27 L413 1988</t>
  </si>
  <si>
    <t xml:space="preserve">The medieval imagination / Jacques Le Goff ; translated by Arthur Goldhammer.</t>
  </si>
  <si>
    <t xml:space="preserve">PQ2631.R63 A89 1975</t>
  </si>
  <si>
    <t xml:space="preserve">A reader's handbook to Proust : an index guide to Remembrance of things past / compiled by P. A. Spalding.</t>
  </si>
  <si>
    <t xml:space="preserve">PQ4085 .S28</t>
  </si>
  <si>
    <t xml:space="preserve">La letteratura italiana nel secolo XIX.</t>
  </si>
  <si>
    <t xml:space="preserve">PQ4442 .M7</t>
  </si>
  <si>
    <t xml:space="preserve">Contributions to the textual criticism of the Divina commedia, including the complete collation throughout the Inferno of all the mss. at Oxford and Cambridge / by the Rev. Edward Moore.</t>
  </si>
  <si>
    <t xml:space="preserve">PQ4464 .W5</t>
  </si>
  <si>
    <t xml:space="preserve">A concordance to the Divine comedy of Dante Alighieri. Edited for the Dante Society of America by Ernest Hatch Wilkins and Thomas Goddard Bergin. Associate editor: Anthony J. De Vito.</t>
  </si>
  <si>
    <t xml:space="preserve">PQ4630.M3 Z87</t>
  </si>
  <si>
    <t xml:space="preserve">Lorenzo de'Medici.</t>
  </si>
  <si>
    <t xml:space="preserve">PQ6004.C274 S894 1981</t>
  </si>
  <si>
    <t xml:space="preserve">Studia hisp√°nica in honour of Rodolfo Cardona / with introductions by Jorge Guill√©n y Juan Goytisolo ; [edited by Luis A. Ramos-Garc√≠a].</t>
  </si>
  <si>
    <t xml:space="preserve">PQ6032 .A45</t>
  </si>
  <si>
    <t xml:space="preserve">Historia de la literatura espa√±ola / Juan Luis Alborg.</t>
  </si>
  <si>
    <t xml:space="preserve">PQ6033 .T5 1854</t>
  </si>
  <si>
    <t xml:space="preserve">History of Spanish literature.</t>
  </si>
  <si>
    <t xml:space="preserve">PQ6042.A4 L66 1985</t>
  </si>
  <si>
    <t xml:space="preserve">Huellas del Islam en la literatura espa√±ola : de Juan Ruiz a Juan Goytisolo / Luce L√≥pez-Baralt.</t>
  </si>
  <si>
    <t xml:space="preserve">PQ6058 .D4 1971</t>
  </si>
  <si>
    <t xml:space="preserve">The middle ages / [by] A. D. Deyermond.</t>
  </si>
  <si>
    <t xml:space="preserve">PQ6058 .L6 1966</t>
  </si>
  <si>
    <t xml:space="preserve">Introducci√≥n a la literatura medieval espa√±ola.</t>
  </si>
  <si>
    <t xml:space="preserve">PQ6058 .M34</t>
  </si>
  <si>
    <t xml:space="preserve">Literatura castellana medieval : de las jarchas a Alfonso X / Francisco Marcos Mar√≠n.</t>
  </si>
  <si>
    <t xml:space="preserve">PQ6072 .B33</t>
  </si>
  <si>
    <t xml:space="preserve">Literatura espa√±ola; libros y autores contempor√°neos: Ganivet--Unamuno--Ortega y Gasset--Azor√≠n--Baroja--Valle-Incl√°n--A. Machado--P√©rez de Ayala, por C√©sar Barja ...</t>
  </si>
  <si>
    <t xml:space="preserve">PQ6072 .S3</t>
  </si>
  <si>
    <t xml:space="preserve">Literatura espa√±ola, siglo XX, por Pedro Salinas.</t>
  </si>
  <si>
    <t xml:space="preserve">PQ6072.T6 P3</t>
  </si>
  <si>
    <t xml:space="preserve">Panorama de la literatura espa√±ola contempor√°nea.</t>
  </si>
  <si>
    <t xml:space="preserve">PQ6088 .G3</t>
  </si>
  <si>
    <t xml:space="preserve">Epica √°rabe y √©pica castellana / Alvaro Galm√©s de Fuentes.</t>
  </si>
  <si>
    <t xml:space="preserve">PQ6089 .R53 1989</t>
  </si>
  <si>
    <t xml:space="preserve">La metamorfosis de la epica medieval / Erich von Richthofen.</t>
  </si>
  <si>
    <t xml:space="preserve">PQ6090 .R5</t>
  </si>
  <si>
    <t xml:space="preserve">Nuevos estudios √©picos medievales / Erich von Richthofen.</t>
  </si>
  <si>
    <t xml:space="preserve">PQ6627.R8 M4 1970</t>
  </si>
  <si>
    <t xml:space="preserve">Meditaciones del Quijote : e Ideas sobre la novela.</t>
  </si>
  <si>
    <t xml:space="preserve">PQ6639.N3 Z4</t>
  </si>
  <si>
    <t xml:space="preserve">La ontologia de Miguel de Unamumo / [Versi√≥n castellana de Ces√°reo Goicoechea.</t>
  </si>
  <si>
    <t xml:space="preserve">PQ6639.N3 Z612 1970</t>
  </si>
  <si>
    <t xml:space="preserve">Unamuno y Am√©rica / Julio Cesar Chaves ; pr√≥logo: Joaqu√≠n Ruiz-Gim√©nez.</t>
  </si>
  <si>
    <t xml:space="preserve">PQ6639.N3 Z79</t>
  </si>
  <si>
    <t xml:space="preserve">Miguel de Unamuno.</t>
  </si>
  <si>
    <t xml:space="preserve">PQ6639.N3 Z8758</t>
  </si>
  <si>
    <t xml:space="preserve">Unamuno: creator and creation. Edited by Jos√© Rubia Barcia and M. A. Zeitlin.</t>
  </si>
  <si>
    <t xml:space="preserve">PQ7111 .C438 1995</t>
  </si>
  <si>
    <t xml:space="preserve">Literatura mexicana y latinoamericana / Laura Martha Ch√°vez.</t>
  </si>
  <si>
    <t xml:space="preserve">PQ7111 .G62 1968</t>
  </si>
  <si>
    <t xml:space="preserve">History of Mexican literature. Translated by Gusta Barfield Nance and Florence Johnson Dunstan.</t>
  </si>
  <si>
    <t xml:space="preserve">PQ7111 .H57 1996</t>
  </si>
  <si>
    <t xml:space="preserve">Historia de la literatura mexicana : desde sus or√≠gines hasta nuestros d√≠as / coordinadores, Beatriz Garza Cuar√≥n, Georges Baudot.</t>
  </si>
  <si>
    <t xml:space="preserve">PQ7297.A853 A14 1995</t>
  </si>
  <si>
    <t xml:space="preserve">Obras / Juan Jos√© Arreola ; antolog√≠a y pr√≥logo de Sa√∫l Yurkievich.</t>
  </si>
  <si>
    <t xml:space="preserve">PQ7797 .B635 1989</t>
  </si>
  <si>
    <t xml:space="preserve">Obras completas / Jorge Luis Borges ; [edici√≥n realizada por Carlos V. Fr√≠as].</t>
  </si>
  <si>
    <t xml:space="preserve">PQ8097.D617 O2</t>
  </si>
  <si>
    <t xml:space="preserve">El obsceno p√°jaro de la noche : [novela].</t>
  </si>
  <si>
    <t xml:space="preserve">PS1541.Z5 S42</t>
  </si>
  <si>
    <t xml:space="preserve">The life of Emily Dickinson / by Richard B. Sewall.</t>
  </si>
  <si>
    <t xml:space="preserve">PS3531.O82 C2838 1985</t>
  </si>
  <si>
    <t xml:space="preserve">A guide to the Cantos of Ezra Pound / William Cookson.</t>
  </si>
  <si>
    <t xml:space="preserve">PS3531.O82 C2844 1971</t>
  </si>
  <si>
    <t xml:space="preserve">Annotated index to the Cantos of Ezra Pound; cantos I-LXXXIV / by John Hamilton Edwards and William W. Vasse, with the assistance of John J. Espey and Frederic Peachy.</t>
  </si>
  <si>
    <t xml:space="preserve">PS3537.T3234 H29 1987</t>
  </si>
  <si>
    <t xml:space="preserve">Steinbeck bibliographies : an annotated guide / by Robert B. Harmon.</t>
  </si>
  <si>
    <t xml:space="preserve">PS3537.T3234 H37 1990</t>
  </si>
  <si>
    <t xml:space="preserve">The grapes of wrath : a fifty year bibliographic survey / compiled by Robert B. Harmon ; with the assistance of John F. Early ; introduction by Susan Shillinglaw.</t>
  </si>
  <si>
    <t xml:space="preserve">PS3537.T3234 L647</t>
  </si>
  <si>
    <t xml:space="preserve">A Study guide to Steinbeck's The long valley / edited by Tetsumaro Hayashi.</t>
  </si>
  <si>
    <t xml:space="preserve">PS3537.T3234 S84 no.11</t>
  </si>
  <si>
    <t xml:space="preserve">A Handbook for Steinbeck collectors, librarians, and scholars / edited by Tetsumaro Hayashi.</t>
  </si>
  <si>
    <t xml:space="preserve">PS3537.T3234 S84 no.13</t>
  </si>
  <si>
    <t xml:space="preserve">Steinbeck's "The red pony" : essays in criticism / edited by Tetsumaro Hayashi and Thomas J. Moore.</t>
  </si>
  <si>
    <t xml:space="preserve">PS3537.T3234 S84 no.14</t>
  </si>
  <si>
    <t xml:space="preserve">Steinbeck's posthumous work : essays in criticism / edited by Tetsumaro Hayashi and Thomas J. Moore.</t>
  </si>
  <si>
    <t xml:space="preserve">PS3537.T3234 S84 no.6</t>
  </si>
  <si>
    <t xml:space="preserve">Steinbeck's literary achievement / Roy S. Simmonds.</t>
  </si>
  <si>
    <t xml:space="preserve">PS3537.T3234 Z39</t>
  </si>
  <si>
    <t xml:space="preserve">Steinbeck's prophetic vision of America : proceedings of the Taylor University-Ball State University Bicentennial Steinbeck Seminar held at Taylor University, May 1, 1976 / edited by Tetsumaro Hayashi and Kenneth D. Swan.</t>
  </si>
  <si>
    <t xml:space="preserve">PS3537.T3234 Z58</t>
  </si>
  <si>
    <t xml:space="preserve">John Steinbeck and Edward F. Ricketts : the shaping of a novelist.</t>
  </si>
  <si>
    <t xml:space="preserve">PS3537.T3234 Z615 1988</t>
  </si>
  <si>
    <t xml:space="preserve">Looking for Steinbeck's ghost / by Jackson J. Benson.</t>
  </si>
  <si>
    <t xml:space="preserve">PS3537.T3234 Z7135 1985</t>
  </si>
  <si>
    <t xml:space="preserve">A collector's guide to the first editions of John Steinbeck / compiled by Robert B. Harmon.</t>
  </si>
  <si>
    <t xml:space="preserve">PS645 .A52 1935</t>
  </si>
  <si>
    <t xml:space="preserve">The American short short story 1932- an anthology of ... new short stories ...</t>
  </si>
  <si>
    <t xml:space="preserve">PT1100 .A5 1987</t>
  </si>
  <si>
    <t xml:space="preserve">Anthology of medieval German literature : synoptically arranged with contemporary translations / Albert K. Wimmer, with introductions and commentary by Albert K. Wimmer and W. T. H. Jackson.</t>
  </si>
  <si>
    <t xml:space="preserve">PT1101 .K5</t>
  </si>
  <si>
    <t xml:space="preserve">Die deutsche Literatur; Texte und Zeugnisse. Im Verein mit Helmut de Boor [et al.] hrsg. von Walther Killy.</t>
  </si>
  <si>
    <t xml:space="preserve">PT1101 .K5 BD. 1 T. 2</t>
  </si>
  <si>
    <t xml:space="preserve">PT1101 .K5 BD. 2 T. 1</t>
  </si>
  <si>
    <t xml:space="preserve">PT1101 .K5 BD. 2 T. 2</t>
  </si>
  <si>
    <t xml:space="preserve">PT1101 .K5 BD. 3</t>
  </si>
  <si>
    <t xml:space="preserve">PT1101 .K5 BD. 5 T. 1</t>
  </si>
  <si>
    <t xml:space="preserve">PT1101 .K5 BD. 5 T. 2</t>
  </si>
  <si>
    <t xml:space="preserve">PT1101 .K5 BD. 6</t>
  </si>
  <si>
    <t xml:space="preserve">PT1101 .K5 BD. 7</t>
  </si>
  <si>
    <t xml:space="preserve">PT1113 .A58 1993</t>
  </si>
  <si>
    <t xml:space="preserve">An Anthology of German literature of the romantic era and age of Goethe / edited and translated by Klaus-Peter Hinze and Leonard M. Trawick ; with translations also by Angela Elston ... [et al.].</t>
  </si>
  <si>
    <t xml:space="preserve">PT1113 .F7 1913</t>
  </si>
  <si>
    <t xml:space="preserve">The German classics : masterpieces of German literature translated into English / [editor-in-chief, Kuno Francke ; editor, and chief of the board of translators, Isidore Singer].</t>
  </si>
  <si>
    <t xml:space="preserve">PT2621.A26 V4</t>
  </si>
  <si>
    <t xml:space="preserve">Die Verwandlung : Erz√§hlung.</t>
  </si>
  <si>
    <t xml:space="preserve">PT2617.E85 Z693</t>
  </si>
  <si>
    <t xml:space="preserve">Hermann Hesse.</t>
  </si>
  <si>
    <t xml:space="preserve">PT2617.E85 Z833</t>
  </si>
  <si>
    <t xml:space="preserve">Hermann Hesse : life and art / Joseph Mileck.</t>
  </si>
  <si>
    <t xml:space="preserve">PT343 .W5</t>
  </si>
  <si>
    <t xml:space="preserve">Deutsche Dichter des 19. [i.e. neunzehnten] Jahrhunderts; ihr Leben und Werk. Unter Mitarbeit zahlreicher Fachgelehrter.</t>
  </si>
  <si>
    <t xml:space="preserve">PT500 .W55 1988</t>
  </si>
  <si>
    <t xml:space="preserve">Deutsches Dichterlexikon : biographisch-bibliographisches Handw√∂rterbuch zur deutschen Literaturgeschichte / Gero von Wilpert.</t>
  </si>
  <si>
    <t xml:space="preserve">PT85 .D37 1994</t>
  </si>
  <si>
    <t xml:space="preserve">Deutsche Literaturgeschichte : von den Anf√§ngen bis zur Gegenwart / von Wolfgang Beutin ... [et al.].</t>
  </si>
  <si>
    <t xml:space="preserve">PT85 .G458 1998, v...</t>
  </si>
  <si>
    <t xml:space="preserve">Geschichte der deutschen Literatur : Kontinuit√§t und Ver√§nderung vom Mittelalter bis zur Gegenwart / herausgegeben von Ehrhard Bahr ; unter Mitarbeit von Wulf K√∂pke ... [et al.]</t>
  </si>
  <si>
    <t xml:space="preserve">PT85 .G46</t>
  </si>
  <si>
    <t xml:space="preserve">Geschichte der deutschen Literatur vom 18. [i.e. achtzehnten] Jahrhundert bis zur Gegenwart / Viktor ≈Ωmegaƒç (Hrsg.).</t>
  </si>
  <si>
    <t xml:space="preserve">PT91 .C66 1992</t>
  </si>
  <si>
    <t xml:space="preserve">A concise history of German literature to 1900 / edited by Kim Vivian.</t>
  </si>
  <si>
    <t xml:space="preserve">PT921 .G6 1894</t>
  </si>
  <si>
    <t xml:space="preserve">Kinder- und Hausm√§rchen / gesammelt durch die Br√ºder Grimm ; ill. v. Herm. Vogel.</t>
  </si>
  <si>
    <t xml:space="preserve">PR109 .B67 1984</t>
  </si>
  <si>
    <t xml:space="preserve">Literary Britain / photographed by Bill Brandt ; with an introduction by John Hayward ; edited and with an afterword by Mark Haworth-Booth.</t>
  </si>
  <si>
    <t xml:space="preserve">PR109 .D34 1980</t>
  </si>
  <si>
    <t xml:space="preserve">Literary landscapes of the British Isles : a narrative atlas / David Daiches &amp; John Flower.</t>
  </si>
  <si>
    <t xml:space="preserve">PR110.L6 A3 1993</t>
  </si>
  <si>
    <t xml:space="preserve">Famous houses and literary shrines of London / A. St. John Adcock ; with fifty-nine illustrations by Frederick Adcock.</t>
  </si>
  <si>
    <t xml:space="preserve">PR110.L6 D38 1988</t>
  </si>
  <si>
    <t xml:space="preserve">Literary London / Andrew Davies.</t>
  </si>
  <si>
    <t xml:space="preserve">PR110.L6 W4 1990</t>
  </si>
  <si>
    <t xml:space="preserve">Literary London : an illustrated guide / Edwin Webb.</t>
  </si>
  <si>
    <t xml:space="preserve">PR149.M53 F76 1992</t>
  </si>
  <si>
    <t xml:space="preserve">From medieval to medievalism / edited by John Simons.</t>
  </si>
  <si>
    <t xml:space="preserve">PR1585 .H23 1993</t>
  </si>
  <si>
    <t xml:space="preserve">Beowulf scholarship : an annotated bibliography, 1979-1990 / Robert J. Hasenfratz.</t>
  </si>
  <si>
    <t xml:space="preserve">PR1664 .C3</t>
  </si>
  <si>
    <t xml:space="preserve">Cynewulf / Daniel G. Calder.</t>
  </si>
  <si>
    <t xml:space="preserve">PR176.G7 S7 1973</t>
  </si>
  <si>
    <t xml:space="preserve">Studies in Old English literature in honor of Arthur G. Brodeur. Edited by Stanley B. Greenfield.</t>
  </si>
  <si>
    <t xml:space="preserve">PR1760 .A2 1963</t>
  </si>
  <si>
    <t xml:space="preserve">Anglo-Saxon riddles of the Exeter book. Translated by Paull F. Baum.</t>
  </si>
  <si>
    <t xml:space="preserve">PR1585 .C5 1932</t>
  </si>
  <si>
    <t xml:space="preserve">Beowulf; an introduction to the study of the poem with a discussion of the stories of Offa and Finn, by R.W. Chambers.</t>
  </si>
  <si>
    <t xml:space="preserve">PR1585 .G45 1971</t>
  </si>
  <si>
    <t xml:space="preserve">Beowulf and the seventh century : language and content.</t>
  </si>
  <si>
    <t xml:space="preserve">PR281 .M34 1986</t>
  </si>
  <si>
    <t xml:space="preserve">Medieval literature : criticism, ideology &amp; history / edited by David Aers.</t>
  </si>
  <si>
    <t xml:space="preserve">PR658.T7 D6 1984</t>
  </si>
  <si>
    <t xml:space="preserve">Radical tragedy : religion, ideology, and power in the drama of Shakespeare and his contemporaries / Jonathan Dollimore.</t>
  </si>
  <si>
    <t xml:space="preserve">PR3081 .E5 1966</t>
  </si>
  <si>
    <t xml:space="preserve">Shakspeare's vocabulary; its etymological elements. Upsala, Printed at the University Press, 1903.</t>
  </si>
  <si>
    <t xml:space="preserve">D117 .P5213 1958</t>
  </si>
  <si>
    <t xml:space="preserve">A history of Europe / Henri Pirenne ; with an introd. by Jan-Albert Goris ; [translated by Bernard Miall].</t>
  </si>
  <si>
    <t xml:space="preserve">D128 .L4</t>
  </si>
  <si>
    <t xml:space="preserve">Naval power and trade in the Mediterranean, A.D. 500-1100.</t>
  </si>
  <si>
    <t xml:space="preserve">D16.9 .N38 1989</t>
  </si>
  <si>
    <t xml:space="preserve">The New historicism / edited by H. Aram Veeser.</t>
  </si>
  <si>
    <t xml:space="preserve">D164 .Q38</t>
  </si>
  <si>
    <t xml:space="preserve">The Fourth Crusade : the conquest of Constantinople, 1201-1204 / Donald E. Queller.</t>
  </si>
  <si>
    <t xml:space="preserve">D164.A3 B7</t>
  </si>
  <si>
    <t xml:space="preserve">The sundered cross : the story of the Fourth Crusade / [by] Ernle Bradford.</t>
  </si>
  <si>
    <t xml:space="preserve">PR411 .P5 1966</t>
  </si>
  <si>
    <t xml:space="preserve">The English Renaissance 1510-1688 / with a chapter on literature and music by Bruce Pattison.</t>
  </si>
  <si>
    <t xml:space="preserve">D297 .M37 2001</t>
  </si>
  <si>
    <t xml:space="preserve">The Seven Years' War / Daniel Marston.</t>
  </si>
  <si>
    <t xml:space="preserve">D395 .H7</t>
  </si>
  <si>
    <t xml:space="preserve">The history of Europe from 1862 to 1914, from the accession of Bismarck to the outbreak of the great war [by] Lucius Hudson Holt ... and Alexander Wheeler Chilton ...</t>
  </si>
  <si>
    <t xml:space="preserve">D52 .G6</t>
  </si>
  <si>
    <t xml:space="preserve">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</si>
  <si>
    <t xml:space="preserve">D57 .D931</t>
  </si>
  <si>
    <t xml:space="preserve">History of Greece, from the earliest times to the end of the Persian war, tr. from the German of Professor Max Duncker by S. F. Alleyne.</t>
  </si>
  <si>
    <t xml:space="preserve">D57 .R8</t>
  </si>
  <si>
    <t xml:space="preserve">A history of the ancient world / by M. Rostovtzeff.</t>
  </si>
  <si>
    <t xml:space="preserve">D619 .G58</t>
  </si>
  <si>
    <t xml:space="preserve">Six who protested : radical opposition to the First World War / Frederick C. Giffin.</t>
  </si>
  <si>
    <t xml:space="preserve">D750 .K49 2004</t>
  </si>
  <si>
    <t xml:space="preserve">Making friends with Hitler : Lord Londonderry, the Nazis, and the road to World War II / Ian Kershaw.</t>
  </si>
  <si>
    <t xml:space="preserve">D753 .R87 1972</t>
  </si>
  <si>
    <t xml:space="preserve">No clear and present danger : a skeptical view of the United States entry into World War II / Bruce M. Russett.</t>
  </si>
  <si>
    <t xml:space="preserve">D804.3 .P47 1989</t>
  </si>
  <si>
    <t xml:space="preserve">The Holocaust conspiracy : an international policy of genocide / by William R. Perl.</t>
  </si>
  <si>
    <t xml:space="preserve">D804.G4 B765 1998</t>
  </si>
  <si>
    <t xml:space="preserve">Official secrets : what the Nazis planned, what the British and Americans knew / Richard Breitman.</t>
  </si>
  <si>
    <t xml:space="preserve">D810.C82 E45 1991</t>
  </si>
  <si>
    <t xml:space="preserve">Conscientious objectors and the Second World War : moral and religious arguments in support of pacifism / Cynthia Eller.</t>
  </si>
  <si>
    <t xml:space="preserve">D90.G4 L4 1967</t>
  </si>
  <si>
    <t xml:space="preserve">The Geats of Beowulf; a study in the geographical mythology of the Middle Ages.</t>
  </si>
  <si>
    <t xml:space="preserve">N5300 .M865 1961</t>
  </si>
  <si>
    <t xml:space="preserve">The golden encyclopedia of art : painting, sculpture, architecture, and ornament, from prehistoric times to the twentieth century / by Eleanor C. Munro ; with a glossary of artists and art terms.</t>
  </si>
  <si>
    <t xml:space="preserve">N5300 .U6 1958</t>
  </si>
  <si>
    <t xml:space="preserve">History of world art / [by] Everard M. Upjohn, Paul S. Wingert [and] Jane Gaston Mahler.</t>
  </si>
  <si>
    <t xml:space="preserve">N5340 .B6 1978</t>
  </si>
  <si>
    <t xml:space="preserve">Pre-classical, from Crete to Archaic Greece / John Boardman.</t>
  </si>
  <si>
    <t xml:space="preserve">N5630 .H37 1981</t>
  </si>
  <si>
    <t xml:space="preserve">Hellenistic art : the art of the classical world from the death of Alexander the Great to the Battle of Actium / by Christine Mitchell Havelock.</t>
  </si>
  <si>
    <t xml:space="preserve">N6280 .F613</t>
  </si>
  <si>
    <t xml:space="preserve">The art of the West in the Middle Ages / edited and introduced by Jean Bony. Translated from the French by Donald King, with a glossary by P. Kidson.</t>
  </si>
  <si>
    <t xml:space="preserve">N6280 .Y4</t>
  </si>
  <si>
    <t xml:space="preserve">The Year 1200.</t>
  </si>
  <si>
    <t xml:space="preserve">N6280 .Y4 V.2</t>
  </si>
  <si>
    <t xml:space="preserve">N65.L4 P3 1971</t>
  </si>
  <si>
    <t xml:space="preserve">The Codex Huygens and Leonardo da Vinci's art theory; the Pierpont Morgan Library, Codex M.A. 1139.</t>
  </si>
  <si>
    <t xml:space="preserve">N6512 .S2553 1996</t>
  </si>
  <si>
    <t xml:space="preserve">Art of the postmodern era : from the late 1960s to the early 1990s / Irving Sandler.</t>
  </si>
  <si>
    <t xml:space="preserve">N6843 .E8 1969</t>
  </si>
  <si>
    <t xml:space="preserve">Art in mediaeval France, 987-1498.</t>
  </si>
  <si>
    <t xml:space="preserve">N6915 .P3 1960</t>
  </si>
  <si>
    <t xml:space="preserve">The renaissance / [by] Walter Pater; introduction by Arthur Symons.</t>
  </si>
  <si>
    <t xml:space="preserve">N6915 .V322513 1996</t>
  </si>
  <si>
    <t xml:space="preserve">Lives of the painters, sculptors, and architects / translated by Gaston du C. de Vere ; with an introduction and notes by David Ekserdjian.</t>
  </si>
  <si>
    <t xml:space="preserve">N6916 .H37 1980</t>
  </si>
  <si>
    <t xml:space="preserve">Patrons and painters : a study in the relations between Italian art and society in the age of the Baroque / Francis Haskell.</t>
  </si>
  <si>
    <t xml:space="preserve">N71 .G64</t>
  </si>
  <si>
    <t xml:space="preserve">Art, perception and reality [by] E. H. Gombrich, Julian Hochberg [and] Max Black.</t>
  </si>
  <si>
    <t xml:space="preserve">N7260 .B78</t>
  </si>
  <si>
    <t xml:space="preserve">The exotic white man : an alien in Asian and African art / [by] Cottie A. Burland. Photos. by Werner Forman.</t>
  </si>
  <si>
    <t xml:space="preserve">N7280 .G61</t>
  </si>
  <si>
    <t xml:space="preserve">The art of Iran. Translated from the French by Michael Heron. Edited by Michael Rogers.</t>
  </si>
  <si>
    <t xml:space="preserve">N7301 .M6 1966a</t>
  </si>
  <si>
    <t xml:space="preserve">The arts of India from prehistoric to modern times, by Ajit Mookerjee.</t>
  </si>
  <si>
    <t xml:space="preserve">N7340 .W475</t>
  </si>
  <si>
    <t xml:space="preserve">Foundations of Chinese art from Neolithic pottery to modern architecture. 322 illus. in colour and black and white, 91 maps, and line drawings.</t>
  </si>
  <si>
    <t xml:space="preserve">N7343.3 .K37 1996</t>
  </si>
  <si>
    <t xml:space="preserve">Court art of the Tang / Patricia Eichenbaum Karetzky.</t>
  </si>
  <si>
    <t xml:space="preserve">N7350 .N63913 1978</t>
  </si>
  <si>
    <t xml:space="preserve">The arts of Japan / Seiroku Noma ; translated and adapted by Glenn T. Webb ; photos. by Takahashi Bin.</t>
  </si>
  <si>
    <t xml:space="preserve">N7359.K37 A4 1991</t>
  </si>
  <si>
    <t xml:space="preserve">Hokusai : prints and drawings / Matthi Forrer.</t>
  </si>
  <si>
    <t xml:space="preserve">N7420 .A413 1972</t>
  </si>
  <si>
    <t xml:space="preserve">On painting and On sculpture. The Latin texts of De pictura and De statua [by] Leon Battista Alberti. Edited with translations, introduction and notes by Cecil Grayson.</t>
  </si>
  <si>
    <t xml:space="preserve">N8210 .L413 1971</t>
  </si>
  <si>
    <t xml:space="preserve">The legend of Roland in the Middle Ages [by] Rita Lejeune and Jacques Stiennon.</t>
  </si>
  <si>
    <t xml:space="preserve">N8210 .L413 1971 V.2</t>
  </si>
  <si>
    <t xml:space="preserve">ND1130 .L513 1964</t>
  </si>
  <si>
    <t xml:space="preserve">Leonardo da Vinci on painting : a lost book (Libro A) reassembled from the Codex Vaticanus Urbinas 1270 and from the Codex Leicester by Carlo Pedretti ; with a chronology of Leonardo's Treatise on painting. Foreword by Sir Kenneth Clark.</t>
  </si>
  <si>
    <t xml:space="preserve">ND1130 .L515</t>
  </si>
  <si>
    <t xml:space="preserve">Treatise on painting &lt;Codex urbinas latinus 1270&gt; Translated and annotated by A. Philip McMahon. With an introd. by Ludwig H. Heydenreich.</t>
  </si>
  <si>
    <t xml:space="preserve">ND1263 .B613 1963</t>
  </si>
  <si>
    <t xml:space="preserve">The painter's secret geometry; a study of composition in art. With a pref. by Jacques Villon. [Translated from the French by Jonathan Griffin.</t>
  </si>
  <si>
    <t xml:space="preserve">ND1432.I8 G64 1986</t>
  </si>
  <si>
    <t xml:space="preserve">Piety and patronage in Renaissance Venice : Bellini, Titian, and the Franciscans / Rona Goffen.</t>
  </si>
  <si>
    <t xml:space="preserve">ND237.O5 A4 2004</t>
  </si>
  <si>
    <t xml:space="preserve">Georgia O'Keeffe and New Mexico : a sense of place / Barbara Buhler Lynes, Lesley Poling-Kempes, and Frederick W. Turner.</t>
  </si>
  <si>
    <t xml:space="preserve">ND253 .G78 1992</t>
  </si>
  <si>
    <t xml:space="preserve">Painting the conquest : the Mexican Indians and the European Renaissance / Serge Gruzinski ; translated by Deke Dusinberre.</t>
  </si>
  <si>
    <t xml:space="preserve">ND546 .T5</t>
  </si>
  <si>
    <t xml:space="preserve">French painting, from Le Nain to Fragonard / [by] Jacques Thuillier [and] Albert Ch√¢telet. [Translated from the French by James Emmons.</t>
  </si>
  <si>
    <t xml:space="preserve">ND547 .F75</t>
  </si>
  <si>
    <t xml:space="preserve">David to Delacroix / translated by Robert Goldwater.</t>
  </si>
  <si>
    <t xml:space="preserve">ND553.C8 H77</t>
  </si>
  <si>
    <t xml:space="preserve">Jean-Baptiste-Camille Corot / text by Madeleine Hours.</t>
  </si>
  <si>
    <t xml:space="preserve">ND553.C9 F4153</t>
  </si>
  <si>
    <t xml:space="preserve">Gustave Courbet / with an introd. by Rene Huyghe. [Translated from the French by Marcus Bullock]</t>
  </si>
  <si>
    <t xml:space="preserve">ND553.D24 R48</t>
  </si>
  <si>
    <t xml:space="preserve">Honor√© Daumier / text by Robert Rey. [Translated by Norbert Guterman]</t>
  </si>
  <si>
    <t xml:space="preserve">ND553.P66 B5</t>
  </si>
  <si>
    <t xml:space="preserve">The paintings of Nicolas Poussin : critical catalogue.</t>
  </si>
  <si>
    <t xml:space="preserve">ND553.P8 B64</t>
  </si>
  <si>
    <t xml:space="preserve">Nicolas Poussin.</t>
  </si>
  <si>
    <t xml:space="preserve">ND553.P8 F7</t>
  </si>
  <si>
    <t xml:space="preserve">Nicolas Poussin : a new approach / [by] Walter Friedlaender.</t>
  </si>
  <si>
    <t xml:space="preserve">ND611 .C8 1975</t>
  </si>
  <si>
    <t xml:space="preserve">A history of painting in Italy, Umbria, Florence and Siena, from the second to the sixteenth century / by J. A. Crowe &amp; G. B. Cavalcaselle; edited by Langton Douglas, assisted by S. Arthur Strong. London, J. Murray, 1903-14.</t>
  </si>
  <si>
    <t xml:space="preserve">ND615 .B35 1981</t>
  </si>
  <si>
    <t xml:space="preserve">Italian Renaissance painting / James Beck.</t>
  </si>
  <si>
    <t xml:space="preserve">ND615 .B55 1952</t>
  </si>
  <si>
    <t xml:space="preserve">The Italian painters of the Renaissance.</t>
  </si>
  <si>
    <t xml:space="preserve">ND623.B7 C46 1993</t>
  </si>
  <si>
    <t xml:space="preserve">Botticelli's Neoplatonic images / Liana De Girolami Cheney.</t>
  </si>
  <si>
    <t xml:space="preserve">ND623.B7 L53 1978b</t>
  </si>
  <si>
    <t xml:space="preserve">Sandro Botticelli / Ronald Lightbown.</t>
  </si>
  <si>
    <t xml:space="preserve">ND623.B7 L53 1989</t>
  </si>
  <si>
    <t xml:space="preserve">Sandro Botticelli : life and work / Ronald Lightbown.</t>
  </si>
  <si>
    <t xml:space="preserve">ND623.B9 A4</t>
  </si>
  <si>
    <t xml:space="preserve">The complete work of Michelangelo.</t>
  </si>
  <si>
    <t xml:space="preserve">ND623.B9 A4 1999</t>
  </si>
  <si>
    <t xml:space="preserve">Michelangelo : the Sistine Chapel / edited by Stefano; Zuffi.</t>
  </si>
  <si>
    <t xml:space="preserve">ND623.B9 A69 1997a</t>
  </si>
  <si>
    <t xml:space="preserve">Michelangelo--the Last Judgment : a glorious restoration / texts by Loren Partridge, Fabrizio Mancinelli, Gianluigi Colalucci ; photographs by Takashi Okamura ; texts by F. Mancinelli and G. Colalucci translated from the Italian by Lawrence Jenkens.</t>
  </si>
  <si>
    <t xml:space="preserve">ND623.B9 C2913 1994</t>
  </si>
  <si>
    <t xml:space="preserve">The Sistine Chapel : a glorious restoration / edited by Pierluigi De Vecchi ; Carlo Pietrangeli ... [et al].</t>
  </si>
  <si>
    <t xml:space="preserve">ND623.B9 H3</t>
  </si>
  <si>
    <t xml:space="preserve">Michelangelo / text by Frederick Hartt.</t>
  </si>
  <si>
    <t xml:space="preserve">ND623.B9 M3</t>
  </si>
  <si>
    <t xml:space="preserve">Michelangelo, the painter.</t>
  </si>
  <si>
    <t xml:space="preserve">ND623.B92 S42 1972</t>
  </si>
  <si>
    <t xml:space="preserve">Michelangelo, the Sistine Chapel ceiling : illustrations, introductory essays, backgrounds and sources, critical essays / ed. by Charles Seymour, Jr.</t>
  </si>
  <si>
    <t xml:space="preserve">ND623.L5 A4 1998</t>
  </si>
  <si>
    <t xml:space="preserve">The notebooks of Leonardo da Vinci / selected and edited by Irma A. Richter.</t>
  </si>
  <si>
    <t xml:space="preserve">ND623.L5 A45</t>
  </si>
  <si>
    <t xml:space="preserve">Leonardo da Vinci.</t>
  </si>
  <si>
    <t xml:space="preserve">ND623.L5 M32413 2000</t>
  </si>
  <si>
    <t xml:space="preserve">Leonardo da Vinci--the complete paintings / Pietro C. Marani ; appendices edited by Pietro C. Marani and Edoardo Villata.</t>
  </si>
  <si>
    <t xml:space="preserve">ND635 .F713 1981</t>
  </si>
  <si>
    <t xml:space="preserve">From Van Eyck to Bruegel / Max J. Friedl√§nder ; edited and annotated by F. Grossmann ; translated from the German by Marguerite Kay.</t>
  </si>
  <si>
    <t xml:space="preserve">ND635 .P3 1971</t>
  </si>
  <si>
    <t xml:space="preserve">Early Netherlandish painting : its origins and character / by Erwin Panofsky.</t>
  </si>
  <si>
    <t xml:space="preserve">ND653.V5 A4 1995</t>
  </si>
  <si>
    <t xml:space="preserve">Johannes Vermeer / [curators, Frederik J. Duparc and Arthur K. Wheelock, Jr.].</t>
  </si>
  <si>
    <t xml:space="preserve">ND653.V5 W49 1997</t>
  </si>
  <si>
    <t xml:space="preserve">Vermeer : the complete works / Arthur K. Wheelock, Jr.</t>
  </si>
  <si>
    <t xml:space="preserve">ND673.B73 G713 1973</t>
  </si>
  <si>
    <t xml:space="preserve">Pieter Bruegel : complete edition of the paintings / [by] F. Grossmann.</t>
  </si>
  <si>
    <t xml:space="preserve">ND673.B73 S672 1969</t>
  </si>
  <si>
    <t xml:space="preserve">Pieter Bruegel, the elder / text by Wolfgang Stechow.</t>
  </si>
  <si>
    <t xml:space="preserve">ND673.E87 D49 1973</t>
  </si>
  <si>
    <t xml:space="preserve">Van Eyck : the Ghent altarpiece / [by] Elisabeth Dhanens.</t>
  </si>
  <si>
    <t xml:space="preserve">ND673.E87 P5</t>
  </si>
  <si>
    <t xml:space="preserve">The Ghent altarpiece and the art of Jan van Eyck.</t>
  </si>
  <si>
    <t xml:space="preserve">ND813.V4 A68 2003</t>
  </si>
  <si>
    <t xml:space="preserve">Velazquez's Las Meninas / edited by Suzanne L. Stratton-Pruitt.</t>
  </si>
  <si>
    <t xml:space="preserve">ND813.V4 C337 2002</t>
  </si>
  <si>
    <t xml:space="preserve">The Cambridge companion to Vel√°zquez / edited by Suzanne L. Stratton-Pruitt.</t>
  </si>
  <si>
    <t xml:space="preserve">ND813.V4 L6262 1997</t>
  </si>
  <si>
    <t xml:space="preserve">Vel√°zquez : painter of painters : the complete works / Jos√© L√≥pez-Rey.</t>
  </si>
  <si>
    <t xml:space="preserve">ND813.Z85 B76</t>
  </si>
  <si>
    <t xml:space="preserve">Francisco de Zurbar√°n.</t>
  </si>
  <si>
    <t xml:space="preserve">ND853.F87 T65</t>
  </si>
  <si>
    <t xml:space="preserve">The life and art of Henry Fuseli [by] Peter Tomory.</t>
  </si>
</sst>
</file>

<file path=xl/styles.xml><?xml version="1.0" encoding="utf-8"?>
<styleSheet xmlns="http://schemas.openxmlformats.org/spreadsheetml/2006/main">
  <numFmts count="7">
    <numFmt numFmtId="164" formatCode="General"/>
    <numFmt numFmtId="165" formatCode="@"/>
    <numFmt numFmtId="166" formatCode="#,##0"/>
    <numFmt numFmtId="167" formatCode="yyyy\-mm\-dd"/>
    <numFmt numFmtId="168" formatCode="General"/>
    <numFmt numFmtId="169" formatCode="0"/>
    <numFmt numFmtId="170" formatCode="m/d/yyyy"/>
  </numFmts>
  <fonts count="13">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u val="single"/>
      <sz val="11"/>
      <color rgb="FF0000FF"/>
      <name val="Calibri"/>
      <family val="2"/>
    </font>
    <font>
      <sz val="10"/>
      <color rgb="FF000000"/>
      <name val="Verdana"/>
      <family val="2"/>
    </font>
    <font>
      <sz val="12"/>
      <color rgb="FF000000"/>
      <name val="Calibri"/>
      <family val="2"/>
    </font>
    <font>
      <sz val="10"/>
      <name val="Arial"/>
      <family val="2"/>
    </font>
    <font>
      <i val="true"/>
      <sz val="12"/>
      <name val="Calibri"/>
      <family val="2"/>
    </font>
    <font>
      <sz val="12"/>
      <name val="Calibri"/>
      <family val="2"/>
    </font>
    <font>
      <sz val="11"/>
      <color rgb="FF000000"/>
      <name val="Calibri"/>
      <family val="0"/>
    </font>
    <font>
      <u val="single"/>
      <sz val="11"/>
      <color rgb="FF0000FF"/>
      <name val="Calibri"/>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fals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8" fontId="12"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C0C0C0"/>
        </patternFill>
      </fill>
    </dxf>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2690"/>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1934" activePane="bottomLeft" state="frozen"/>
      <selection pane="topLeft" activeCell="G1" activeCellId="0" sqref="G1"/>
      <selection pane="bottomLeft" activeCell="N1936" activeCellId="0" sqref="N1936"/>
    </sheetView>
  </sheetViews>
  <sheetFormatPr defaultColWidth="8.54296875" defaultRowHeight="13.8" zeroHeight="false" outlineLevelRow="0" outlineLevelCol="0"/>
  <cols>
    <col collapsed="false" customWidth="true" hidden="false" outlineLevel="0" max="1" min="1" style="0" width="18.58"/>
    <col collapsed="false" customWidth="true" hidden="false" outlineLevel="0" max="2" min="2" style="1" width="26.66"/>
    <col collapsed="false" customWidth="true" hidden="false" outlineLevel="0" max="3" min="3" style="0" width="21.71"/>
    <col collapsed="false" customWidth="true" hidden="false" outlineLevel="0" max="4" min="4" style="0" width="29.14"/>
    <col collapsed="false" customWidth="true" hidden="false" outlineLevel="0" max="5" min="5" style="0" width="17.86"/>
    <col collapsed="false" customWidth="true" hidden="false" outlineLevel="0" max="11" min="11" style="0" width="18.42"/>
    <col collapsed="false" customWidth="true" hidden="false" outlineLevel="0" max="12" min="12" style="0" width="15.57"/>
    <col collapsed="false" customWidth="true" hidden="false" outlineLevel="0" max="17" min="17" style="0" width="16.29"/>
    <col collapsed="false" customWidth="true" hidden="false" outlineLevel="0" max="54" min="54" style="0" width="20.14"/>
    <col collapsed="false" customWidth="true" hidden="false" outlineLevel="0" max="55" min="55" style="0" width="18.42"/>
    <col collapsed="false" customWidth="true" hidden="false" outlineLevel="0" max="56" min="56" style="0" width="14.01"/>
    <col collapsed="false" customWidth="true" hidden="false" outlineLevel="0" max="57" min="57" style="0" width="15.57"/>
    <col collapsed="false" customWidth="true" hidden="false" outlineLevel="0" max="58" min="58" style="0" width="18.29"/>
  </cols>
  <sheetData>
    <row r="1" customFormat="false" ht="75" hidden="false" customHeight="true" outlineLevel="0" collapsed="false">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row>
    <row r="2" customFormat="false" ht="63" hidden="false" customHeight="true" outlineLevel="0" collapsed="false">
      <c r="A2" s="4" t="s">
        <v>57</v>
      </c>
      <c r="B2" s="5" t="s">
        <v>58</v>
      </c>
      <c r="C2" s="5" t="s">
        <v>59</v>
      </c>
      <c r="D2" s="5" t="s">
        <v>60</v>
      </c>
      <c r="E2" s="6" t="s">
        <v>61</v>
      </c>
      <c r="F2" s="6" t="s">
        <v>57</v>
      </c>
      <c r="G2" s="6" t="s">
        <v>62</v>
      </c>
      <c r="H2" s="6" t="s">
        <v>63</v>
      </c>
      <c r="I2" s="6" t="s">
        <v>63</v>
      </c>
      <c r="J2" s="6" t="s">
        <v>64</v>
      </c>
      <c r="L2" s="5" t="s">
        <v>65</v>
      </c>
      <c r="M2" s="6" t="s">
        <v>66</v>
      </c>
      <c r="O2" s="6" t="s">
        <v>67</v>
      </c>
      <c r="P2" s="6" t="s">
        <v>68</v>
      </c>
      <c r="Q2" s="5" t="s">
        <v>69</v>
      </c>
      <c r="R2" s="6" t="s">
        <v>70</v>
      </c>
      <c r="S2" s="7" t="n">
        <v>2</v>
      </c>
      <c r="T2" s="7" t="n">
        <v>4</v>
      </c>
      <c r="U2" s="8" t="s">
        <v>71</v>
      </c>
      <c r="V2" s="8" t="s">
        <v>71</v>
      </c>
      <c r="W2" s="8" t="s">
        <v>72</v>
      </c>
      <c r="X2" s="8" t="s">
        <v>72</v>
      </c>
      <c r="Y2" s="7" t="n">
        <v>198</v>
      </c>
      <c r="Z2" s="7" t="n">
        <v>138</v>
      </c>
      <c r="AA2" s="7" t="n">
        <v>187</v>
      </c>
      <c r="AB2" s="7" t="n">
        <v>1</v>
      </c>
      <c r="AC2" s="7" t="n">
        <v>1</v>
      </c>
      <c r="AD2" s="7" t="n">
        <v>10</v>
      </c>
      <c r="AE2" s="7" t="n">
        <v>10</v>
      </c>
      <c r="AF2" s="7" t="n">
        <v>3</v>
      </c>
      <c r="AG2" s="7" t="n">
        <v>3</v>
      </c>
      <c r="AH2" s="7" t="n">
        <v>2</v>
      </c>
      <c r="AI2" s="7" t="n">
        <v>2</v>
      </c>
      <c r="AJ2" s="7" t="n">
        <v>7</v>
      </c>
      <c r="AK2" s="7" t="n">
        <v>7</v>
      </c>
      <c r="AL2" s="7" t="n">
        <v>0</v>
      </c>
      <c r="AM2" s="7" t="n">
        <v>0</v>
      </c>
      <c r="AN2" s="7" t="n">
        <v>0</v>
      </c>
      <c r="AO2" s="7" t="n">
        <v>0</v>
      </c>
      <c r="AP2" s="6" t="s">
        <v>63</v>
      </c>
      <c r="AQ2" s="6" t="s">
        <v>63</v>
      </c>
      <c r="AS2" s="9" t="str">
        <f aca="false">HYPERLINK("https://creighton-primo.hosted.exlibrisgroup.com/primo-explore/search?tab=default_tab&amp;search_scope=EVERYTHING&amp;vid=01CRU&amp;lang=en_US&amp;offset=0&amp;query=any,contains,991002235709702656","Catalog Record")</f>
        <v>Catalog Record</v>
      </c>
      <c r="AT2" s="9" t="str">
        <f aca="false">HYPERLINK("http://www.worldcat.org/oclc/28828912","WorldCat Record")</f>
        <v>WorldCat Record</v>
      </c>
      <c r="AU2" s="6" t="s">
        <v>73</v>
      </c>
      <c r="AV2" s="6" t="s">
        <v>74</v>
      </c>
      <c r="AW2" s="6" t="s">
        <v>75</v>
      </c>
      <c r="AX2" s="6" t="s">
        <v>75</v>
      </c>
      <c r="AY2" s="6" t="s">
        <v>76</v>
      </c>
      <c r="AZ2" s="6" t="s">
        <v>77</v>
      </c>
      <c r="BB2" s="10" t="n">
        <v>9780471575481</v>
      </c>
      <c r="BC2" s="10" t="n">
        <v>32285001860203</v>
      </c>
      <c r="BD2" s="6" t="s">
        <v>78</v>
      </c>
      <c r="BE2" s="6" t="s">
        <v>79</v>
      </c>
    </row>
    <row r="3" customFormat="false" ht="63" hidden="false" customHeight="true" outlineLevel="0" collapsed="false">
      <c r="A3" s="4" t="s">
        <v>57</v>
      </c>
      <c r="B3" s="5" t="s">
        <v>58</v>
      </c>
      <c r="C3" s="5" t="s">
        <v>59</v>
      </c>
      <c r="D3" s="5" t="s">
        <v>60</v>
      </c>
      <c r="E3" s="6" t="s">
        <v>80</v>
      </c>
      <c r="F3" s="6" t="s">
        <v>57</v>
      </c>
      <c r="G3" s="6" t="s">
        <v>62</v>
      </c>
      <c r="H3" s="6" t="s">
        <v>63</v>
      </c>
      <c r="I3" s="6" t="s">
        <v>63</v>
      </c>
      <c r="J3" s="6" t="s">
        <v>64</v>
      </c>
      <c r="L3" s="5" t="s">
        <v>65</v>
      </c>
      <c r="M3" s="6" t="s">
        <v>66</v>
      </c>
      <c r="O3" s="6" t="s">
        <v>67</v>
      </c>
      <c r="P3" s="6" t="s">
        <v>68</v>
      </c>
      <c r="Q3" s="5" t="s">
        <v>69</v>
      </c>
      <c r="R3" s="6" t="s">
        <v>70</v>
      </c>
      <c r="S3" s="7" t="n">
        <v>1</v>
      </c>
      <c r="T3" s="7" t="n">
        <v>4</v>
      </c>
      <c r="U3" s="8" t="s">
        <v>71</v>
      </c>
      <c r="V3" s="8" t="s">
        <v>71</v>
      </c>
      <c r="W3" s="8" t="s">
        <v>81</v>
      </c>
      <c r="X3" s="8" t="s">
        <v>72</v>
      </c>
      <c r="Y3" s="7" t="n">
        <v>198</v>
      </c>
      <c r="Z3" s="7" t="n">
        <v>138</v>
      </c>
      <c r="AA3" s="7" t="n">
        <v>187</v>
      </c>
      <c r="AB3" s="7" t="n">
        <v>1</v>
      </c>
      <c r="AC3" s="7" t="n">
        <v>1</v>
      </c>
      <c r="AD3" s="7" t="n">
        <v>10</v>
      </c>
      <c r="AE3" s="7" t="n">
        <v>10</v>
      </c>
      <c r="AF3" s="7" t="n">
        <v>3</v>
      </c>
      <c r="AG3" s="7" t="n">
        <v>3</v>
      </c>
      <c r="AH3" s="7" t="n">
        <v>2</v>
      </c>
      <c r="AI3" s="7" t="n">
        <v>2</v>
      </c>
      <c r="AJ3" s="7" t="n">
        <v>7</v>
      </c>
      <c r="AK3" s="7" t="n">
        <v>7</v>
      </c>
      <c r="AL3" s="7" t="n">
        <v>0</v>
      </c>
      <c r="AM3" s="7" t="n">
        <v>0</v>
      </c>
      <c r="AN3" s="7" t="n">
        <v>0</v>
      </c>
      <c r="AO3" s="7" t="n">
        <v>0</v>
      </c>
      <c r="AP3" s="6" t="s">
        <v>63</v>
      </c>
      <c r="AQ3" s="6" t="s">
        <v>63</v>
      </c>
      <c r="AS3" s="9" t="str">
        <f aca="false">HYPERLINK("https://creighton-primo.hosted.exlibrisgroup.com/primo-explore/search?tab=default_tab&amp;search_scope=EVERYTHING&amp;vid=01CRU&amp;lang=en_US&amp;offset=0&amp;query=any,contains,991002235709702656","Catalog Record")</f>
        <v>Catalog Record</v>
      </c>
      <c r="AT3" s="9" t="str">
        <f aca="false">HYPERLINK("http://www.worldcat.org/oclc/28828912","WorldCat Record")</f>
        <v>WorldCat Record</v>
      </c>
      <c r="AU3" s="6" t="s">
        <v>73</v>
      </c>
      <c r="AV3" s="6" t="s">
        <v>74</v>
      </c>
      <c r="AW3" s="6" t="s">
        <v>75</v>
      </c>
      <c r="AX3" s="6" t="s">
        <v>75</v>
      </c>
      <c r="AY3" s="6" t="s">
        <v>76</v>
      </c>
      <c r="AZ3" s="6" t="s">
        <v>77</v>
      </c>
      <c r="BB3" s="10" t="n">
        <v>9780471575481</v>
      </c>
      <c r="BC3" s="10" t="n">
        <v>32285001800621</v>
      </c>
      <c r="BD3" s="6" t="s">
        <v>82</v>
      </c>
      <c r="BE3" s="6" t="s">
        <v>79</v>
      </c>
    </row>
    <row r="4" customFormat="false" ht="63" hidden="false" customHeight="true" outlineLevel="0" collapsed="false">
      <c r="A4" s="4" t="s">
        <v>57</v>
      </c>
      <c r="B4" s="5" t="s">
        <v>58</v>
      </c>
      <c r="C4" s="5" t="s">
        <v>59</v>
      </c>
      <c r="D4" s="5" t="s">
        <v>60</v>
      </c>
      <c r="E4" s="6" t="s">
        <v>83</v>
      </c>
      <c r="F4" s="6" t="s">
        <v>57</v>
      </c>
      <c r="G4" s="6" t="s">
        <v>62</v>
      </c>
      <c r="H4" s="6" t="s">
        <v>63</v>
      </c>
      <c r="I4" s="6" t="s">
        <v>63</v>
      </c>
      <c r="J4" s="6" t="s">
        <v>64</v>
      </c>
      <c r="L4" s="5" t="s">
        <v>65</v>
      </c>
      <c r="M4" s="6" t="s">
        <v>66</v>
      </c>
      <c r="O4" s="6" t="s">
        <v>67</v>
      </c>
      <c r="P4" s="6" t="s">
        <v>68</v>
      </c>
      <c r="Q4" s="5" t="s">
        <v>69</v>
      </c>
      <c r="R4" s="6" t="s">
        <v>70</v>
      </c>
      <c r="S4" s="7" t="n">
        <v>1</v>
      </c>
      <c r="T4" s="7" t="n">
        <v>4</v>
      </c>
      <c r="U4" s="8" t="s">
        <v>71</v>
      </c>
      <c r="V4" s="8" t="s">
        <v>71</v>
      </c>
      <c r="W4" s="8" t="s">
        <v>72</v>
      </c>
      <c r="X4" s="8" t="s">
        <v>72</v>
      </c>
      <c r="Y4" s="7" t="n">
        <v>198</v>
      </c>
      <c r="Z4" s="7" t="n">
        <v>138</v>
      </c>
      <c r="AA4" s="7" t="n">
        <v>187</v>
      </c>
      <c r="AB4" s="7" t="n">
        <v>1</v>
      </c>
      <c r="AC4" s="7" t="n">
        <v>1</v>
      </c>
      <c r="AD4" s="7" t="n">
        <v>10</v>
      </c>
      <c r="AE4" s="7" t="n">
        <v>10</v>
      </c>
      <c r="AF4" s="7" t="n">
        <v>3</v>
      </c>
      <c r="AG4" s="7" t="n">
        <v>3</v>
      </c>
      <c r="AH4" s="7" t="n">
        <v>2</v>
      </c>
      <c r="AI4" s="7" t="n">
        <v>2</v>
      </c>
      <c r="AJ4" s="7" t="n">
        <v>7</v>
      </c>
      <c r="AK4" s="7" t="n">
        <v>7</v>
      </c>
      <c r="AL4" s="7" t="n">
        <v>0</v>
      </c>
      <c r="AM4" s="7" t="n">
        <v>0</v>
      </c>
      <c r="AN4" s="7" t="n">
        <v>0</v>
      </c>
      <c r="AO4" s="7" t="n">
        <v>0</v>
      </c>
      <c r="AP4" s="6" t="s">
        <v>63</v>
      </c>
      <c r="AQ4" s="6" t="s">
        <v>63</v>
      </c>
      <c r="AS4" s="9" t="str">
        <f aca="false">HYPERLINK("https://creighton-primo.hosted.exlibrisgroup.com/primo-explore/search?tab=default_tab&amp;search_scope=EVERYTHING&amp;vid=01CRU&amp;lang=en_US&amp;offset=0&amp;query=any,contains,991002235709702656","Catalog Record")</f>
        <v>Catalog Record</v>
      </c>
      <c r="AT4" s="9" t="str">
        <f aca="false">HYPERLINK("http://www.worldcat.org/oclc/28828912","WorldCat Record")</f>
        <v>WorldCat Record</v>
      </c>
      <c r="AU4" s="6" t="s">
        <v>73</v>
      </c>
      <c r="AV4" s="6" t="s">
        <v>74</v>
      </c>
      <c r="AW4" s="6" t="s">
        <v>75</v>
      </c>
      <c r="AX4" s="6" t="s">
        <v>75</v>
      </c>
      <c r="AY4" s="6" t="s">
        <v>76</v>
      </c>
      <c r="AZ4" s="6" t="s">
        <v>77</v>
      </c>
      <c r="BB4" s="10" t="n">
        <v>9780471575481</v>
      </c>
      <c r="BC4" s="10" t="n">
        <v>32285001860211</v>
      </c>
      <c r="BD4" s="6" t="s">
        <v>84</v>
      </c>
      <c r="BE4" s="6" t="s">
        <v>79</v>
      </c>
    </row>
    <row r="5" customFormat="false" ht="63" hidden="false" customHeight="true" outlineLevel="0" collapsed="false">
      <c r="A5" s="4" t="s">
        <v>57</v>
      </c>
      <c r="B5" s="5" t="s">
        <v>85</v>
      </c>
      <c r="C5" s="5" t="s">
        <v>86</v>
      </c>
      <c r="D5" s="5" t="s">
        <v>87</v>
      </c>
      <c r="E5" s="6" t="s">
        <v>88</v>
      </c>
      <c r="F5" s="6" t="s">
        <v>57</v>
      </c>
      <c r="G5" s="6" t="s">
        <v>62</v>
      </c>
      <c r="H5" s="6" t="s">
        <v>63</v>
      </c>
      <c r="I5" s="6" t="s">
        <v>63</v>
      </c>
      <c r="J5" s="6" t="s">
        <v>64</v>
      </c>
      <c r="L5" s="5" t="s">
        <v>89</v>
      </c>
      <c r="M5" s="6" t="s">
        <v>90</v>
      </c>
      <c r="N5" s="5" t="s">
        <v>91</v>
      </c>
      <c r="O5" s="6" t="s">
        <v>67</v>
      </c>
      <c r="P5" s="6" t="s">
        <v>68</v>
      </c>
      <c r="Q5" s="5" t="s">
        <v>92</v>
      </c>
      <c r="R5" s="6" t="s">
        <v>70</v>
      </c>
      <c r="S5" s="7" t="n">
        <v>2</v>
      </c>
      <c r="T5" s="7" t="n">
        <v>6</v>
      </c>
      <c r="U5" s="8" t="s">
        <v>93</v>
      </c>
      <c r="V5" s="8" t="s">
        <v>93</v>
      </c>
      <c r="W5" s="8" t="s">
        <v>94</v>
      </c>
      <c r="X5" s="8" t="s">
        <v>94</v>
      </c>
      <c r="Y5" s="7" t="n">
        <v>130</v>
      </c>
      <c r="Z5" s="7" t="n">
        <v>102</v>
      </c>
      <c r="AA5" s="7" t="n">
        <v>176</v>
      </c>
      <c r="AB5" s="7" t="n">
        <v>1</v>
      </c>
      <c r="AC5" s="7" t="n">
        <v>1</v>
      </c>
      <c r="AD5" s="7" t="n">
        <v>5</v>
      </c>
      <c r="AE5" s="7" t="n">
        <v>5</v>
      </c>
      <c r="AF5" s="7" t="n">
        <v>1</v>
      </c>
      <c r="AG5" s="7" t="n">
        <v>1</v>
      </c>
      <c r="AH5" s="7" t="n">
        <v>0</v>
      </c>
      <c r="AI5" s="7" t="n">
        <v>0</v>
      </c>
      <c r="AJ5" s="7" t="n">
        <v>5</v>
      </c>
      <c r="AK5" s="7" t="n">
        <v>5</v>
      </c>
      <c r="AL5" s="7" t="n">
        <v>0</v>
      </c>
      <c r="AM5" s="7" t="n">
        <v>0</v>
      </c>
      <c r="AN5" s="7" t="n">
        <v>0</v>
      </c>
      <c r="AO5" s="7" t="n">
        <v>0</v>
      </c>
      <c r="AP5" s="6" t="s">
        <v>63</v>
      </c>
      <c r="AQ5" s="6" t="s">
        <v>57</v>
      </c>
      <c r="AR5" s="9" t="str">
        <f aca="false">HYPERLINK("http://catalog.hathitrust.org/Record/003580459","HathiTrust Record")</f>
        <v>HathiTrust Record</v>
      </c>
      <c r="AS5" s="9" t="str">
        <f aca="false">HYPERLINK("https://creighton-primo.hosted.exlibrisgroup.com/primo-explore/search?tab=default_tab&amp;search_scope=EVERYTHING&amp;vid=01CRU&amp;lang=en_US&amp;offset=0&amp;query=any,contains,991003685849702656","Catalog Record")</f>
        <v>Catalog Record</v>
      </c>
      <c r="AT5" s="9" t="str">
        <f aca="false">HYPERLINK("http://www.worldcat.org/oclc/47995316","WorldCat Record")</f>
        <v>WorldCat Record</v>
      </c>
      <c r="AU5" s="6" t="s">
        <v>95</v>
      </c>
      <c r="AV5" s="6" t="s">
        <v>96</v>
      </c>
      <c r="AW5" s="6" t="s">
        <v>97</v>
      </c>
      <c r="AX5" s="6" t="s">
        <v>97</v>
      </c>
      <c r="AY5" s="6" t="s">
        <v>98</v>
      </c>
      <c r="AZ5" s="6" t="s">
        <v>77</v>
      </c>
      <c r="BB5" s="10" t="n">
        <v>9780471387367</v>
      </c>
      <c r="BC5" s="10" t="n">
        <v>32285004426150</v>
      </c>
      <c r="BD5" s="6" t="s">
        <v>99</v>
      </c>
      <c r="BE5" s="6" t="s">
        <v>79</v>
      </c>
    </row>
    <row r="6" customFormat="false" ht="63" hidden="false" customHeight="true" outlineLevel="0" collapsed="false">
      <c r="A6" s="4" t="s">
        <v>57</v>
      </c>
      <c r="B6" s="5" t="s">
        <v>85</v>
      </c>
      <c r="C6" s="5" t="s">
        <v>86</v>
      </c>
      <c r="D6" s="5" t="s">
        <v>87</v>
      </c>
      <c r="E6" s="6" t="s">
        <v>100</v>
      </c>
      <c r="F6" s="6" t="s">
        <v>57</v>
      </c>
      <c r="G6" s="6" t="s">
        <v>62</v>
      </c>
      <c r="H6" s="6" t="s">
        <v>63</v>
      </c>
      <c r="I6" s="6" t="s">
        <v>63</v>
      </c>
      <c r="J6" s="6" t="s">
        <v>64</v>
      </c>
      <c r="L6" s="5" t="s">
        <v>89</v>
      </c>
      <c r="M6" s="6" t="s">
        <v>90</v>
      </c>
      <c r="N6" s="5" t="s">
        <v>91</v>
      </c>
      <c r="O6" s="6" t="s">
        <v>67</v>
      </c>
      <c r="P6" s="6" t="s">
        <v>68</v>
      </c>
      <c r="Q6" s="5" t="s">
        <v>92</v>
      </c>
      <c r="R6" s="6" t="s">
        <v>70</v>
      </c>
      <c r="S6" s="7" t="n">
        <v>2</v>
      </c>
      <c r="T6" s="7" t="n">
        <v>6</v>
      </c>
      <c r="U6" s="8" t="s">
        <v>93</v>
      </c>
      <c r="V6" s="8" t="s">
        <v>93</v>
      </c>
      <c r="W6" s="8" t="s">
        <v>94</v>
      </c>
      <c r="X6" s="8" t="s">
        <v>94</v>
      </c>
      <c r="Y6" s="7" t="n">
        <v>130</v>
      </c>
      <c r="Z6" s="7" t="n">
        <v>102</v>
      </c>
      <c r="AA6" s="7" t="n">
        <v>176</v>
      </c>
      <c r="AB6" s="7" t="n">
        <v>1</v>
      </c>
      <c r="AC6" s="7" t="n">
        <v>1</v>
      </c>
      <c r="AD6" s="7" t="n">
        <v>5</v>
      </c>
      <c r="AE6" s="7" t="n">
        <v>5</v>
      </c>
      <c r="AF6" s="7" t="n">
        <v>1</v>
      </c>
      <c r="AG6" s="7" t="n">
        <v>1</v>
      </c>
      <c r="AH6" s="7" t="n">
        <v>0</v>
      </c>
      <c r="AI6" s="7" t="n">
        <v>0</v>
      </c>
      <c r="AJ6" s="7" t="n">
        <v>5</v>
      </c>
      <c r="AK6" s="7" t="n">
        <v>5</v>
      </c>
      <c r="AL6" s="7" t="n">
        <v>0</v>
      </c>
      <c r="AM6" s="7" t="n">
        <v>0</v>
      </c>
      <c r="AN6" s="7" t="n">
        <v>0</v>
      </c>
      <c r="AO6" s="7" t="n">
        <v>0</v>
      </c>
      <c r="AP6" s="6" t="s">
        <v>63</v>
      </c>
      <c r="AQ6" s="6" t="s">
        <v>57</v>
      </c>
      <c r="AR6" s="9" t="str">
        <f aca="false">HYPERLINK("http://catalog.hathitrust.org/Record/003580459","HathiTrust Record")</f>
        <v>HathiTrust Record</v>
      </c>
      <c r="AS6" s="9" t="str">
        <f aca="false">HYPERLINK("https://creighton-primo.hosted.exlibrisgroup.com/primo-explore/search?tab=default_tab&amp;search_scope=EVERYTHING&amp;vid=01CRU&amp;lang=en_US&amp;offset=0&amp;query=any,contains,991003685849702656","Catalog Record")</f>
        <v>Catalog Record</v>
      </c>
      <c r="AT6" s="9" t="str">
        <f aca="false">HYPERLINK("http://www.worldcat.org/oclc/47995316","WorldCat Record")</f>
        <v>WorldCat Record</v>
      </c>
      <c r="AU6" s="6" t="s">
        <v>95</v>
      </c>
      <c r="AV6" s="6" t="s">
        <v>96</v>
      </c>
      <c r="AW6" s="6" t="s">
        <v>97</v>
      </c>
      <c r="AX6" s="6" t="s">
        <v>97</v>
      </c>
      <c r="AY6" s="6" t="s">
        <v>98</v>
      </c>
      <c r="AZ6" s="6" t="s">
        <v>77</v>
      </c>
      <c r="BB6" s="10" t="n">
        <v>9780471387367</v>
      </c>
      <c r="BC6" s="10" t="n">
        <v>32285004426176</v>
      </c>
      <c r="BD6" s="6" t="s">
        <v>101</v>
      </c>
      <c r="BE6" s="6" t="s">
        <v>79</v>
      </c>
    </row>
    <row r="7" customFormat="false" ht="63" hidden="false" customHeight="true" outlineLevel="0" collapsed="false">
      <c r="A7" s="4" t="s">
        <v>57</v>
      </c>
      <c r="B7" s="5" t="s">
        <v>85</v>
      </c>
      <c r="C7" s="5" t="s">
        <v>86</v>
      </c>
      <c r="D7" s="5" t="s">
        <v>87</v>
      </c>
      <c r="E7" s="6" t="s">
        <v>102</v>
      </c>
      <c r="F7" s="6" t="s">
        <v>57</v>
      </c>
      <c r="G7" s="6" t="s">
        <v>62</v>
      </c>
      <c r="H7" s="6" t="s">
        <v>63</v>
      </c>
      <c r="I7" s="6" t="s">
        <v>63</v>
      </c>
      <c r="J7" s="6" t="s">
        <v>64</v>
      </c>
      <c r="L7" s="5" t="s">
        <v>89</v>
      </c>
      <c r="M7" s="6" t="s">
        <v>90</v>
      </c>
      <c r="N7" s="5" t="s">
        <v>91</v>
      </c>
      <c r="O7" s="6" t="s">
        <v>67</v>
      </c>
      <c r="P7" s="6" t="s">
        <v>68</v>
      </c>
      <c r="Q7" s="5" t="s">
        <v>92</v>
      </c>
      <c r="R7" s="6" t="s">
        <v>70</v>
      </c>
      <c r="S7" s="7" t="n">
        <v>2</v>
      </c>
      <c r="T7" s="7" t="n">
        <v>6</v>
      </c>
      <c r="U7" s="8" t="s">
        <v>93</v>
      </c>
      <c r="V7" s="8" t="s">
        <v>93</v>
      </c>
      <c r="W7" s="8" t="s">
        <v>94</v>
      </c>
      <c r="X7" s="8" t="s">
        <v>94</v>
      </c>
      <c r="Y7" s="7" t="n">
        <v>130</v>
      </c>
      <c r="Z7" s="7" t="n">
        <v>102</v>
      </c>
      <c r="AA7" s="7" t="n">
        <v>176</v>
      </c>
      <c r="AB7" s="7" t="n">
        <v>1</v>
      </c>
      <c r="AC7" s="7" t="n">
        <v>1</v>
      </c>
      <c r="AD7" s="7" t="n">
        <v>5</v>
      </c>
      <c r="AE7" s="7" t="n">
        <v>5</v>
      </c>
      <c r="AF7" s="7" t="n">
        <v>1</v>
      </c>
      <c r="AG7" s="7" t="n">
        <v>1</v>
      </c>
      <c r="AH7" s="7" t="n">
        <v>0</v>
      </c>
      <c r="AI7" s="7" t="n">
        <v>0</v>
      </c>
      <c r="AJ7" s="7" t="n">
        <v>5</v>
      </c>
      <c r="AK7" s="7" t="n">
        <v>5</v>
      </c>
      <c r="AL7" s="7" t="n">
        <v>0</v>
      </c>
      <c r="AM7" s="7" t="n">
        <v>0</v>
      </c>
      <c r="AN7" s="7" t="n">
        <v>0</v>
      </c>
      <c r="AO7" s="7" t="n">
        <v>0</v>
      </c>
      <c r="AP7" s="6" t="s">
        <v>63</v>
      </c>
      <c r="AQ7" s="6" t="s">
        <v>57</v>
      </c>
      <c r="AR7" s="9" t="str">
        <f aca="false">HYPERLINK("http://catalog.hathitrust.org/Record/003580459","HathiTrust Record")</f>
        <v>HathiTrust Record</v>
      </c>
      <c r="AS7" s="9" t="str">
        <f aca="false">HYPERLINK("https://creighton-primo.hosted.exlibrisgroup.com/primo-explore/search?tab=default_tab&amp;search_scope=EVERYTHING&amp;vid=01CRU&amp;lang=en_US&amp;offset=0&amp;query=any,contains,991003685849702656","Catalog Record")</f>
        <v>Catalog Record</v>
      </c>
      <c r="AT7" s="9" t="str">
        <f aca="false">HYPERLINK("http://www.worldcat.org/oclc/47995316","WorldCat Record")</f>
        <v>WorldCat Record</v>
      </c>
      <c r="AU7" s="6" t="s">
        <v>95</v>
      </c>
      <c r="AV7" s="6" t="s">
        <v>96</v>
      </c>
      <c r="AW7" s="6" t="s">
        <v>97</v>
      </c>
      <c r="AX7" s="6" t="s">
        <v>97</v>
      </c>
      <c r="AY7" s="6" t="s">
        <v>98</v>
      </c>
      <c r="AZ7" s="6" t="s">
        <v>77</v>
      </c>
      <c r="BB7" s="10" t="n">
        <v>9780471387367</v>
      </c>
      <c r="BC7" s="10" t="n">
        <v>32285004426168</v>
      </c>
      <c r="BD7" s="6" t="s">
        <v>103</v>
      </c>
      <c r="BE7" s="6" t="s">
        <v>79</v>
      </c>
    </row>
    <row r="8" customFormat="false" ht="63" hidden="false" customHeight="true" outlineLevel="0" collapsed="false">
      <c r="A8" s="4" t="s">
        <v>57</v>
      </c>
      <c r="B8" s="5" t="s">
        <v>104</v>
      </c>
      <c r="C8" s="5" t="s">
        <v>105</v>
      </c>
      <c r="D8" s="5" t="s">
        <v>106</v>
      </c>
      <c r="F8" s="6" t="s">
        <v>63</v>
      </c>
      <c r="G8" s="6" t="s">
        <v>62</v>
      </c>
      <c r="H8" s="6" t="s">
        <v>63</v>
      </c>
      <c r="I8" s="6" t="s">
        <v>63</v>
      </c>
      <c r="J8" s="6" t="s">
        <v>64</v>
      </c>
      <c r="L8" s="5" t="s">
        <v>107</v>
      </c>
      <c r="M8" s="6" t="s">
        <v>108</v>
      </c>
      <c r="O8" s="6" t="s">
        <v>67</v>
      </c>
      <c r="P8" s="6" t="s">
        <v>68</v>
      </c>
      <c r="Q8" s="5" t="s">
        <v>109</v>
      </c>
      <c r="R8" s="6" t="s">
        <v>70</v>
      </c>
      <c r="S8" s="7" t="n">
        <v>3</v>
      </c>
      <c r="T8" s="7" t="n">
        <v>3</v>
      </c>
      <c r="U8" s="8" t="s">
        <v>110</v>
      </c>
      <c r="V8" s="8" t="s">
        <v>110</v>
      </c>
      <c r="W8" s="8" t="s">
        <v>111</v>
      </c>
      <c r="X8" s="8" t="s">
        <v>111</v>
      </c>
      <c r="Y8" s="7" t="n">
        <v>414</v>
      </c>
      <c r="Z8" s="7" t="n">
        <v>293</v>
      </c>
      <c r="AA8" s="7" t="n">
        <v>301</v>
      </c>
      <c r="AB8" s="7" t="n">
        <v>2</v>
      </c>
      <c r="AC8" s="7" t="n">
        <v>2</v>
      </c>
      <c r="AD8" s="7" t="n">
        <v>15</v>
      </c>
      <c r="AE8" s="7" t="n">
        <v>15</v>
      </c>
      <c r="AF8" s="7" t="n">
        <v>4</v>
      </c>
      <c r="AG8" s="7" t="n">
        <v>4</v>
      </c>
      <c r="AH8" s="7" t="n">
        <v>3</v>
      </c>
      <c r="AI8" s="7" t="n">
        <v>3</v>
      </c>
      <c r="AJ8" s="7" t="n">
        <v>9</v>
      </c>
      <c r="AK8" s="7" t="n">
        <v>9</v>
      </c>
      <c r="AL8" s="7" t="n">
        <v>1</v>
      </c>
      <c r="AM8" s="7" t="n">
        <v>1</v>
      </c>
      <c r="AN8" s="7" t="n">
        <v>0</v>
      </c>
      <c r="AO8" s="7" t="n">
        <v>0</v>
      </c>
      <c r="AP8" s="6" t="s">
        <v>63</v>
      </c>
      <c r="AQ8" s="6" t="s">
        <v>57</v>
      </c>
      <c r="AR8" s="9" t="str">
        <f aca="false">HYPERLINK("http://catalog.hathitrust.org/Record/000138405","HathiTrust Record")</f>
        <v>HathiTrust Record</v>
      </c>
      <c r="AS8" s="9" t="str">
        <f aca="false">HYPERLINK("https://creighton-primo.hosted.exlibrisgroup.com/primo-explore/search?tab=default_tab&amp;search_scope=EVERYTHING&amp;vid=01CRU&amp;lang=en_US&amp;offset=0&amp;query=any,contains,991004664599702656","Catalog Record")</f>
        <v>Catalog Record</v>
      </c>
      <c r="AT8" s="9" t="str">
        <f aca="false">HYPERLINK("http://www.worldcat.org/oclc/4500003","WorldCat Record")</f>
        <v>WorldCat Record</v>
      </c>
      <c r="AU8" s="6" t="s">
        <v>112</v>
      </c>
      <c r="AV8" s="6" t="s">
        <v>113</v>
      </c>
      <c r="AW8" s="6" t="s">
        <v>114</v>
      </c>
      <c r="AX8" s="6" t="s">
        <v>114</v>
      </c>
      <c r="AY8" s="6" t="s">
        <v>115</v>
      </c>
      <c r="AZ8" s="6" t="s">
        <v>77</v>
      </c>
      <c r="BB8" s="10" t="n">
        <v>9780127366500</v>
      </c>
      <c r="BC8" s="10" t="n">
        <v>32285001516052</v>
      </c>
      <c r="BD8" s="6" t="s">
        <v>116</v>
      </c>
      <c r="BE8" s="6" t="s">
        <v>79</v>
      </c>
    </row>
    <row r="9" customFormat="false" ht="63" hidden="false" customHeight="true" outlineLevel="0" collapsed="false">
      <c r="A9" s="4" t="s">
        <v>57</v>
      </c>
      <c r="B9" s="5" t="s">
        <v>117</v>
      </c>
      <c r="C9" s="5" t="s">
        <v>118</v>
      </c>
      <c r="D9" s="5" t="s">
        <v>119</v>
      </c>
      <c r="E9" s="6" t="s">
        <v>120</v>
      </c>
      <c r="F9" s="6" t="s">
        <v>63</v>
      </c>
      <c r="G9" s="6" t="s">
        <v>62</v>
      </c>
      <c r="H9" s="6" t="s">
        <v>63</v>
      </c>
      <c r="I9" s="6" t="s">
        <v>63</v>
      </c>
      <c r="J9" s="6" t="s">
        <v>64</v>
      </c>
      <c r="L9" s="5" t="s">
        <v>121</v>
      </c>
      <c r="M9" s="6" t="s">
        <v>122</v>
      </c>
      <c r="O9" s="6" t="s">
        <v>67</v>
      </c>
      <c r="P9" s="6" t="s">
        <v>123</v>
      </c>
      <c r="Q9" s="5" t="s">
        <v>124</v>
      </c>
      <c r="R9" s="6" t="s">
        <v>70</v>
      </c>
      <c r="S9" s="7" t="n">
        <v>1</v>
      </c>
      <c r="T9" s="7" t="n">
        <v>1</v>
      </c>
      <c r="U9" s="8" t="s">
        <v>125</v>
      </c>
      <c r="V9" s="8" t="s">
        <v>125</v>
      </c>
      <c r="W9" s="8" t="s">
        <v>126</v>
      </c>
      <c r="X9" s="8" t="s">
        <v>126</v>
      </c>
      <c r="Y9" s="7" t="n">
        <v>204</v>
      </c>
      <c r="Z9" s="7" t="n">
        <v>138</v>
      </c>
      <c r="AA9" s="7" t="n">
        <v>159</v>
      </c>
      <c r="AB9" s="7" t="n">
        <v>2</v>
      </c>
      <c r="AC9" s="7" t="n">
        <v>2</v>
      </c>
      <c r="AD9" s="7" t="n">
        <v>9</v>
      </c>
      <c r="AE9" s="7" t="n">
        <v>9</v>
      </c>
      <c r="AF9" s="7" t="n">
        <v>3</v>
      </c>
      <c r="AG9" s="7" t="n">
        <v>3</v>
      </c>
      <c r="AH9" s="7" t="n">
        <v>2</v>
      </c>
      <c r="AI9" s="7" t="n">
        <v>2</v>
      </c>
      <c r="AJ9" s="7" t="n">
        <v>6</v>
      </c>
      <c r="AK9" s="7" t="n">
        <v>6</v>
      </c>
      <c r="AL9" s="7" t="n">
        <v>1</v>
      </c>
      <c r="AM9" s="7" t="n">
        <v>1</v>
      </c>
      <c r="AN9" s="7" t="n">
        <v>0</v>
      </c>
      <c r="AO9" s="7" t="n">
        <v>0</v>
      </c>
      <c r="AP9" s="6" t="s">
        <v>63</v>
      </c>
      <c r="AQ9" s="6" t="s">
        <v>63</v>
      </c>
      <c r="AS9" s="9" t="str">
        <f aca="false">HYPERLINK("https://creighton-primo.hosted.exlibrisgroup.com/primo-explore/search?tab=default_tab&amp;search_scope=EVERYTHING&amp;vid=01CRU&amp;lang=en_US&amp;offset=0&amp;query=any,contains,991005358119702656","Catalog Record")</f>
        <v>Catalog Record</v>
      </c>
      <c r="AT9" s="9" t="str">
        <f aca="false">HYPERLINK("http://www.worldcat.org/oclc/1263558","WorldCat Record")</f>
        <v>WorldCat Record</v>
      </c>
      <c r="AU9" s="6" t="s">
        <v>127</v>
      </c>
      <c r="AV9" s="6" t="s">
        <v>128</v>
      </c>
      <c r="AW9" s="6" t="s">
        <v>129</v>
      </c>
      <c r="AX9" s="6" t="s">
        <v>129</v>
      </c>
      <c r="AY9" s="6" t="s">
        <v>130</v>
      </c>
      <c r="AZ9" s="6" t="s">
        <v>77</v>
      </c>
      <c r="BB9" s="11"/>
      <c r="BC9" s="10" t="n">
        <v>32285000646157</v>
      </c>
      <c r="BD9" s="6" t="s">
        <v>131</v>
      </c>
      <c r="BE9" s="6" t="s">
        <v>79</v>
      </c>
    </row>
    <row r="10" customFormat="false" ht="48" hidden="false" customHeight="false" outlineLevel="0" collapsed="false">
      <c r="A10" s="4" t="s">
        <v>57</v>
      </c>
      <c r="B10" s="5" t="s">
        <v>132</v>
      </c>
      <c r="C10" s="5" t="s">
        <v>133</v>
      </c>
      <c r="D10" s="5" t="s">
        <v>134</v>
      </c>
      <c r="F10" s="6" t="s">
        <v>63</v>
      </c>
      <c r="G10" s="6" t="s">
        <v>62</v>
      </c>
      <c r="H10" s="6" t="s">
        <v>63</v>
      </c>
      <c r="I10" s="6" t="s">
        <v>63</v>
      </c>
      <c r="J10" s="6" t="s">
        <v>64</v>
      </c>
      <c r="K10" s="5" t="s">
        <v>135</v>
      </c>
      <c r="L10" s="5" t="s">
        <v>136</v>
      </c>
      <c r="M10" s="6" t="s">
        <v>137</v>
      </c>
      <c r="O10" s="6" t="s">
        <v>67</v>
      </c>
      <c r="P10" s="6" t="s">
        <v>68</v>
      </c>
      <c r="Q10" s="5" t="s">
        <v>138</v>
      </c>
      <c r="R10" s="6" t="s">
        <v>70</v>
      </c>
      <c r="S10" s="7" t="n">
        <v>7</v>
      </c>
      <c r="T10" s="7" t="n">
        <v>7</v>
      </c>
      <c r="U10" s="8" t="s">
        <v>139</v>
      </c>
      <c r="V10" s="8" t="s">
        <v>139</v>
      </c>
      <c r="W10" s="8" t="s">
        <v>140</v>
      </c>
      <c r="X10" s="8" t="s">
        <v>140</v>
      </c>
      <c r="Y10" s="7" t="n">
        <v>239</v>
      </c>
      <c r="Z10" s="7" t="n">
        <v>194</v>
      </c>
      <c r="AA10" s="7" t="n">
        <v>195</v>
      </c>
      <c r="AB10" s="7" t="n">
        <v>2</v>
      </c>
      <c r="AC10" s="7" t="n">
        <v>2</v>
      </c>
      <c r="AD10" s="7" t="n">
        <v>9</v>
      </c>
      <c r="AE10" s="7" t="n">
        <v>9</v>
      </c>
      <c r="AF10" s="7" t="n">
        <v>2</v>
      </c>
      <c r="AG10" s="7" t="n">
        <v>2</v>
      </c>
      <c r="AH10" s="7" t="n">
        <v>4</v>
      </c>
      <c r="AI10" s="7" t="n">
        <v>4</v>
      </c>
      <c r="AJ10" s="7" t="n">
        <v>5</v>
      </c>
      <c r="AK10" s="7" t="n">
        <v>5</v>
      </c>
      <c r="AL10" s="7" t="n">
        <v>1</v>
      </c>
      <c r="AM10" s="7" t="n">
        <v>1</v>
      </c>
      <c r="AN10" s="7" t="n">
        <v>0</v>
      </c>
      <c r="AO10" s="7" t="n">
        <v>0</v>
      </c>
      <c r="AP10" s="6" t="s">
        <v>63</v>
      </c>
      <c r="AQ10" s="6" t="s">
        <v>57</v>
      </c>
      <c r="AR10" s="9" t="str">
        <f aca="false">HYPERLINK("http://catalog.hathitrust.org/Record/004117642","HathiTrust Record")</f>
        <v>HathiTrust Record</v>
      </c>
      <c r="AS10" s="9" t="str">
        <f aca="false">HYPERLINK("https://creighton-primo.hosted.exlibrisgroup.com/primo-explore/search?tab=default_tab&amp;search_scope=EVERYTHING&amp;vid=01CRU&amp;lang=en_US&amp;offset=0&amp;query=any,contains,991005425589702656","Catalog Record")</f>
        <v>Catalog Record</v>
      </c>
      <c r="AT10" s="9" t="str">
        <f aca="false">HYPERLINK("http://www.worldcat.org/oclc/36181113","WorldCat Record")</f>
        <v>WorldCat Record</v>
      </c>
      <c r="AU10" s="6" t="s">
        <v>141</v>
      </c>
      <c r="AV10" s="6" t="s">
        <v>142</v>
      </c>
      <c r="AW10" s="6" t="s">
        <v>143</v>
      </c>
      <c r="AX10" s="6" t="s">
        <v>143</v>
      </c>
      <c r="AY10" s="6" t="s">
        <v>144</v>
      </c>
      <c r="AZ10" s="6" t="s">
        <v>77</v>
      </c>
      <c r="BB10" s="10" t="n">
        <v>9780060911584</v>
      </c>
      <c r="BC10" s="10" t="n">
        <v>32285005407795</v>
      </c>
      <c r="BD10" s="6" t="s">
        <v>145</v>
      </c>
      <c r="BE10" s="6" t="s">
        <v>146</v>
      </c>
    </row>
    <row r="11" customFormat="false" ht="48" hidden="false" customHeight="false" outlineLevel="0" collapsed="false">
      <c r="A11" s="4" t="s">
        <v>57</v>
      </c>
      <c r="B11" s="5" t="s">
        <v>147</v>
      </c>
      <c r="C11" s="5" t="s">
        <v>148</v>
      </c>
      <c r="D11" s="5" t="s">
        <v>149</v>
      </c>
      <c r="F11" s="6" t="s">
        <v>63</v>
      </c>
      <c r="G11" s="6" t="s">
        <v>62</v>
      </c>
      <c r="H11" s="6" t="s">
        <v>63</v>
      </c>
      <c r="I11" s="6" t="s">
        <v>63</v>
      </c>
      <c r="J11" s="6" t="s">
        <v>64</v>
      </c>
      <c r="K11" s="5" t="s">
        <v>150</v>
      </c>
      <c r="L11" s="5" t="s">
        <v>151</v>
      </c>
      <c r="M11" s="6" t="s">
        <v>152</v>
      </c>
      <c r="N11" s="5" t="s">
        <v>153</v>
      </c>
      <c r="O11" s="6" t="s">
        <v>67</v>
      </c>
      <c r="P11" s="6" t="s">
        <v>68</v>
      </c>
      <c r="Q11" s="5" t="s">
        <v>154</v>
      </c>
      <c r="R11" s="6" t="s">
        <v>155</v>
      </c>
      <c r="S11" s="7" t="n">
        <v>1</v>
      </c>
      <c r="T11" s="7" t="n">
        <v>1</v>
      </c>
      <c r="U11" s="8" t="s">
        <v>156</v>
      </c>
      <c r="V11" s="8" t="s">
        <v>156</v>
      </c>
      <c r="W11" s="8" t="s">
        <v>156</v>
      </c>
      <c r="X11" s="8" t="s">
        <v>156</v>
      </c>
      <c r="Y11" s="7" t="n">
        <v>338</v>
      </c>
      <c r="Z11" s="7" t="n">
        <v>308</v>
      </c>
      <c r="AA11" s="7" t="n">
        <v>753</v>
      </c>
      <c r="AB11" s="7" t="n">
        <v>3</v>
      </c>
      <c r="AC11" s="7" t="n">
        <v>5</v>
      </c>
      <c r="AD11" s="7" t="n">
        <v>11</v>
      </c>
      <c r="AE11" s="7" t="n">
        <v>33</v>
      </c>
      <c r="AF11" s="7" t="n">
        <v>2</v>
      </c>
      <c r="AG11" s="7" t="n">
        <v>14</v>
      </c>
      <c r="AH11" s="7" t="n">
        <v>5</v>
      </c>
      <c r="AI11" s="7" t="n">
        <v>9</v>
      </c>
      <c r="AJ11" s="7" t="n">
        <v>5</v>
      </c>
      <c r="AK11" s="7" t="n">
        <v>17</v>
      </c>
      <c r="AL11" s="7" t="n">
        <v>1</v>
      </c>
      <c r="AM11" s="7" t="n">
        <v>3</v>
      </c>
      <c r="AN11" s="7" t="n">
        <v>0</v>
      </c>
      <c r="AO11" s="7" t="n">
        <v>0</v>
      </c>
      <c r="AP11" s="6" t="s">
        <v>63</v>
      </c>
      <c r="AQ11" s="6" t="s">
        <v>57</v>
      </c>
      <c r="AR11" s="9" t="str">
        <f aca="false">HYPERLINK("http://catalog.hathitrust.org/Record/102081352","HathiTrust Record")</f>
        <v>HathiTrust Record</v>
      </c>
      <c r="AS11" s="9" t="str">
        <f aca="false">HYPERLINK("https://creighton-primo.hosted.exlibrisgroup.com/primo-explore/search?tab=default_tab&amp;search_scope=EVERYTHING&amp;vid=01CRU&amp;lang=en_US&amp;offset=0&amp;query=any,contains,991005220849702656","Catalog Record")</f>
        <v>Catalog Record</v>
      </c>
      <c r="AT11" s="9" t="str">
        <f aca="false">HYPERLINK("http://www.worldcat.org/oclc/10799301","WorldCat Record")</f>
        <v>WorldCat Record</v>
      </c>
      <c r="AU11" s="6" t="s">
        <v>157</v>
      </c>
      <c r="AV11" s="6" t="s">
        <v>158</v>
      </c>
      <c r="AW11" s="6" t="s">
        <v>159</v>
      </c>
      <c r="AX11" s="6" t="s">
        <v>159</v>
      </c>
      <c r="AY11" s="6" t="s">
        <v>160</v>
      </c>
      <c r="AZ11" s="6" t="s">
        <v>77</v>
      </c>
      <c r="BB11" s="11"/>
      <c r="BC11" s="10" t="n">
        <v>32285002861333</v>
      </c>
      <c r="BD11" s="6" t="s">
        <v>161</v>
      </c>
      <c r="BE11" s="6" t="s">
        <v>146</v>
      </c>
    </row>
    <row r="12" customFormat="false" ht="25" hidden="false" customHeight="false" outlineLevel="0" collapsed="false">
      <c r="A12" s="4" t="s">
        <v>57</v>
      </c>
      <c r="B12" s="5" t="s">
        <v>162</v>
      </c>
      <c r="C12" s="5" t="s">
        <v>163</v>
      </c>
      <c r="D12" s="5" t="s">
        <v>164</v>
      </c>
      <c r="F12" s="6" t="s">
        <v>63</v>
      </c>
      <c r="G12" s="6" t="s">
        <v>62</v>
      </c>
      <c r="H12" s="6" t="s">
        <v>63</v>
      </c>
      <c r="I12" s="6" t="s">
        <v>63</v>
      </c>
      <c r="J12" s="6" t="s">
        <v>64</v>
      </c>
      <c r="K12" s="5" t="s">
        <v>165</v>
      </c>
      <c r="L12" s="5" t="s">
        <v>166</v>
      </c>
      <c r="M12" s="6" t="s">
        <v>167</v>
      </c>
      <c r="O12" s="6" t="s">
        <v>67</v>
      </c>
      <c r="P12" s="6" t="s">
        <v>123</v>
      </c>
      <c r="Q12" s="5" t="s">
        <v>168</v>
      </c>
      <c r="R12" s="6" t="s">
        <v>155</v>
      </c>
      <c r="S12" s="7" t="n">
        <v>1</v>
      </c>
      <c r="T12" s="7" t="n">
        <v>1</v>
      </c>
      <c r="U12" s="8" t="s">
        <v>169</v>
      </c>
      <c r="V12" s="8" t="s">
        <v>169</v>
      </c>
      <c r="W12" s="8" t="s">
        <v>170</v>
      </c>
      <c r="X12" s="8" t="s">
        <v>170</v>
      </c>
      <c r="Y12" s="7" t="n">
        <v>47</v>
      </c>
      <c r="Z12" s="7" t="n">
        <v>40</v>
      </c>
      <c r="AA12" s="7" t="n">
        <v>1414</v>
      </c>
      <c r="AB12" s="7" t="n">
        <v>1</v>
      </c>
      <c r="AC12" s="7" t="n">
        <v>9</v>
      </c>
      <c r="AD12" s="7" t="n">
        <v>1</v>
      </c>
      <c r="AE12" s="7" t="n">
        <v>49</v>
      </c>
      <c r="AF12" s="7" t="n">
        <v>1</v>
      </c>
      <c r="AG12" s="7" t="n">
        <v>23</v>
      </c>
      <c r="AH12" s="7" t="n">
        <v>0</v>
      </c>
      <c r="AI12" s="7" t="n">
        <v>8</v>
      </c>
      <c r="AJ12" s="7" t="n">
        <v>0</v>
      </c>
      <c r="AK12" s="7" t="n">
        <v>23</v>
      </c>
      <c r="AL12" s="7" t="n">
        <v>0</v>
      </c>
      <c r="AM12" s="7" t="n">
        <v>6</v>
      </c>
      <c r="AN12" s="7" t="n">
        <v>0</v>
      </c>
      <c r="AO12" s="7" t="n">
        <v>0</v>
      </c>
      <c r="AP12" s="6" t="s">
        <v>63</v>
      </c>
      <c r="AQ12" s="6" t="s">
        <v>63</v>
      </c>
      <c r="AS12" s="9" t="str">
        <f aca="false">HYPERLINK("https://creighton-primo.hosted.exlibrisgroup.com/primo-explore/search?tab=default_tab&amp;search_scope=EVERYTHING&amp;vid=01CRU&amp;lang=en_US&amp;offset=0&amp;query=any,contains,991004720029702656","Catalog Record")</f>
        <v>Catalog Record</v>
      </c>
      <c r="AT12" s="9" t="str">
        <f aca="false">HYPERLINK("http://www.worldcat.org/oclc/4798818","WorldCat Record")</f>
        <v>WorldCat Record</v>
      </c>
      <c r="AU12" s="6" t="s">
        <v>171</v>
      </c>
      <c r="AV12" s="6" t="s">
        <v>172</v>
      </c>
      <c r="AW12" s="6" t="s">
        <v>173</v>
      </c>
      <c r="AX12" s="6" t="s">
        <v>173</v>
      </c>
      <c r="AY12" s="6" t="s">
        <v>174</v>
      </c>
      <c r="AZ12" s="6" t="s">
        <v>77</v>
      </c>
      <c r="BB12" s="11"/>
      <c r="BC12" s="10" t="n">
        <v>32285001603991</v>
      </c>
      <c r="BD12" s="6" t="s">
        <v>175</v>
      </c>
      <c r="BE12" s="6" t="s">
        <v>146</v>
      </c>
    </row>
    <row r="13" customFormat="false" ht="48" hidden="false" customHeight="false" outlineLevel="0" collapsed="false">
      <c r="A13" s="4" t="s">
        <v>57</v>
      </c>
      <c r="B13" s="5" t="s">
        <v>176</v>
      </c>
      <c r="C13" s="5" t="s">
        <v>177</v>
      </c>
      <c r="D13" s="5" t="s">
        <v>178</v>
      </c>
      <c r="F13" s="6" t="s">
        <v>63</v>
      </c>
      <c r="G13" s="6" t="s">
        <v>62</v>
      </c>
      <c r="H13" s="6" t="s">
        <v>63</v>
      </c>
      <c r="I13" s="6" t="s">
        <v>63</v>
      </c>
      <c r="J13" s="6" t="s">
        <v>64</v>
      </c>
      <c r="K13" s="5" t="s">
        <v>165</v>
      </c>
      <c r="L13" s="5" t="s">
        <v>179</v>
      </c>
      <c r="M13" s="6" t="s">
        <v>180</v>
      </c>
      <c r="O13" s="6" t="s">
        <v>67</v>
      </c>
      <c r="P13" s="6" t="s">
        <v>181</v>
      </c>
      <c r="Q13" s="5" t="s">
        <v>182</v>
      </c>
      <c r="R13" s="6" t="s">
        <v>155</v>
      </c>
      <c r="S13" s="7" t="n">
        <v>3</v>
      </c>
      <c r="T13" s="7" t="n">
        <v>3</v>
      </c>
      <c r="U13" s="8" t="s">
        <v>183</v>
      </c>
      <c r="V13" s="8" t="s">
        <v>183</v>
      </c>
      <c r="W13" s="8" t="s">
        <v>184</v>
      </c>
      <c r="X13" s="8" t="s">
        <v>184</v>
      </c>
      <c r="Y13" s="7" t="n">
        <v>523</v>
      </c>
      <c r="Z13" s="7" t="n">
        <v>470</v>
      </c>
      <c r="AA13" s="7" t="n">
        <v>478</v>
      </c>
      <c r="AB13" s="7" t="n">
        <v>3</v>
      </c>
      <c r="AC13" s="7" t="n">
        <v>3</v>
      </c>
      <c r="AD13" s="7" t="n">
        <v>14</v>
      </c>
      <c r="AE13" s="7" t="n">
        <v>14</v>
      </c>
      <c r="AF13" s="7" t="n">
        <v>4</v>
      </c>
      <c r="AG13" s="7" t="n">
        <v>4</v>
      </c>
      <c r="AH13" s="7" t="n">
        <v>4</v>
      </c>
      <c r="AI13" s="7" t="n">
        <v>4</v>
      </c>
      <c r="AJ13" s="7" t="n">
        <v>6</v>
      </c>
      <c r="AK13" s="7" t="n">
        <v>6</v>
      </c>
      <c r="AL13" s="7" t="n">
        <v>1</v>
      </c>
      <c r="AM13" s="7" t="n">
        <v>1</v>
      </c>
      <c r="AN13" s="7" t="n">
        <v>0</v>
      </c>
      <c r="AO13" s="7" t="n">
        <v>0</v>
      </c>
      <c r="AP13" s="6" t="s">
        <v>63</v>
      </c>
      <c r="AQ13" s="6" t="s">
        <v>57</v>
      </c>
      <c r="AR13" s="9" t="str">
        <f aca="false">HYPERLINK("http://catalog.hathitrust.org/Record/000643431","HathiTrust Record")</f>
        <v>HathiTrust Record</v>
      </c>
      <c r="AS13" s="9" t="str">
        <f aca="false">HYPERLINK("https://creighton-primo.hosted.exlibrisgroup.com/primo-explore/search?tab=default_tab&amp;search_scope=EVERYTHING&amp;vid=01CRU&amp;lang=en_US&amp;offset=0&amp;query=any,contains,991002905819702656","Catalog Record")</f>
        <v>Catalog Record</v>
      </c>
      <c r="AT13" s="9" t="str">
        <f aca="false">HYPERLINK("http://www.worldcat.org/oclc/519360","WorldCat Record")</f>
        <v>WorldCat Record</v>
      </c>
      <c r="AU13" s="6" t="s">
        <v>185</v>
      </c>
      <c r="AV13" s="6" t="s">
        <v>186</v>
      </c>
      <c r="AW13" s="6" t="s">
        <v>187</v>
      </c>
      <c r="AX13" s="6" t="s">
        <v>187</v>
      </c>
      <c r="AY13" s="6" t="s">
        <v>188</v>
      </c>
      <c r="AZ13" s="6" t="s">
        <v>77</v>
      </c>
      <c r="BB13" s="10" t="n">
        <v>9780517020784</v>
      </c>
      <c r="BC13" s="10" t="n">
        <v>32285002863099</v>
      </c>
      <c r="BD13" s="6" t="s">
        <v>189</v>
      </c>
      <c r="BE13" s="6" t="s">
        <v>146</v>
      </c>
    </row>
    <row r="14" customFormat="false" ht="36.5" hidden="false" customHeight="false" outlineLevel="0" collapsed="false">
      <c r="A14" s="4" t="s">
        <v>57</v>
      </c>
      <c r="B14" s="5" t="s">
        <v>190</v>
      </c>
      <c r="C14" s="5" t="s">
        <v>191</v>
      </c>
      <c r="D14" s="5" t="s">
        <v>192</v>
      </c>
      <c r="F14" s="6" t="s">
        <v>63</v>
      </c>
      <c r="G14" s="6" t="s">
        <v>62</v>
      </c>
      <c r="H14" s="6" t="s">
        <v>63</v>
      </c>
      <c r="I14" s="6" t="s">
        <v>63</v>
      </c>
      <c r="J14" s="6" t="s">
        <v>64</v>
      </c>
      <c r="K14" s="5" t="s">
        <v>193</v>
      </c>
      <c r="L14" s="5" t="s">
        <v>194</v>
      </c>
      <c r="M14" s="6" t="s">
        <v>195</v>
      </c>
      <c r="O14" s="6" t="s">
        <v>67</v>
      </c>
      <c r="P14" s="6" t="s">
        <v>68</v>
      </c>
      <c r="R14" s="6" t="s">
        <v>155</v>
      </c>
      <c r="S14" s="7" t="n">
        <v>2</v>
      </c>
      <c r="T14" s="7" t="n">
        <v>2</v>
      </c>
      <c r="U14" s="8" t="s">
        <v>196</v>
      </c>
      <c r="V14" s="8" t="s">
        <v>196</v>
      </c>
      <c r="W14" s="8" t="s">
        <v>197</v>
      </c>
      <c r="X14" s="8" t="s">
        <v>197</v>
      </c>
      <c r="Y14" s="7" t="n">
        <v>1403</v>
      </c>
      <c r="Z14" s="7" t="n">
        <v>1302</v>
      </c>
      <c r="AA14" s="7" t="n">
        <v>1584</v>
      </c>
      <c r="AB14" s="7" t="n">
        <v>11</v>
      </c>
      <c r="AC14" s="7" t="n">
        <v>15</v>
      </c>
      <c r="AD14" s="7" t="n">
        <v>30</v>
      </c>
      <c r="AE14" s="7" t="n">
        <v>33</v>
      </c>
      <c r="AF14" s="7" t="n">
        <v>9</v>
      </c>
      <c r="AG14" s="7" t="n">
        <v>10</v>
      </c>
      <c r="AH14" s="7" t="n">
        <v>6</v>
      </c>
      <c r="AI14" s="7" t="n">
        <v>6</v>
      </c>
      <c r="AJ14" s="7" t="n">
        <v>16</v>
      </c>
      <c r="AK14" s="7" t="n">
        <v>17</v>
      </c>
      <c r="AL14" s="7" t="n">
        <v>6</v>
      </c>
      <c r="AM14" s="7" t="n">
        <v>7</v>
      </c>
      <c r="AN14" s="7" t="n">
        <v>0</v>
      </c>
      <c r="AO14" s="7" t="n">
        <v>0</v>
      </c>
      <c r="AP14" s="6" t="s">
        <v>63</v>
      </c>
      <c r="AQ14" s="6" t="s">
        <v>63</v>
      </c>
      <c r="AR14" s="9" t="str">
        <f aca="false">HYPERLINK("http://catalog.hathitrust.org/Record/000643309","HathiTrust Record")</f>
        <v>HathiTrust Record</v>
      </c>
      <c r="AS14" s="9" t="str">
        <f aca="false">HYPERLINK("https://creighton-primo.hosted.exlibrisgroup.com/primo-explore/search?tab=default_tab&amp;search_scope=EVERYTHING&amp;vid=01CRU&amp;lang=en_US&amp;offset=0&amp;query=any,contains,991002163369702656","Catalog Record")</f>
        <v>Catalog Record</v>
      </c>
      <c r="AT14" s="9" t="str">
        <f aca="false">HYPERLINK("http://www.worldcat.org/oclc/274424","WorldCat Record")</f>
        <v>WorldCat Record</v>
      </c>
      <c r="AU14" s="6" t="s">
        <v>198</v>
      </c>
      <c r="AV14" s="6" t="s">
        <v>199</v>
      </c>
      <c r="AW14" s="6" t="s">
        <v>200</v>
      </c>
      <c r="AX14" s="6" t="s">
        <v>200</v>
      </c>
      <c r="AY14" s="6" t="s">
        <v>201</v>
      </c>
      <c r="AZ14" s="6" t="s">
        <v>77</v>
      </c>
      <c r="BB14" s="10" t="n">
        <v>9780399132322</v>
      </c>
      <c r="BC14" s="10" t="n">
        <v>32285001654622</v>
      </c>
      <c r="BD14" s="6" t="s">
        <v>202</v>
      </c>
      <c r="BE14" s="6" t="s">
        <v>146</v>
      </c>
    </row>
    <row r="15" customFormat="false" ht="36.5" hidden="false" customHeight="false" outlineLevel="0" collapsed="false">
      <c r="A15" s="4" t="s">
        <v>57</v>
      </c>
      <c r="B15" s="5" t="s">
        <v>203</v>
      </c>
      <c r="C15" s="5" t="s">
        <v>204</v>
      </c>
      <c r="D15" s="5" t="s">
        <v>205</v>
      </c>
      <c r="F15" s="6" t="s">
        <v>63</v>
      </c>
      <c r="G15" s="6" t="s">
        <v>62</v>
      </c>
      <c r="H15" s="6" t="s">
        <v>63</v>
      </c>
      <c r="I15" s="6" t="s">
        <v>63</v>
      </c>
      <c r="J15" s="6" t="s">
        <v>64</v>
      </c>
      <c r="K15" s="5" t="s">
        <v>206</v>
      </c>
      <c r="L15" s="5" t="s">
        <v>207</v>
      </c>
      <c r="M15" s="6" t="s">
        <v>208</v>
      </c>
      <c r="O15" s="6" t="s">
        <v>67</v>
      </c>
      <c r="P15" s="6" t="s">
        <v>68</v>
      </c>
      <c r="R15" s="6" t="s">
        <v>155</v>
      </c>
      <c r="S15" s="7" t="n">
        <v>11</v>
      </c>
      <c r="T15" s="7" t="n">
        <v>11</v>
      </c>
      <c r="U15" s="8" t="s">
        <v>209</v>
      </c>
      <c r="V15" s="8" t="s">
        <v>209</v>
      </c>
      <c r="W15" s="8" t="s">
        <v>210</v>
      </c>
      <c r="X15" s="8" t="s">
        <v>210</v>
      </c>
      <c r="Y15" s="7" t="n">
        <v>1590</v>
      </c>
      <c r="Z15" s="7" t="n">
        <v>1508</v>
      </c>
      <c r="AA15" s="7" t="n">
        <v>1674</v>
      </c>
      <c r="AB15" s="7" t="n">
        <v>11</v>
      </c>
      <c r="AC15" s="7" t="n">
        <v>11</v>
      </c>
      <c r="AD15" s="7" t="n">
        <v>31</v>
      </c>
      <c r="AE15" s="7" t="n">
        <v>35</v>
      </c>
      <c r="AF15" s="7" t="n">
        <v>14</v>
      </c>
      <c r="AG15" s="7" t="n">
        <v>15</v>
      </c>
      <c r="AH15" s="7" t="n">
        <v>6</v>
      </c>
      <c r="AI15" s="7" t="n">
        <v>8</v>
      </c>
      <c r="AJ15" s="7" t="n">
        <v>14</v>
      </c>
      <c r="AK15" s="7" t="n">
        <v>16</v>
      </c>
      <c r="AL15" s="7" t="n">
        <v>6</v>
      </c>
      <c r="AM15" s="7" t="n">
        <v>6</v>
      </c>
      <c r="AN15" s="7" t="n">
        <v>0</v>
      </c>
      <c r="AO15" s="7" t="n">
        <v>0</v>
      </c>
      <c r="AP15" s="6" t="s">
        <v>63</v>
      </c>
      <c r="AQ15" s="6" t="s">
        <v>57</v>
      </c>
      <c r="AR15" s="9" t="str">
        <f aca="false">HYPERLINK("http://catalog.hathitrust.org/Record/000877446","HathiTrust Record")</f>
        <v>HathiTrust Record</v>
      </c>
      <c r="AS15" s="9" t="str">
        <f aca="false">HYPERLINK("https://creighton-primo.hosted.exlibrisgroup.com/primo-explore/search?tab=default_tab&amp;search_scope=EVERYTHING&amp;vid=01CRU&amp;lang=en_US&amp;offset=0&amp;query=any,contains,991001065389702656","Catalog Record")</f>
        <v>Catalog Record</v>
      </c>
      <c r="AT15" s="9" t="str">
        <f aca="false">HYPERLINK("http://www.worldcat.org/oclc/15793181","WorldCat Record")</f>
        <v>WorldCat Record</v>
      </c>
      <c r="AU15" s="6" t="s">
        <v>211</v>
      </c>
      <c r="AV15" s="6" t="s">
        <v>212</v>
      </c>
      <c r="AW15" s="6" t="s">
        <v>213</v>
      </c>
      <c r="AX15" s="6" t="s">
        <v>213</v>
      </c>
      <c r="AY15" s="6" t="s">
        <v>214</v>
      </c>
      <c r="AZ15" s="6" t="s">
        <v>77</v>
      </c>
      <c r="BB15" s="10" t="n">
        <v>9780262131926</v>
      </c>
      <c r="BC15" s="10" t="n">
        <v>32285001654630</v>
      </c>
      <c r="BD15" s="6" t="s">
        <v>215</v>
      </c>
      <c r="BE15" s="6" t="s">
        <v>146</v>
      </c>
    </row>
    <row r="16" customFormat="false" ht="36.5" hidden="false" customHeight="false" outlineLevel="0" collapsed="false">
      <c r="A16" s="4" t="s">
        <v>57</v>
      </c>
      <c r="B16" s="5" t="s">
        <v>216</v>
      </c>
      <c r="C16" s="5" t="s">
        <v>217</v>
      </c>
      <c r="D16" s="5" t="s">
        <v>218</v>
      </c>
      <c r="F16" s="6" t="s">
        <v>63</v>
      </c>
      <c r="G16" s="6" t="s">
        <v>62</v>
      </c>
      <c r="H16" s="6" t="s">
        <v>63</v>
      </c>
      <c r="I16" s="6" t="s">
        <v>63</v>
      </c>
      <c r="J16" s="6" t="s">
        <v>64</v>
      </c>
      <c r="K16" s="5" t="s">
        <v>219</v>
      </c>
      <c r="L16" s="5" t="s">
        <v>220</v>
      </c>
      <c r="M16" s="6" t="s">
        <v>221</v>
      </c>
      <c r="O16" s="6" t="s">
        <v>67</v>
      </c>
      <c r="P16" s="6" t="s">
        <v>222</v>
      </c>
      <c r="R16" s="6" t="s">
        <v>155</v>
      </c>
      <c r="S16" s="7" t="n">
        <v>2</v>
      </c>
      <c r="T16" s="7" t="n">
        <v>2</v>
      </c>
      <c r="U16" s="8" t="s">
        <v>223</v>
      </c>
      <c r="V16" s="8" t="s">
        <v>223</v>
      </c>
      <c r="W16" s="8" t="s">
        <v>210</v>
      </c>
      <c r="X16" s="8" t="s">
        <v>210</v>
      </c>
      <c r="Y16" s="7" t="n">
        <v>865</v>
      </c>
      <c r="Z16" s="7" t="n">
        <v>737</v>
      </c>
      <c r="AA16" s="7" t="n">
        <v>742</v>
      </c>
      <c r="AB16" s="7" t="n">
        <v>2</v>
      </c>
      <c r="AC16" s="7" t="n">
        <v>2</v>
      </c>
      <c r="AD16" s="7" t="n">
        <v>20</v>
      </c>
      <c r="AE16" s="7" t="n">
        <v>20</v>
      </c>
      <c r="AF16" s="7" t="n">
        <v>11</v>
      </c>
      <c r="AG16" s="7" t="n">
        <v>11</v>
      </c>
      <c r="AH16" s="7" t="n">
        <v>3</v>
      </c>
      <c r="AI16" s="7" t="n">
        <v>3</v>
      </c>
      <c r="AJ16" s="7" t="n">
        <v>7</v>
      </c>
      <c r="AK16" s="7" t="n">
        <v>7</v>
      </c>
      <c r="AL16" s="7" t="n">
        <v>1</v>
      </c>
      <c r="AM16" s="7" t="n">
        <v>1</v>
      </c>
      <c r="AN16" s="7" t="n">
        <v>0</v>
      </c>
      <c r="AO16" s="7" t="n">
        <v>0</v>
      </c>
      <c r="AP16" s="6" t="s">
        <v>63</v>
      </c>
      <c r="AQ16" s="6" t="s">
        <v>63</v>
      </c>
      <c r="AS16" s="9" t="str">
        <f aca="false">HYPERLINK("https://creighton-primo.hosted.exlibrisgroup.com/primo-explore/search?tab=default_tab&amp;search_scope=EVERYTHING&amp;vid=01CRU&amp;lang=en_US&amp;offset=0&amp;query=any,contains,991000209889702656","Catalog Record")</f>
        <v>Catalog Record</v>
      </c>
      <c r="AT16" s="9" t="str">
        <f aca="false">HYPERLINK("http://www.worldcat.org/oclc/9533407","WorldCat Record")</f>
        <v>WorldCat Record</v>
      </c>
      <c r="AU16" s="6" t="s">
        <v>224</v>
      </c>
      <c r="AV16" s="6" t="s">
        <v>225</v>
      </c>
      <c r="AW16" s="6" t="s">
        <v>226</v>
      </c>
      <c r="AX16" s="6" t="s">
        <v>226</v>
      </c>
      <c r="AY16" s="6" t="s">
        <v>227</v>
      </c>
      <c r="AZ16" s="6" t="s">
        <v>77</v>
      </c>
      <c r="BB16" s="11"/>
      <c r="BC16" s="10" t="n">
        <v>32285005054944</v>
      </c>
      <c r="BD16" s="6" t="s">
        <v>228</v>
      </c>
      <c r="BE16" s="6" t="s">
        <v>146</v>
      </c>
    </row>
    <row r="17" customFormat="false" ht="36.5" hidden="false" customHeight="false" outlineLevel="0" collapsed="false">
      <c r="A17" s="4" t="s">
        <v>57</v>
      </c>
      <c r="B17" s="5" t="s">
        <v>229</v>
      </c>
      <c r="C17" s="5" t="s">
        <v>230</v>
      </c>
      <c r="D17" s="5" t="s">
        <v>231</v>
      </c>
      <c r="F17" s="6" t="s">
        <v>63</v>
      </c>
      <c r="G17" s="6" t="s">
        <v>62</v>
      </c>
      <c r="H17" s="6" t="s">
        <v>63</v>
      </c>
      <c r="I17" s="6" t="s">
        <v>63</v>
      </c>
      <c r="J17" s="6" t="s">
        <v>64</v>
      </c>
      <c r="K17" s="5" t="s">
        <v>165</v>
      </c>
      <c r="L17" s="5" t="s">
        <v>232</v>
      </c>
      <c r="M17" s="6" t="s">
        <v>233</v>
      </c>
      <c r="O17" s="6" t="s">
        <v>67</v>
      </c>
      <c r="P17" s="6" t="s">
        <v>68</v>
      </c>
      <c r="Q17" s="5" t="s">
        <v>234</v>
      </c>
      <c r="R17" s="6" t="s">
        <v>155</v>
      </c>
      <c r="S17" s="7" t="n">
        <v>22</v>
      </c>
      <c r="T17" s="7" t="n">
        <v>22</v>
      </c>
      <c r="U17" s="8" t="s">
        <v>209</v>
      </c>
      <c r="V17" s="8" t="s">
        <v>209</v>
      </c>
      <c r="W17" s="8" t="s">
        <v>235</v>
      </c>
      <c r="X17" s="8" t="s">
        <v>235</v>
      </c>
      <c r="Y17" s="7" t="n">
        <v>1542</v>
      </c>
      <c r="Z17" s="7" t="n">
        <v>1385</v>
      </c>
      <c r="AA17" s="7" t="n">
        <v>1405</v>
      </c>
      <c r="AB17" s="7" t="n">
        <v>13</v>
      </c>
      <c r="AC17" s="7" t="n">
        <v>13</v>
      </c>
      <c r="AD17" s="7" t="n">
        <v>43</v>
      </c>
      <c r="AE17" s="7" t="n">
        <v>43</v>
      </c>
      <c r="AF17" s="7" t="n">
        <v>19</v>
      </c>
      <c r="AG17" s="7" t="n">
        <v>19</v>
      </c>
      <c r="AH17" s="7" t="n">
        <v>6</v>
      </c>
      <c r="AI17" s="7" t="n">
        <v>6</v>
      </c>
      <c r="AJ17" s="7" t="n">
        <v>14</v>
      </c>
      <c r="AK17" s="7" t="n">
        <v>14</v>
      </c>
      <c r="AL17" s="7" t="n">
        <v>9</v>
      </c>
      <c r="AM17" s="7" t="n">
        <v>9</v>
      </c>
      <c r="AN17" s="7" t="n">
        <v>0</v>
      </c>
      <c r="AO17" s="7" t="n">
        <v>0</v>
      </c>
      <c r="AP17" s="6" t="s">
        <v>63</v>
      </c>
      <c r="AQ17" s="6" t="s">
        <v>63</v>
      </c>
      <c r="AR17" s="9" t="str">
        <f aca="false">HYPERLINK("http://catalog.hathitrust.org/Record/000451735","HathiTrust Record")</f>
        <v>HathiTrust Record</v>
      </c>
      <c r="AS17" s="9" t="str">
        <f aca="false">HYPERLINK("https://creighton-primo.hosted.exlibrisgroup.com/primo-explore/search?tab=default_tab&amp;search_scope=EVERYTHING&amp;vid=01CRU&amp;lang=en_US&amp;offset=0&amp;query=any,contains,991002904349702656","Catalog Record")</f>
        <v>Catalog Record</v>
      </c>
      <c r="AT17" s="9" t="str">
        <f aca="false">HYPERLINK("http://www.worldcat.org/oclc/518770","WorldCat Record")</f>
        <v>WorldCat Record</v>
      </c>
      <c r="AU17" s="6" t="s">
        <v>236</v>
      </c>
      <c r="AV17" s="6" t="s">
        <v>237</v>
      </c>
      <c r="AW17" s="6" t="s">
        <v>238</v>
      </c>
      <c r="AX17" s="6" t="s">
        <v>238</v>
      </c>
      <c r="AY17" s="6" t="s">
        <v>239</v>
      </c>
      <c r="AZ17" s="6" t="s">
        <v>77</v>
      </c>
      <c r="BB17" s="10" t="n">
        <v>9780070628151</v>
      </c>
      <c r="BC17" s="10" t="n">
        <v>32285001091593</v>
      </c>
      <c r="BD17" s="6" t="s">
        <v>240</v>
      </c>
      <c r="BE17" s="6" t="s">
        <v>146</v>
      </c>
    </row>
    <row r="18" customFormat="false" ht="36.5" hidden="false" customHeight="false" outlineLevel="0" collapsed="false">
      <c r="A18" s="4" t="s">
        <v>57</v>
      </c>
      <c r="B18" s="5" t="s">
        <v>241</v>
      </c>
      <c r="C18" s="5" t="s">
        <v>242</v>
      </c>
      <c r="D18" s="5" t="s">
        <v>243</v>
      </c>
      <c r="F18" s="6" t="s">
        <v>63</v>
      </c>
      <c r="G18" s="6" t="s">
        <v>62</v>
      </c>
      <c r="H18" s="6" t="s">
        <v>63</v>
      </c>
      <c r="I18" s="6" t="s">
        <v>63</v>
      </c>
      <c r="J18" s="6" t="s">
        <v>64</v>
      </c>
      <c r="K18" s="5" t="s">
        <v>244</v>
      </c>
      <c r="L18" s="5" t="s">
        <v>245</v>
      </c>
      <c r="M18" s="6" t="s">
        <v>246</v>
      </c>
      <c r="O18" s="6" t="s">
        <v>67</v>
      </c>
      <c r="P18" s="6" t="s">
        <v>68</v>
      </c>
      <c r="R18" s="6" t="s">
        <v>155</v>
      </c>
      <c r="S18" s="7" t="n">
        <v>15</v>
      </c>
      <c r="T18" s="7" t="n">
        <v>15</v>
      </c>
      <c r="U18" s="8" t="s">
        <v>247</v>
      </c>
      <c r="V18" s="8" t="s">
        <v>247</v>
      </c>
      <c r="W18" s="8" t="s">
        <v>248</v>
      </c>
      <c r="X18" s="8" t="s">
        <v>248</v>
      </c>
      <c r="Y18" s="7" t="n">
        <v>944</v>
      </c>
      <c r="Z18" s="7" t="n">
        <v>839</v>
      </c>
      <c r="AA18" s="7" t="n">
        <v>1075</v>
      </c>
      <c r="AB18" s="7" t="n">
        <v>7</v>
      </c>
      <c r="AC18" s="7" t="n">
        <v>7</v>
      </c>
      <c r="AD18" s="7" t="n">
        <v>20</v>
      </c>
      <c r="AE18" s="7" t="n">
        <v>20</v>
      </c>
      <c r="AF18" s="7" t="n">
        <v>5</v>
      </c>
      <c r="AG18" s="7" t="n">
        <v>5</v>
      </c>
      <c r="AH18" s="7" t="n">
        <v>4</v>
      </c>
      <c r="AI18" s="7" t="n">
        <v>4</v>
      </c>
      <c r="AJ18" s="7" t="n">
        <v>8</v>
      </c>
      <c r="AK18" s="7" t="n">
        <v>8</v>
      </c>
      <c r="AL18" s="7" t="n">
        <v>5</v>
      </c>
      <c r="AM18" s="7" t="n">
        <v>5</v>
      </c>
      <c r="AN18" s="7" t="n">
        <v>0</v>
      </c>
      <c r="AO18" s="7" t="n">
        <v>0</v>
      </c>
      <c r="AP18" s="6" t="s">
        <v>63</v>
      </c>
      <c r="AQ18" s="6" t="s">
        <v>57</v>
      </c>
      <c r="AR18" s="9" t="str">
        <f aca="false">HYPERLINK("http://catalog.hathitrust.org/Record/000176748","HathiTrust Record")</f>
        <v>HathiTrust Record</v>
      </c>
      <c r="AS18" s="9" t="str">
        <f aca="false">HYPERLINK("https://creighton-primo.hosted.exlibrisgroup.com/primo-explore/search?tab=default_tab&amp;search_scope=EVERYTHING&amp;vid=01CRU&amp;lang=en_US&amp;offset=0&amp;query=any,contains,991004566719702656","Catalog Record")</f>
        <v>Catalog Record</v>
      </c>
      <c r="AT18" s="9" t="str">
        <f aca="false">HYPERLINK("http://www.worldcat.org/oclc/4004690","WorldCat Record")</f>
        <v>WorldCat Record</v>
      </c>
      <c r="BE18" s="6" t="s">
        <v>146</v>
      </c>
    </row>
    <row r="19" customFormat="false" ht="59.5" hidden="false" customHeight="false" outlineLevel="0" collapsed="false">
      <c r="A19" s="4" t="s">
        <v>57</v>
      </c>
      <c r="B19" s="5" t="s">
        <v>249</v>
      </c>
      <c r="C19" s="5" t="s">
        <v>250</v>
      </c>
      <c r="D19" s="5" t="s">
        <v>251</v>
      </c>
      <c r="F19" s="6" t="s">
        <v>63</v>
      </c>
      <c r="G19" s="6" t="s">
        <v>62</v>
      </c>
      <c r="H19" s="6" t="s">
        <v>63</v>
      </c>
      <c r="I19" s="6" t="s">
        <v>63</v>
      </c>
      <c r="J19" s="6" t="s">
        <v>64</v>
      </c>
      <c r="K19" s="5" t="s">
        <v>252</v>
      </c>
      <c r="L19" s="5" t="s">
        <v>253</v>
      </c>
      <c r="M19" s="6" t="s">
        <v>254</v>
      </c>
      <c r="N19" s="5" t="s">
        <v>255</v>
      </c>
      <c r="O19" s="6" t="s">
        <v>67</v>
      </c>
      <c r="P19" s="6" t="s">
        <v>68</v>
      </c>
      <c r="R19" s="6" t="s">
        <v>256</v>
      </c>
      <c r="S19" s="7" t="n">
        <v>3</v>
      </c>
      <c r="T19" s="7" t="n">
        <v>3</v>
      </c>
      <c r="U19" s="8" t="s">
        <v>257</v>
      </c>
      <c r="V19" s="8" t="s">
        <v>257</v>
      </c>
      <c r="W19" s="8" t="s">
        <v>258</v>
      </c>
      <c r="X19" s="8" t="s">
        <v>258</v>
      </c>
      <c r="Y19" s="7" t="n">
        <v>356</v>
      </c>
      <c r="Z19" s="7" t="n">
        <v>284</v>
      </c>
      <c r="AA19" s="7" t="n">
        <v>286</v>
      </c>
      <c r="AB19" s="7" t="n">
        <v>2</v>
      </c>
      <c r="AC19" s="7" t="n">
        <v>2</v>
      </c>
      <c r="AD19" s="7" t="n">
        <v>4</v>
      </c>
      <c r="AE19" s="7" t="n">
        <v>4</v>
      </c>
      <c r="AF19" s="7" t="n">
        <v>2</v>
      </c>
      <c r="AG19" s="7" t="n">
        <v>2</v>
      </c>
      <c r="AH19" s="7" t="n">
        <v>0</v>
      </c>
      <c r="AI19" s="7" t="n">
        <v>0</v>
      </c>
      <c r="AJ19" s="7" t="n">
        <v>1</v>
      </c>
      <c r="AK19" s="7" t="n">
        <v>1</v>
      </c>
      <c r="AL19" s="7" t="n">
        <v>1</v>
      </c>
      <c r="AM19" s="7" t="n">
        <v>1</v>
      </c>
      <c r="AN19" s="7" t="n">
        <v>0</v>
      </c>
      <c r="AO19" s="7" t="n">
        <v>0</v>
      </c>
      <c r="AP19" s="6" t="s">
        <v>63</v>
      </c>
      <c r="AQ19" s="6" t="s">
        <v>57</v>
      </c>
      <c r="AR19" s="9" t="str">
        <f aca="false">HYPERLINK("http://catalog.hathitrust.org/Record/008510916","HathiTrust Record")</f>
        <v>HathiTrust Record</v>
      </c>
      <c r="AS19" s="9" t="str">
        <f aca="false">HYPERLINK("https://creighton-primo.hosted.exlibrisgroup.com/primo-explore/search?tab=default_tab&amp;search_scope=EVERYTHING&amp;vid=01CRU&amp;lang=en_US&amp;offset=0&amp;query=any,contains,991002897989702656","Catalog Record")</f>
        <v>Catalog Record</v>
      </c>
      <c r="AT19" s="9" t="str">
        <f aca="false">HYPERLINK("http://www.worldcat.org/oclc/514873","WorldCat Record")</f>
        <v>WorldCat Record</v>
      </c>
      <c r="BE19" s="6" t="s">
        <v>146</v>
      </c>
    </row>
    <row r="20" customFormat="false" ht="48" hidden="false" customHeight="false" outlineLevel="0" collapsed="false">
      <c r="A20" s="4" t="s">
        <v>57</v>
      </c>
      <c r="B20" s="5" t="s">
        <v>259</v>
      </c>
      <c r="C20" s="5" t="s">
        <v>260</v>
      </c>
      <c r="D20" s="5" t="s">
        <v>261</v>
      </c>
      <c r="F20" s="6" t="s">
        <v>63</v>
      </c>
      <c r="G20" s="6" t="s">
        <v>62</v>
      </c>
      <c r="H20" s="6" t="s">
        <v>63</v>
      </c>
      <c r="I20" s="6" t="s">
        <v>63</v>
      </c>
      <c r="J20" s="6" t="s">
        <v>64</v>
      </c>
      <c r="K20" s="5" t="s">
        <v>262</v>
      </c>
      <c r="L20" s="5" t="s">
        <v>263</v>
      </c>
      <c r="M20" s="6" t="s">
        <v>264</v>
      </c>
      <c r="O20" s="6" t="s">
        <v>67</v>
      </c>
      <c r="P20" s="6" t="s">
        <v>68</v>
      </c>
      <c r="R20" s="6" t="s">
        <v>256</v>
      </c>
      <c r="S20" s="7" t="n">
        <v>0</v>
      </c>
      <c r="T20" s="7" t="n">
        <v>0</v>
      </c>
      <c r="U20" s="8" t="s">
        <v>265</v>
      </c>
      <c r="V20" s="8" t="s">
        <v>265</v>
      </c>
      <c r="W20" s="8" t="s">
        <v>266</v>
      </c>
      <c r="X20" s="8" t="s">
        <v>266</v>
      </c>
      <c r="Y20" s="7" t="n">
        <v>441</v>
      </c>
      <c r="Z20" s="7" t="n">
        <v>397</v>
      </c>
      <c r="AA20" s="7" t="n">
        <v>436</v>
      </c>
      <c r="AB20" s="7" t="n">
        <v>5</v>
      </c>
      <c r="AC20" s="7" t="n">
        <v>5</v>
      </c>
      <c r="AD20" s="7" t="n">
        <v>14</v>
      </c>
      <c r="AE20" s="7" t="n">
        <v>15</v>
      </c>
      <c r="AF20" s="7" t="n">
        <v>5</v>
      </c>
      <c r="AG20" s="7" t="n">
        <v>6</v>
      </c>
      <c r="AH20" s="7" t="n">
        <v>3</v>
      </c>
      <c r="AI20" s="7" t="n">
        <v>3</v>
      </c>
      <c r="AJ20" s="7" t="n">
        <v>4</v>
      </c>
      <c r="AK20" s="7" t="n">
        <v>4</v>
      </c>
      <c r="AL20" s="7" t="n">
        <v>4</v>
      </c>
      <c r="AM20" s="7" t="n">
        <v>4</v>
      </c>
      <c r="AN20" s="7" t="n">
        <v>0</v>
      </c>
      <c r="AO20" s="7" t="n">
        <v>0</v>
      </c>
      <c r="AP20" s="6" t="s">
        <v>63</v>
      </c>
      <c r="AQ20" s="6" t="s">
        <v>57</v>
      </c>
      <c r="AR20" s="9" t="str">
        <f aca="false">HYPERLINK("http://catalog.hathitrust.org/Record/001469024","HathiTrust Record")</f>
        <v>HathiTrust Record</v>
      </c>
      <c r="AS20" s="9" t="str">
        <f aca="false">HYPERLINK("https://creighton-primo.hosted.exlibrisgroup.com/primo-explore/search?tab=default_tab&amp;search_scope=EVERYTHING&amp;vid=01CRU&amp;lang=en_US&amp;offset=0&amp;query=any,contains,991000604969702656","Catalog Record")</f>
        <v>Catalog Record</v>
      </c>
      <c r="AT20" s="9" t="str">
        <f aca="false">HYPERLINK("http://www.worldcat.org/oclc/98740","WorldCat Record")</f>
        <v>WorldCat Record</v>
      </c>
      <c r="BE20" s="6" t="s">
        <v>146</v>
      </c>
    </row>
    <row r="21" customFormat="false" ht="36.5" hidden="false" customHeight="false" outlineLevel="0" collapsed="false">
      <c r="A21" s="4" t="s">
        <v>57</v>
      </c>
      <c r="B21" s="5" t="s">
        <v>267</v>
      </c>
      <c r="C21" s="5" t="s">
        <v>268</v>
      </c>
      <c r="D21" s="5" t="s">
        <v>269</v>
      </c>
      <c r="F21" s="6" t="s">
        <v>63</v>
      </c>
      <c r="G21" s="6" t="s">
        <v>62</v>
      </c>
      <c r="H21" s="6" t="s">
        <v>63</v>
      </c>
      <c r="I21" s="6" t="s">
        <v>63</v>
      </c>
      <c r="J21" s="6" t="s">
        <v>64</v>
      </c>
      <c r="K21" s="5" t="s">
        <v>270</v>
      </c>
      <c r="L21" s="5" t="s">
        <v>271</v>
      </c>
      <c r="M21" s="6" t="s">
        <v>66</v>
      </c>
      <c r="O21" s="6" t="s">
        <v>67</v>
      </c>
      <c r="P21" s="6" t="s">
        <v>272</v>
      </c>
      <c r="R21" s="6" t="s">
        <v>256</v>
      </c>
      <c r="S21" s="7" t="n">
        <v>5</v>
      </c>
      <c r="T21" s="7" t="n">
        <v>5</v>
      </c>
      <c r="U21" s="8" t="s">
        <v>257</v>
      </c>
      <c r="V21" s="8" t="s">
        <v>257</v>
      </c>
      <c r="W21" s="8" t="s">
        <v>273</v>
      </c>
      <c r="X21" s="8" t="s">
        <v>273</v>
      </c>
      <c r="Y21" s="7" t="n">
        <v>361</v>
      </c>
      <c r="Z21" s="7" t="n">
        <v>272</v>
      </c>
      <c r="AA21" s="7" t="n">
        <v>274</v>
      </c>
      <c r="AB21" s="7" t="n">
        <v>5</v>
      </c>
      <c r="AC21" s="7" t="n">
        <v>5</v>
      </c>
      <c r="AD21" s="7" t="n">
        <v>11</v>
      </c>
      <c r="AE21" s="7" t="n">
        <v>11</v>
      </c>
      <c r="AF21" s="7" t="n">
        <v>2</v>
      </c>
      <c r="AG21" s="7" t="n">
        <v>2</v>
      </c>
      <c r="AH21" s="7" t="n">
        <v>3</v>
      </c>
      <c r="AI21" s="7" t="n">
        <v>3</v>
      </c>
      <c r="AJ21" s="7" t="n">
        <v>3</v>
      </c>
      <c r="AK21" s="7" t="n">
        <v>3</v>
      </c>
      <c r="AL21" s="7" t="n">
        <v>4</v>
      </c>
      <c r="AM21" s="7" t="n">
        <v>4</v>
      </c>
      <c r="AN21" s="7" t="n">
        <v>0</v>
      </c>
      <c r="AO21" s="7" t="n">
        <v>0</v>
      </c>
      <c r="AP21" s="6" t="s">
        <v>63</v>
      </c>
      <c r="AQ21" s="6" t="s">
        <v>57</v>
      </c>
      <c r="AR21" s="9" t="str">
        <f aca="false">HYPERLINK("http://catalog.hathitrust.org/Record/002801514","HathiTrust Record")</f>
        <v>HathiTrust Record</v>
      </c>
      <c r="AS21" s="9" t="str">
        <f aca="false">HYPERLINK("https://creighton-primo.hosted.exlibrisgroup.com/primo-explore/search?tab=default_tab&amp;search_scope=EVERYTHING&amp;vid=01CRU&amp;lang=en_US&amp;offset=0&amp;query=any,contains,991002092869702656","Catalog Record")</f>
        <v>Catalog Record</v>
      </c>
      <c r="AT21" s="9" t="str">
        <f aca="false">HYPERLINK("http://www.worldcat.org/oclc/26852922","WorldCat Record")</f>
        <v>WorldCat Record</v>
      </c>
      <c r="BE21" s="6" t="s">
        <v>146</v>
      </c>
    </row>
    <row r="22" customFormat="false" ht="26" hidden="false" customHeight="false" outlineLevel="0" collapsed="false">
      <c r="A22" s="4" t="s">
        <v>57</v>
      </c>
      <c r="B22" s="12" t="s">
        <v>274</v>
      </c>
      <c r="C22" s="1"/>
      <c r="D22" s="12" t="s">
        <v>275</v>
      </c>
      <c r="K22" s="12" t="s">
        <v>276</v>
      </c>
      <c r="L22" s="13" t="s">
        <v>277</v>
      </c>
      <c r="M22" s="13" t="n">
        <v>2003</v>
      </c>
      <c r="BE22" s="6" t="s">
        <v>278</v>
      </c>
    </row>
    <row r="23" customFormat="false" ht="26" hidden="false" customHeight="false" outlineLevel="0" collapsed="false">
      <c r="A23" s="4" t="s">
        <v>57</v>
      </c>
      <c r="B23" s="12" t="s">
        <v>279</v>
      </c>
      <c r="C23" s="1"/>
      <c r="D23" s="12" t="s">
        <v>280</v>
      </c>
      <c r="K23" s="12" t="s">
        <v>281</v>
      </c>
      <c r="L23" s="13" t="s">
        <v>282</v>
      </c>
      <c r="M23" s="13" t="n">
        <v>1974</v>
      </c>
      <c r="BE23" s="6" t="s">
        <v>278</v>
      </c>
    </row>
    <row r="24" customFormat="false" ht="38" hidden="false" customHeight="false" outlineLevel="0" collapsed="false">
      <c r="A24" s="4" t="s">
        <v>57</v>
      </c>
      <c r="B24" s="12" t="s">
        <v>283</v>
      </c>
      <c r="C24" s="1"/>
      <c r="D24" s="12" t="s">
        <v>284</v>
      </c>
      <c r="K24" s="12" t="s">
        <v>285</v>
      </c>
      <c r="L24" s="13" t="s">
        <v>286</v>
      </c>
      <c r="M24" s="13" t="n">
        <v>1981</v>
      </c>
      <c r="BE24" s="6" t="s">
        <v>278</v>
      </c>
    </row>
    <row r="25" customFormat="false" ht="26" hidden="false" customHeight="false" outlineLevel="0" collapsed="false">
      <c r="A25" s="4" t="s">
        <v>57</v>
      </c>
      <c r="B25" s="12" t="s">
        <v>287</v>
      </c>
      <c r="C25" s="1"/>
      <c r="D25" s="12" t="s">
        <v>288</v>
      </c>
      <c r="K25" s="12" t="s">
        <v>289</v>
      </c>
      <c r="L25" s="13" t="s">
        <v>290</v>
      </c>
      <c r="M25" s="13" t="n">
        <v>1980</v>
      </c>
      <c r="BE25" s="6" t="s">
        <v>278</v>
      </c>
    </row>
    <row r="26" customFormat="false" ht="38" hidden="false" customHeight="false" outlineLevel="0" collapsed="false">
      <c r="A26" s="4" t="s">
        <v>57</v>
      </c>
      <c r="B26" s="12" t="s">
        <v>291</v>
      </c>
      <c r="C26" s="1"/>
      <c r="D26" s="12" t="s">
        <v>292</v>
      </c>
      <c r="K26" s="12" t="s">
        <v>293</v>
      </c>
      <c r="L26" s="13" t="s">
        <v>294</v>
      </c>
      <c r="M26" s="13" t="n">
        <v>1999</v>
      </c>
      <c r="BE26" s="6" t="s">
        <v>278</v>
      </c>
    </row>
    <row r="27" customFormat="false" ht="38" hidden="false" customHeight="false" outlineLevel="0" collapsed="false">
      <c r="A27" s="4" t="s">
        <v>57</v>
      </c>
      <c r="B27" s="12" t="s">
        <v>291</v>
      </c>
      <c r="C27" s="1"/>
      <c r="D27" s="12" t="s">
        <v>292</v>
      </c>
      <c r="K27" s="12" t="s">
        <v>293</v>
      </c>
      <c r="L27" s="13" t="s">
        <v>294</v>
      </c>
      <c r="M27" s="13" t="n">
        <v>1999</v>
      </c>
      <c r="BE27" s="6" t="s">
        <v>278</v>
      </c>
    </row>
    <row r="28" customFormat="false" ht="36.5" hidden="false" customHeight="false" outlineLevel="0" collapsed="false">
      <c r="A28" s="4" t="s">
        <v>57</v>
      </c>
      <c r="B28" s="5" t="s">
        <v>295</v>
      </c>
      <c r="C28" s="5" t="s">
        <v>296</v>
      </c>
      <c r="D28" s="5" t="s">
        <v>297</v>
      </c>
      <c r="E28" s="14"/>
      <c r="F28" s="15" t="s">
        <v>63</v>
      </c>
      <c r="G28" s="15" t="n">
        <v>1</v>
      </c>
      <c r="H28" s="15" t="s">
        <v>63</v>
      </c>
      <c r="I28" s="15" t="s">
        <v>63</v>
      </c>
      <c r="J28" s="15" t="n">
        <v>0</v>
      </c>
      <c r="K28" s="5" t="s">
        <v>298</v>
      </c>
      <c r="L28" s="5" t="s">
        <v>299</v>
      </c>
      <c r="M28" s="15" t="n">
        <v>1986</v>
      </c>
      <c r="N28" s="14"/>
      <c r="O28" s="15" t="s">
        <v>67</v>
      </c>
      <c r="P28" s="15" t="s">
        <v>300</v>
      </c>
      <c r="Q28" s="5" t="s">
        <v>301</v>
      </c>
      <c r="R28" s="15" t="s">
        <v>302</v>
      </c>
      <c r="S28" s="15" t="n">
        <v>6</v>
      </c>
      <c r="T28" s="15" t="n">
        <v>6</v>
      </c>
      <c r="U28" s="16" t="n">
        <v>36135</v>
      </c>
      <c r="V28" s="16" t="n">
        <v>36135</v>
      </c>
      <c r="W28" s="16" t="n">
        <v>33217</v>
      </c>
      <c r="X28" s="16" t="n">
        <v>33217</v>
      </c>
      <c r="Y28" s="15" t="n">
        <v>152</v>
      </c>
      <c r="Z28" s="15" t="n">
        <v>135</v>
      </c>
      <c r="AA28" s="15" t="n">
        <v>136</v>
      </c>
      <c r="AB28" s="15" t="n">
        <v>2</v>
      </c>
      <c r="AC28" s="15" t="n">
        <v>2</v>
      </c>
      <c r="AD28" s="15" t="n">
        <v>11</v>
      </c>
      <c r="AE28" s="15" t="n">
        <v>11</v>
      </c>
      <c r="AF28" s="15" t="n">
        <v>1</v>
      </c>
      <c r="AG28" s="15" t="n">
        <v>1</v>
      </c>
      <c r="AH28" s="15" t="n">
        <v>3</v>
      </c>
      <c r="AI28" s="15" t="n">
        <v>3</v>
      </c>
      <c r="AJ28" s="15" t="n">
        <v>9</v>
      </c>
      <c r="AK28" s="15" t="n">
        <v>9</v>
      </c>
      <c r="AL28" s="15" t="n">
        <v>0</v>
      </c>
      <c r="AM28" s="15" t="n">
        <v>0</v>
      </c>
      <c r="AN28" s="15" t="n">
        <v>0</v>
      </c>
      <c r="AO28" s="15" t="n">
        <v>0</v>
      </c>
      <c r="AP28" s="15" t="s">
        <v>63</v>
      </c>
      <c r="AQ28" s="15" t="s">
        <v>63</v>
      </c>
      <c r="AR28" s="14"/>
      <c r="AS28" s="9" t="s">
        <v>303</v>
      </c>
      <c r="AT28" s="9" t="s">
        <v>304</v>
      </c>
      <c r="AU28" s="15" t="s">
        <v>305</v>
      </c>
      <c r="AV28" s="15" t="n">
        <v>13424616</v>
      </c>
      <c r="AW28" s="15" t="n">
        <v>9.91000827619702E+017</v>
      </c>
      <c r="AX28" s="15" t="n">
        <v>9.91000827619702E+017</v>
      </c>
      <c r="AY28" s="15" t="n">
        <v>2263008120002650</v>
      </c>
      <c r="AZ28" s="15" t="s">
        <v>77</v>
      </c>
      <c r="BA28" s="14"/>
      <c r="BB28" s="17" t="n">
        <v>9780814614204</v>
      </c>
      <c r="BC28" s="17" t="n">
        <v>32285000444496</v>
      </c>
      <c r="BD28" s="15" t="n">
        <v>893903180</v>
      </c>
      <c r="BE28" s="6" t="s">
        <v>306</v>
      </c>
    </row>
    <row r="29" customFormat="false" ht="36.5" hidden="false" customHeight="false" outlineLevel="0" collapsed="false">
      <c r="A29" s="4" t="s">
        <v>57</v>
      </c>
      <c r="B29" s="5" t="s">
        <v>307</v>
      </c>
      <c r="C29" s="5" t="s">
        <v>308</v>
      </c>
      <c r="D29" s="5" t="s">
        <v>309</v>
      </c>
      <c r="E29" s="14"/>
      <c r="F29" s="15" t="s">
        <v>63</v>
      </c>
      <c r="G29" s="15" t="n">
        <v>1</v>
      </c>
      <c r="H29" s="15" t="s">
        <v>63</v>
      </c>
      <c r="I29" s="15" t="s">
        <v>63</v>
      </c>
      <c r="J29" s="15" t="n">
        <v>0</v>
      </c>
      <c r="K29" s="5" t="s">
        <v>310</v>
      </c>
      <c r="L29" s="5" t="s">
        <v>311</v>
      </c>
      <c r="M29" s="15" t="n">
        <v>1984</v>
      </c>
      <c r="N29" s="14"/>
      <c r="O29" s="15" t="s">
        <v>67</v>
      </c>
      <c r="P29" s="15" t="s">
        <v>68</v>
      </c>
      <c r="Q29" s="14"/>
      <c r="R29" s="15" t="s">
        <v>302</v>
      </c>
      <c r="S29" s="15" t="n">
        <v>9</v>
      </c>
      <c r="T29" s="15" t="n">
        <v>9</v>
      </c>
      <c r="U29" s="16" t="n">
        <v>38720</v>
      </c>
      <c r="V29" s="16" t="n">
        <v>38720</v>
      </c>
      <c r="W29" s="16" t="n">
        <v>33219</v>
      </c>
      <c r="X29" s="16" t="n">
        <v>33219</v>
      </c>
      <c r="Y29" s="15" t="n">
        <v>330</v>
      </c>
      <c r="Z29" s="15" t="n">
        <v>252</v>
      </c>
      <c r="AA29" s="15" t="n">
        <v>261</v>
      </c>
      <c r="AB29" s="15" t="n">
        <v>1</v>
      </c>
      <c r="AC29" s="15" t="n">
        <v>1</v>
      </c>
      <c r="AD29" s="15" t="n">
        <v>26</v>
      </c>
      <c r="AE29" s="15" t="n">
        <v>27</v>
      </c>
      <c r="AF29" s="15" t="n">
        <v>6</v>
      </c>
      <c r="AG29" s="15" t="n">
        <v>7</v>
      </c>
      <c r="AH29" s="15" t="n">
        <v>9</v>
      </c>
      <c r="AI29" s="15" t="n">
        <v>9</v>
      </c>
      <c r="AJ29" s="15" t="n">
        <v>20</v>
      </c>
      <c r="AK29" s="15" t="n">
        <v>20</v>
      </c>
      <c r="AL29" s="15" t="n">
        <v>0</v>
      </c>
      <c r="AM29" s="15" t="n">
        <v>0</v>
      </c>
      <c r="AN29" s="15" t="n">
        <v>0</v>
      </c>
      <c r="AO29" s="15" t="n">
        <v>0</v>
      </c>
      <c r="AP29" s="15" t="s">
        <v>63</v>
      </c>
      <c r="AQ29" s="15" t="s">
        <v>57</v>
      </c>
      <c r="AR29" s="9" t="s">
        <v>312</v>
      </c>
      <c r="AS29" s="9" t="s">
        <v>303</v>
      </c>
      <c r="AT29" s="9" t="s">
        <v>304</v>
      </c>
      <c r="AU29" s="15" t="s">
        <v>313</v>
      </c>
      <c r="AV29" s="15" t="n">
        <v>10646847</v>
      </c>
      <c r="AW29" s="15" t="n">
        <v>9.91000403429702E+017</v>
      </c>
      <c r="AX29" s="15" t="n">
        <v>9.91000403429702E+017</v>
      </c>
      <c r="AY29" s="15" t="n">
        <v>2261894110002650</v>
      </c>
      <c r="AZ29" s="15" t="s">
        <v>77</v>
      </c>
      <c r="BA29" s="14"/>
      <c r="BB29" s="17" t="n">
        <v>9780809125838</v>
      </c>
      <c r="BC29" s="17" t="n">
        <v>32285000444652</v>
      </c>
      <c r="BD29" s="15" t="n">
        <v>893425663</v>
      </c>
      <c r="BE29" s="6" t="s">
        <v>306</v>
      </c>
    </row>
    <row r="30" customFormat="false" ht="36.5" hidden="false" customHeight="false" outlineLevel="0" collapsed="false">
      <c r="A30" s="4" t="s">
        <v>57</v>
      </c>
      <c r="B30" s="5" t="s">
        <v>314</v>
      </c>
      <c r="C30" s="5" t="s">
        <v>315</v>
      </c>
      <c r="D30" s="5" t="s">
        <v>316</v>
      </c>
      <c r="E30" s="14"/>
      <c r="F30" s="15" t="s">
        <v>63</v>
      </c>
      <c r="G30" s="15" t="n">
        <v>1</v>
      </c>
      <c r="H30" s="15" t="s">
        <v>63</v>
      </c>
      <c r="I30" s="15" t="s">
        <v>63</v>
      </c>
      <c r="J30" s="15" t="n">
        <v>0</v>
      </c>
      <c r="K30" s="5" t="s">
        <v>298</v>
      </c>
      <c r="L30" s="5" t="s">
        <v>317</v>
      </c>
      <c r="M30" s="15" t="n">
        <v>1984</v>
      </c>
      <c r="N30" s="14"/>
      <c r="O30" s="15" t="s">
        <v>67</v>
      </c>
      <c r="P30" s="15" t="s">
        <v>318</v>
      </c>
      <c r="Q30" s="5" t="s">
        <v>319</v>
      </c>
      <c r="R30" s="15" t="s">
        <v>302</v>
      </c>
      <c r="S30" s="15" t="n">
        <v>9</v>
      </c>
      <c r="T30" s="15" t="n">
        <v>9</v>
      </c>
      <c r="U30" s="16" t="n">
        <v>37037</v>
      </c>
      <c r="V30" s="16" t="n">
        <v>37037</v>
      </c>
      <c r="W30" s="16" t="n">
        <v>34829</v>
      </c>
      <c r="X30" s="16" t="n">
        <v>34829</v>
      </c>
      <c r="Y30" s="15" t="n">
        <v>626</v>
      </c>
      <c r="Z30" s="15" t="n">
        <v>468</v>
      </c>
      <c r="AA30" s="15" t="n">
        <v>472</v>
      </c>
      <c r="AB30" s="15" t="n">
        <v>3</v>
      </c>
      <c r="AC30" s="15" t="n">
        <v>3</v>
      </c>
      <c r="AD30" s="15" t="n">
        <v>34</v>
      </c>
      <c r="AE30" s="15" t="n">
        <v>34</v>
      </c>
      <c r="AF30" s="15" t="n">
        <v>17</v>
      </c>
      <c r="AG30" s="15" t="n">
        <v>17</v>
      </c>
      <c r="AH30" s="15" t="n">
        <v>8</v>
      </c>
      <c r="AI30" s="15" t="n">
        <v>8</v>
      </c>
      <c r="AJ30" s="15" t="n">
        <v>18</v>
      </c>
      <c r="AK30" s="15" t="n">
        <v>18</v>
      </c>
      <c r="AL30" s="15" t="n">
        <v>2</v>
      </c>
      <c r="AM30" s="15" t="n">
        <v>2</v>
      </c>
      <c r="AN30" s="15" t="n">
        <v>0</v>
      </c>
      <c r="AO30" s="15" t="n">
        <v>0</v>
      </c>
      <c r="AP30" s="15" t="s">
        <v>63</v>
      </c>
      <c r="AQ30" s="15" t="s">
        <v>63</v>
      </c>
      <c r="AR30" s="14"/>
      <c r="AS30" s="9" t="s">
        <v>303</v>
      </c>
      <c r="AT30" s="9" t="s">
        <v>304</v>
      </c>
      <c r="AU30" s="15" t="s">
        <v>320</v>
      </c>
      <c r="AV30" s="15" t="n">
        <v>11043368</v>
      </c>
      <c r="AW30" s="15" t="n">
        <v>9.91000478149702E+017</v>
      </c>
      <c r="AX30" s="15" t="n">
        <v>9.91000478149702E+017</v>
      </c>
      <c r="AY30" s="15" t="n">
        <v>2261734590002650</v>
      </c>
      <c r="AZ30" s="15" t="s">
        <v>77</v>
      </c>
      <c r="BA30" s="14"/>
      <c r="BB30" s="17" t="n">
        <v>9780802800206</v>
      </c>
      <c r="BC30" s="17" t="n">
        <v>32285002033750</v>
      </c>
      <c r="BD30" s="15" t="n">
        <v>893802800</v>
      </c>
      <c r="BE30" s="6" t="s">
        <v>306</v>
      </c>
    </row>
    <row r="31" customFormat="false" ht="48" hidden="false" customHeight="false" outlineLevel="0" collapsed="false">
      <c r="A31" s="4" t="s">
        <v>57</v>
      </c>
      <c r="B31" s="5" t="s">
        <v>321</v>
      </c>
      <c r="C31" s="5" t="s">
        <v>322</v>
      </c>
      <c r="D31" s="5" t="s">
        <v>323</v>
      </c>
      <c r="E31" s="15" t="s">
        <v>324</v>
      </c>
      <c r="F31" s="15" t="s">
        <v>63</v>
      </c>
      <c r="G31" s="15" t="n">
        <v>1</v>
      </c>
      <c r="H31" s="15" t="s">
        <v>63</v>
      </c>
      <c r="I31" s="15" t="s">
        <v>63</v>
      </c>
      <c r="J31" s="15" t="n">
        <v>0</v>
      </c>
      <c r="K31" s="5" t="s">
        <v>325</v>
      </c>
      <c r="L31" s="5" t="s">
        <v>326</v>
      </c>
      <c r="M31" s="15" t="n">
        <v>2000</v>
      </c>
      <c r="N31" s="5" t="s">
        <v>327</v>
      </c>
      <c r="O31" s="15" t="s">
        <v>67</v>
      </c>
      <c r="P31" s="15" t="s">
        <v>68</v>
      </c>
      <c r="Q31" s="5" t="s">
        <v>328</v>
      </c>
      <c r="R31" s="15" t="s">
        <v>302</v>
      </c>
      <c r="S31" s="15" t="n">
        <v>5</v>
      </c>
      <c r="T31" s="15" t="n">
        <v>5</v>
      </c>
      <c r="U31" s="16" t="n">
        <v>38783</v>
      </c>
      <c r="V31" s="16" t="n">
        <v>38783</v>
      </c>
      <c r="W31" s="16" t="n">
        <v>36949</v>
      </c>
      <c r="X31" s="16" t="n">
        <v>36949</v>
      </c>
      <c r="Y31" s="15" t="n">
        <v>772</v>
      </c>
      <c r="Z31" s="15" t="n">
        <v>656</v>
      </c>
      <c r="AA31" s="15" t="n">
        <v>698</v>
      </c>
      <c r="AB31" s="15" t="n">
        <v>8</v>
      </c>
      <c r="AC31" s="15" t="n">
        <v>8</v>
      </c>
      <c r="AD31" s="15" t="n">
        <v>41</v>
      </c>
      <c r="AE31" s="15" t="n">
        <v>41</v>
      </c>
      <c r="AF31" s="15" t="n">
        <v>19</v>
      </c>
      <c r="AG31" s="15" t="n">
        <v>19</v>
      </c>
      <c r="AH31" s="15" t="n">
        <v>7</v>
      </c>
      <c r="AI31" s="15" t="n">
        <v>7</v>
      </c>
      <c r="AJ31" s="15" t="n">
        <v>21</v>
      </c>
      <c r="AK31" s="15" t="n">
        <v>21</v>
      </c>
      <c r="AL31" s="15" t="n">
        <v>5</v>
      </c>
      <c r="AM31" s="15" t="n">
        <v>5</v>
      </c>
      <c r="AN31" s="15" t="n">
        <v>0</v>
      </c>
      <c r="AO31" s="15" t="n">
        <v>0</v>
      </c>
      <c r="AP31" s="15" t="s">
        <v>63</v>
      </c>
      <c r="AQ31" s="15" t="s">
        <v>57</v>
      </c>
      <c r="AR31" s="9" t="s">
        <v>312</v>
      </c>
      <c r="AS31" s="9" t="s">
        <v>303</v>
      </c>
      <c r="AT31" s="9" t="s">
        <v>304</v>
      </c>
      <c r="AU31" s="15" t="s">
        <v>329</v>
      </c>
      <c r="AV31" s="15" t="n">
        <v>43323710</v>
      </c>
      <c r="AW31" s="15" t="n">
        <v>9.91003491869702E+017</v>
      </c>
      <c r="AX31" s="15" t="n">
        <v>9.91003491869702E+017</v>
      </c>
      <c r="AY31" s="15" t="n">
        <v>2272172940002650</v>
      </c>
      <c r="AZ31" s="15" t="s">
        <v>77</v>
      </c>
      <c r="BA31" s="14"/>
      <c r="BB31" s="17" t="n">
        <v>9780385184601</v>
      </c>
      <c r="BC31" s="17" t="n">
        <v>32285004298039</v>
      </c>
      <c r="BD31" s="15" t="n">
        <v>893441337</v>
      </c>
      <c r="BE31" s="6" t="s">
        <v>306</v>
      </c>
    </row>
    <row r="32" customFormat="false" ht="36.5" hidden="false" customHeight="false" outlineLevel="0" collapsed="false">
      <c r="A32" s="4" t="s">
        <v>57</v>
      </c>
      <c r="B32" s="5" t="s">
        <v>330</v>
      </c>
      <c r="C32" s="5" t="s">
        <v>331</v>
      </c>
      <c r="D32" s="5" t="s">
        <v>332</v>
      </c>
      <c r="E32" s="15" t="s">
        <v>333</v>
      </c>
      <c r="F32" s="15" t="s">
        <v>63</v>
      </c>
      <c r="G32" s="15" t="n">
        <v>1</v>
      </c>
      <c r="H32" s="15" t="s">
        <v>63</v>
      </c>
      <c r="I32" s="15" t="s">
        <v>63</v>
      </c>
      <c r="J32" s="15" t="n">
        <v>0</v>
      </c>
      <c r="K32" s="5" t="s">
        <v>334</v>
      </c>
      <c r="L32" s="5" t="s">
        <v>335</v>
      </c>
      <c r="M32" s="15" t="n">
        <v>1998</v>
      </c>
      <c r="N32" s="5" t="s">
        <v>327</v>
      </c>
      <c r="O32" s="15" t="s">
        <v>67</v>
      </c>
      <c r="P32" s="15" t="s">
        <v>68</v>
      </c>
      <c r="Q32" s="5" t="s">
        <v>336</v>
      </c>
      <c r="R32" s="15" t="s">
        <v>302</v>
      </c>
      <c r="S32" s="15" t="n">
        <v>8</v>
      </c>
      <c r="T32" s="15" t="n">
        <v>8</v>
      </c>
      <c r="U32" s="16" t="n">
        <v>37935</v>
      </c>
      <c r="V32" s="16" t="n">
        <v>37935</v>
      </c>
      <c r="W32" s="16" t="n">
        <v>35821</v>
      </c>
      <c r="X32" s="16" t="n">
        <v>35821</v>
      </c>
      <c r="Y32" s="15" t="n">
        <v>784</v>
      </c>
      <c r="Z32" s="15" t="n">
        <v>691</v>
      </c>
      <c r="AA32" s="15" t="n">
        <v>774</v>
      </c>
      <c r="AB32" s="15" t="n">
        <v>9</v>
      </c>
      <c r="AC32" s="15" t="n">
        <v>10</v>
      </c>
      <c r="AD32" s="15" t="n">
        <v>41</v>
      </c>
      <c r="AE32" s="15" t="n">
        <v>46</v>
      </c>
      <c r="AF32" s="15" t="n">
        <v>19</v>
      </c>
      <c r="AG32" s="15" t="n">
        <v>22</v>
      </c>
      <c r="AH32" s="15" t="n">
        <v>6</v>
      </c>
      <c r="AI32" s="15" t="n">
        <v>7</v>
      </c>
      <c r="AJ32" s="15" t="n">
        <v>19</v>
      </c>
      <c r="AK32" s="15" t="n">
        <v>21</v>
      </c>
      <c r="AL32" s="15" t="n">
        <v>6</v>
      </c>
      <c r="AM32" s="15" t="n">
        <v>7</v>
      </c>
      <c r="AN32" s="15" t="n">
        <v>0</v>
      </c>
      <c r="AO32" s="15" t="n">
        <v>0</v>
      </c>
      <c r="AP32" s="15" t="s">
        <v>63</v>
      </c>
      <c r="AQ32" s="15" t="s">
        <v>57</v>
      </c>
      <c r="AR32" s="9" t="s">
        <v>312</v>
      </c>
      <c r="AS32" s="9" t="s">
        <v>303</v>
      </c>
      <c r="AT32" s="9" t="s">
        <v>304</v>
      </c>
      <c r="AU32" s="15" t="s">
        <v>337</v>
      </c>
      <c r="AV32" s="15" t="n">
        <v>36001181</v>
      </c>
      <c r="AW32" s="15" t="n">
        <v>9.91002741459702E+017</v>
      </c>
      <c r="AX32" s="15" t="n">
        <v>9.91002741459702E+017</v>
      </c>
      <c r="AY32" s="15" t="n">
        <v>2256023390002650</v>
      </c>
      <c r="AZ32" s="15" t="s">
        <v>77</v>
      </c>
      <c r="BA32" s="14"/>
      <c r="BB32" s="17" t="n">
        <v>9780385088381</v>
      </c>
      <c r="BC32" s="17" t="n">
        <v>32285003310876</v>
      </c>
      <c r="BD32" s="15" t="n">
        <v>893427957</v>
      </c>
      <c r="BE32" s="6" t="s">
        <v>306</v>
      </c>
    </row>
    <row r="33" customFormat="false" ht="48" hidden="false" customHeight="false" outlineLevel="0" collapsed="false">
      <c r="A33" s="4" t="s">
        <v>57</v>
      </c>
      <c r="B33" s="5" t="s">
        <v>338</v>
      </c>
      <c r="C33" s="5" t="s">
        <v>339</v>
      </c>
      <c r="D33" s="5" t="s">
        <v>340</v>
      </c>
      <c r="E33" s="15" t="s">
        <v>341</v>
      </c>
      <c r="F33" s="15" t="s">
        <v>63</v>
      </c>
      <c r="G33" s="15" t="n">
        <v>1</v>
      </c>
      <c r="H33" s="15" t="s">
        <v>63</v>
      </c>
      <c r="I33" s="15" t="s">
        <v>63</v>
      </c>
      <c r="J33" s="15" t="n">
        <v>0</v>
      </c>
      <c r="K33" s="5" t="s">
        <v>342</v>
      </c>
      <c r="L33" s="5" t="s">
        <v>343</v>
      </c>
      <c r="M33" s="15" t="n">
        <v>1994</v>
      </c>
      <c r="N33" s="14"/>
      <c r="O33" s="15" t="s">
        <v>67</v>
      </c>
      <c r="P33" s="15" t="s">
        <v>68</v>
      </c>
      <c r="Q33" s="5" t="s">
        <v>344</v>
      </c>
      <c r="R33" s="15" t="s">
        <v>302</v>
      </c>
      <c r="S33" s="15" t="n">
        <v>6</v>
      </c>
      <c r="T33" s="15" t="n">
        <v>6</v>
      </c>
      <c r="U33" s="16" t="n">
        <v>36250</v>
      </c>
      <c r="V33" s="16" t="n">
        <v>36250</v>
      </c>
      <c r="W33" s="16" t="n">
        <v>34809</v>
      </c>
      <c r="X33" s="16" t="n">
        <v>34809</v>
      </c>
      <c r="Y33" s="15" t="n">
        <v>815</v>
      </c>
      <c r="Z33" s="15" t="n">
        <v>697</v>
      </c>
      <c r="AA33" s="15" t="n">
        <v>710</v>
      </c>
      <c r="AB33" s="15" t="n">
        <v>9</v>
      </c>
      <c r="AC33" s="15" t="n">
        <v>9</v>
      </c>
      <c r="AD33" s="15" t="n">
        <v>48</v>
      </c>
      <c r="AE33" s="15" t="n">
        <v>48</v>
      </c>
      <c r="AF33" s="15" t="n">
        <v>20</v>
      </c>
      <c r="AG33" s="15" t="n">
        <v>20</v>
      </c>
      <c r="AH33" s="15" t="n">
        <v>8</v>
      </c>
      <c r="AI33" s="15" t="n">
        <v>8</v>
      </c>
      <c r="AJ33" s="15" t="n">
        <v>25</v>
      </c>
      <c r="AK33" s="15" t="n">
        <v>25</v>
      </c>
      <c r="AL33" s="15" t="n">
        <v>7</v>
      </c>
      <c r="AM33" s="15" t="n">
        <v>7</v>
      </c>
      <c r="AN33" s="15" t="n">
        <v>0</v>
      </c>
      <c r="AO33" s="15" t="n">
        <v>0</v>
      </c>
      <c r="AP33" s="15" t="s">
        <v>63</v>
      </c>
      <c r="AQ33" s="15" t="s">
        <v>63</v>
      </c>
      <c r="AR33" s="14"/>
      <c r="AS33" s="9" t="s">
        <v>303</v>
      </c>
      <c r="AT33" s="9" t="s">
        <v>304</v>
      </c>
      <c r="AU33" s="15" t="s">
        <v>345</v>
      </c>
      <c r="AV33" s="15" t="n">
        <v>28929681</v>
      </c>
      <c r="AW33" s="15" t="n">
        <v>9.91002243869702E+017</v>
      </c>
      <c r="AX33" s="15" t="n">
        <v>9.91002243869702E+017</v>
      </c>
      <c r="AY33" s="15" t="n">
        <v>2270770940002650</v>
      </c>
      <c r="AZ33" s="15" t="s">
        <v>77</v>
      </c>
      <c r="BA33" s="14"/>
      <c r="BB33" s="17" t="n">
        <v>9780385110686</v>
      </c>
      <c r="BC33" s="17" t="n">
        <v>32285002009628</v>
      </c>
      <c r="BD33" s="15" t="n">
        <v>893257059</v>
      </c>
      <c r="BE33" s="6" t="s">
        <v>306</v>
      </c>
    </row>
    <row r="34" customFormat="false" ht="48" hidden="false" customHeight="false" outlineLevel="0" collapsed="false">
      <c r="A34" s="4" t="s">
        <v>57</v>
      </c>
      <c r="B34" s="5" t="s">
        <v>346</v>
      </c>
      <c r="C34" s="5" t="s">
        <v>347</v>
      </c>
      <c r="D34" s="5" t="s">
        <v>348</v>
      </c>
      <c r="E34" s="15" t="s">
        <v>349</v>
      </c>
      <c r="F34" s="15" t="s">
        <v>63</v>
      </c>
      <c r="G34" s="15" t="n">
        <v>1</v>
      </c>
      <c r="H34" s="15" t="s">
        <v>63</v>
      </c>
      <c r="I34" s="15" t="s">
        <v>63</v>
      </c>
      <c r="J34" s="15" t="n">
        <v>0</v>
      </c>
      <c r="K34" s="5" t="s">
        <v>350</v>
      </c>
      <c r="L34" s="5" t="s">
        <v>351</v>
      </c>
      <c r="M34" s="15" t="n">
        <v>2001</v>
      </c>
      <c r="N34" s="5" t="s">
        <v>327</v>
      </c>
      <c r="O34" s="15" t="s">
        <v>67</v>
      </c>
      <c r="P34" s="15" t="s">
        <v>68</v>
      </c>
      <c r="Q34" s="5" t="s">
        <v>352</v>
      </c>
      <c r="R34" s="15" t="s">
        <v>302</v>
      </c>
      <c r="S34" s="15" t="n">
        <v>2</v>
      </c>
      <c r="T34" s="15" t="n">
        <v>2</v>
      </c>
      <c r="U34" s="16" t="n">
        <v>38757</v>
      </c>
      <c r="V34" s="16" t="n">
        <v>38757</v>
      </c>
      <c r="W34" s="16" t="n">
        <v>37048</v>
      </c>
      <c r="X34" s="16" t="n">
        <v>37048</v>
      </c>
      <c r="Y34" s="15" t="n">
        <v>749</v>
      </c>
      <c r="Z34" s="15" t="n">
        <v>646</v>
      </c>
      <c r="AA34" s="15" t="n">
        <v>720</v>
      </c>
      <c r="AB34" s="15" t="n">
        <v>7</v>
      </c>
      <c r="AC34" s="15" t="n">
        <v>7</v>
      </c>
      <c r="AD34" s="15" t="n">
        <v>42</v>
      </c>
      <c r="AE34" s="15" t="n">
        <v>43</v>
      </c>
      <c r="AF34" s="15" t="n">
        <v>20</v>
      </c>
      <c r="AG34" s="15" t="n">
        <v>20</v>
      </c>
      <c r="AH34" s="15" t="n">
        <v>6</v>
      </c>
      <c r="AI34" s="15" t="n">
        <v>6</v>
      </c>
      <c r="AJ34" s="15" t="n">
        <v>21</v>
      </c>
      <c r="AK34" s="15" t="n">
        <v>22</v>
      </c>
      <c r="AL34" s="15" t="n">
        <v>6</v>
      </c>
      <c r="AM34" s="15" t="n">
        <v>6</v>
      </c>
      <c r="AN34" s="15" t="n">
        <v>0</v>
      </c>
      <c r="AO34" s="15" t="n">
        <v>0</v>
      </c>
      <c r="AP34" s="15" t="s">
        <v>63</v>
      </c>
      <c r="AQ34" s="15" t="s">
        <v>57</v>
      </c>
      <c r="AR34" s="9" t="s">
        <v>312</v>
      </c>
      <c r="AS34" s="9" t="s">
        <v>303</v>
      </c>
      <c r="AT34" s="9" t="s">
        <v>304</v>
      </c>
      <c r="AU34" s="15" t="s">
        <v>353</v>
      </c>
      <c r="AV34" s="15" t="n">
        <v>43657061</v>
      </c>
      <c r="AW34" s="15" t="n">
        <v>9.91003541329702E+017</v>
      </c>
      <c r="AX34" s="15" t="n">
        <v>9.91003541329702E+017</v>
      </c>
      <c r="AY34" s="15" t="n">
        <v>2265383730002650</v>
      </c>
      <c r="AZ34" s="15" t="s">
        <v>77</v>
      </c>
      <c r="BA34" s="14"/>
      <c r="BB34" s="17" t="n">
        <v>9780385484220</v>
      </c>
      <c r="BC34" s="17" t="n">
        <v>32285004325816</v>
      </c>
      <c r="BD34" s="15" t="n">
        <v>893441401</v>
      </c>
      <c r="BE34" s="6" t="s">
        <v>306</v>
      </c>
    </row>
    <row r="35" customFormat="false" ht="36.5" hidden="false" customHeight="false" outlineLevel="0" collapsed="false">
      <c r="A35" s="4" t="s">
        <v>57</v>
      </c>
      <c r="B35" s="5" t="s">
        <v>354</v>
      </c>
      <c r="C35" s="5" t="s">
        <v>355</v>
      </c>
      <c r="D35" s="5" t="s">
        <v>356</v>
      </c>
      <c r="E35" s="15" t="s">
        <v>357</v>
      </c>
      <c r="F35" s="15" t="s">
        <v>63</v>
      </c>
      <c r="G35" s="15" t="n">
        <v>1</v>
      </c>
      <c r="H35" s="15" t="s">
        <v>63</v>
      </c>
      <c r="I35" s="15" t="s">
        <v>63</v>
      </c>
      <c r="J35" s="15" t="n">
        <v>0</v>
      </c>
      <c r="K35" s="5" t="s">
        <v>358</v>
      </c>
      <c r="L35" s="5" t="s">
        <v>351</v>
      </c>
      <c r="M35" s="15" t="n">
        <v>2001</v>
      </c>
      <c r="N35" s="5" t="s">
        <v>327</v>
      </c>
      <c r="O35" s="15" t="s">
        <v>67</v>
      </c>
      <c r="P35" s="15" t="s">
        <v>68</v>
      </c>
      <c r="Q35" s="5" t="s">
        <v>359</v>
      </c>
      <c r="R35" s="15" t="s">
        <v>302</v>
      </c>
      <c r="S35" s="15" t="n">
        <v>4</v>
      </c>
      <c r="T35" s="15" t="n">
        <v>4</v>
      </c>
      <c r="U35" s="16" t="n">
        <v>37091</v>
      </c>
      <c r="V35" s="16" t="n">
        <v>37091</v>
      </c>
      <c r="W35" s="16" t="n">
        <v>37091</v>
      </c>
      <c r="X35" s="16" t="n">
        <v>37091</v>
      </c>
      <c r="Y35" s="15" t="n">
        <v>677</v>
      </c>
      <c r="Z35" s="15" t="n">
        <v>594</v>
      </c>
      <c r="AA35" s="15" t="n">
        <v>657</v>
      </c>
      <c r="AB35" s="15" t="n">
        <v>7</v>
      </c>
      <c r="AC35" s="15" t="n">
        <v>7</v>
      </c>
      <c r="AD35" s="15" t="n">
        <v>36</v>
      </c>
      <c r="AE35" s="15" t="n">
        <v>39</v>
      </c>
      <c r="AF35" s="15" t="n">
        <v>16</v>
      </c>
      <c r="AG35" s="15" t="n">
        <v>17</v>
      </c>
      <c r="AH35" s="15" t="n">
        <v>5</v>
      </c>
      <c r="AI35" s="15" t="n">
        <v>6</v>
      </c>
      <c r="AJ35" s="15" t="n">
        <v>19</v>
      </c>
      <c r="AK35" s="15" t="n">
        <v>20</v>
      </c>
      <c r="AL35" s="15" t="n">
        <v>6</v>
      </c>
      <c r="AM35" s="15" t="n">
        <v>6</v>
      </c>
      <c r="AN35" s="15" t="n">
        <v>0</v>
      </c>
      <c r="AO35" s="15" t="n">
        <v>0</v>
      </c>
      <c r="AP35" s="15" t="s">
        <v>63</v>
      </c>
      <c r="AQ35" s="15" t="s">
        <v>57</v>
      </c>
      <c r="AR35" s="9" t="s">
        <v>312</v>
      </c>
      <c r="AS35" s="9" t="s">
        <v>303</v>
      </c>
      <c r="AT35" s="9" t="s">
        <v>304</v>
      </c>
      <c r="AU35" s="15" t="s">
        <v>360</v>
      </c>
      <c r="AV35" s="15" t="n">
        <v>43885361</v>
      </c>
      <c r="AW35" s="15" t="n">
        <v>9.91003563189702E+017</v>
      </c>
      <c r="AX35" s="15" t="n">
        <v>9.91003563189702E+017</v>
      </c>
      <c r="AY35" s="15" t="n">
        <v>2255489340002650</v>
      </c>
      <c r="AZ35" s="15" t="s">
        <v>77</v>
      </c>
      <c r="BA35" s="14"/>
      <c r="BB35" s="17" t="n">
        <v>9780385468930</v>
      </c>
      <c r="BC35" s="17" t="n">
        <v>32285004333877</v>
      </c>
      <c r="BD35" s="15" t="n">
        <v>893781135</v>
      </c>
      <c r="BE35" s="6" t="s">
        <v>306</v>
      </c>
    </row>
    <row r="36" customFormat="false" ht="48" hidden="false" customHeight="false" outlineLevel="0" collapsed="false">
      <c r="A36" s="4" t="s">
        <v>57</v>
      </c>
      <c r="B36" s="5" t="s">
        <v>361</v>
      </c>
      <c r="C36" s="5" t="s">
        <v>362</v>
      </c>
      <c r="D36" s="5" t="s">
        <v>363</v>
      </c>
      <c r="E36" s="15" t="s">
        <v>364</v>
      </c>
      <c r="F36" s="15" t="s">
        <v>63</v>
      </c>
      <c r="G36" s="15" t="n">
        <v>1</v>
      </c>
      <c r="H36" s="15" t="s">
        <v>63</v>
      </c>
      <c r="I36" s="15" t="s">
        <v>63</v>
      </c>
      <c r="J36" s="15" t="n">
        <v>0</v>
      </c>
      <c r="K36" s="5" t="s">
        <v>365</v>
      </c>
      <c r="L36" s="5" t="s">
        <v>366</v>
      </c>
      <c r="M36" s="15" t="n">
        <v>1964</v>
      </c>
      <c r="N36" s="14"/>
      <c r="O36" s="15" t="s">
        <v>67</v>
      </c>
      <c r="P36" s="15" t="s">
        <v>367</v>
      </c>
      <c r="Q36" s="5" t="s">
        <v>368</v>
      </c>
      <c r="R36" s="15" t="s">
        <v>302</v>
      </c>
      <c r="S36" s="15" t="n">
        <v>3</v>
      </c>
      <c r="T36" s="15" t="n">
        <v>3</v>
      </c>
      <c r="U36" s="16" t="n">
        <v>38607</v>
      </c>
      <c r="V36" s="16" t="n">
        <v>38607</v>
      </c>
      <c r="W36" s="16" t="n">
        <v>33303</v>
      </c>
      <c r="X36" s="16" t="n">
        <v>33303</v>
      </c>
      <c r="Y36" s="18" t="n">
        <v>1473</v>
      </c>
      <c r="Z36" s="18" t="n">
        <v>1333</v>
      </c>
      <c r="AA36" s="18" t="n">
        <v>1351</v>
      </c>
      <c r="AB36" s="15" t="n">
        <v>16</v>
      </c>
      <c r="AC36" s="15" t="n">
        <v>16</v>
      </c>
      <c r="AD36" s="15" t="n">
        <v>60</v>
      </c>
      <c r="AE36" s="15" t="n">
        <v>60</v>
      </c>
      <c r="AF36" s="15" t="n">
        <v>28</v>
      </c>
      <c r="AG36" s="15" t="n">
        <v>28</v>
      </c>
      <c r="AH36" s="15" t="n">
        <v>10</v>
      </c>
      <c r="AI36" s="15" t="n">
        <v>10</v>
      </c>
      <c r="AJ36" s="15" t="n">
        <v>25</v>
      </c>
      <c r="AK36" s="15" t="n">
        <v>25</v>
      </c>
      <c r="AL36" s="15" t="n">
        <v>11</v>
      </c>
      <c r="AM36" s="15" t="n">
        <v>11</v>
      </c>
      <c r="AN36" s="15" t="n">
        <v>0</v>
      </c>
      <c r="AO36" s="15" t="n">
        <v>0</v>
      </c>
      <c r="AP36" s="15" t="s">
        <v>63</v>
      </c>
      <c r="AQ36" s="15" t="s">
        <v>57</v>
      </c>
      <c r="AR36" s="9" t="s">
        <v>312</v>
      </c>
      <c r="AS36" s="9" t="s">
        <v>303</v>
      </c>
      <c r="AT36" s="9" t="s">
        <v>304</v>
      </c>
      <c r="AU36" s="15" t="s">
        <v>369</v>
      </c>
      <c r="AV36" s="15" t="n">
        <v>384848</v>
      </c>
      <c r="AW36" s="15" t="n">
        <v>9.91002642469702E+017</v>
      </c>
      <c r="AX36" s="15" t="n">
        <v>9.91002642469702E+017</v>
      </c>
      <c r="AY36" s="15" t="n">
        <v>2258543210002650</v>
      </c>
      <c r="AZ36" s="15" t="s">
        <v>77</v>
      </c>
      <c r="BA36" s="14"/>
      <c r="BB36" s="19"/>
      <c r="BC36" s="17" t="n">
        <v>32285000545060</v>
      </c>
      <c r="BD36" s="15" t="n">
        <v>893517550</v>
      </c>
      <c r="BE36" s="6" t="s">
        <v>306</v>
      </c>
    </row>
    <row r="37" customFormat="false" ht="48" hidden="false" customHeight="false" outlineLevel="0" collapsed="false">
      <c r="A37" s="4" t="s">
        <v>57</v>
      </c>
      <c r="B37" s="5" t="s">
        <v>370</v>
      </c>
      <c r="C37" s="5" t="s">
        <v>371</v>
      </c>
      <c r="D37" s="5" t="s">
        <v>372</v>
      </c>
      <c r="E37" s="15" t="s">
        <v>373</v>
      </c>
      <c r="F37" s="15" t="s">
        <v>63</v>
      </c>
      <c r="G37" s="15" t="n">
        <v>1</v>
      </c>
      <c r="H37" s="15" t="s">
        <v>63</v>
      </c>
      <c r="I37" s="15" t="s">
        <v>63</v>
      </c>
      <c r="J37" s="15" t="n">
        <v>0</v>
      </c>
      <c r="K37" s="5" t="s">
        <v>374</v>
      </c>
      <c r="L37" s="5" t="s">
        <v>375</v>
      </c>
      <c r="M37" s="15" t="n">
        <v>1995</v>
      </c>
      <c r="N37" s="5" t="s">
        <v>327</v>
      </c>
      <c r="O37" s="15" t="s">
        <v>67</v>
      </c>
      <c r="P37" s="15" t="s">
        <v>68</v>
      </c>
      <c r="Q37" s="5" t="s">
        <v>376</v>
      </c>
      <c r="R37" s="15" t="s">
        <v>302</v>
      </c>
      <c r="S37" s="15" t="n">
        <v>1</v>
      </c>
      <c r="T37" s="15" t="n">
        <v>1</v>
      </c>
      <c r="U37" s="16" t="n">
        <v>37829</v>
      </c>
      <c r="V37" s="16" t="n">
        <v>37829</v>
      </c>
      <c r="W37" s="16" t="n">
        <v>36692</v>
      </c>
      <c r="X37" s="16" t="n">
        <v>36692</v>
      </c>
      <c r="Y37" s="15" t="n">
        <v>840</v>
      </c>
      <c r="Z37" s="15" t="n">
        <v>729</v>
      </c>
      <c r="AA37" s="15" t="n">
        <v>781</v>
      </c>
      <c r="AB37" s="15" t="n">
        <v>8</v>
      </c>
      <c r="AC37" s="15" t="n">
        <v>8</v>
      </c>
      <c r="AD37" s="15" t="n">
        <v>43</v>
      </c>
      <c r="AE37" s="15" t="n">
        <v>44</v>
      </c>
      <c r="AF37" s="15" t="n">
        <v>19</v>
      </c>
      <c r="AG37" s="15" t="n">
        <v>20</v>
      </c>
      <c r="AH37" s="15" t="n">
        <v>7</v>
      </c>
      <c r="AI37" s="15" t="n">
        <v>7</v>
      </c>
      <c r="AJ37" s="15" t="n">
        <v>23</v>
      </c>
      <c r="AK37" s="15" t="n">
        <v>23</v>
      </c>
      <c r="AL37" s="15" t="n">
        <v>5</v>
      </c>
      <c r="AM37" s="15" t="n">
        <v>5</v>
      </c>
      <c r="AN37" s="15" t="n">
        <v>0</v>
      </c>
      <c r="AO37" s="15" t="n">
        <v>0</v>
      </c>
      <c r="AP37" s="15" t="s">
        <v>63</v>
      </c>
      <c r="AQ37" s="15" t="s">
        <v>57</v>
      </c>
      <c r="AR37" s="9" t="s">
        <v>312</v>
      </c>
      <c r="AS37" s="9" t="s">
        <v>303</v>
      </c>
      <c r="AT37" s="9" t="s">
        <v>304</v>
      </c>
      <c r="AU37" s="15" t="s">
        <v>377</v>
      </c>
      <c r="AV37" s="15" t="n">
        <v>31374078</v>
      </c>
      <c r="AW37" s="15" t="n">
        <v>9.91003187969702E+017</v>
      </c>
      <c r="AX37" s="15" t="n">
        <v>9.91003187969702E+017</v>
      </c>
      <c r="AY37" s="15" t="n">
        <v>2262956930002650</v>
      </c>
      <c r="AZ37" s="15" t="s">
        <v>77</v>
      </c>
      <c r="BA37" s="14"/>
      <c r="BB37" s="17" t="n">
        <v>9780385413602</v>
      </c>
      <c r="BC37" s="17" t="n">
        <v>32285002087350</v>
      </c>
      <c r="BD37" s="15" t="n">
        <v>893704993</v>
      </c>
      <c r="BE37" s="6" t="s">
        <v>306</v>
      </c>
    </row>
    <row r="38" customFormat="false" ht="36.5" hidden="false" customHeight="false" outlineLevel="0" collapsed="false">
      <c r="A38" s="4" t="s">
        <v>57</v>
      </c>
      <c r="B38" s="5" t="s">
        <v>378</v>
      </c>
      <c r="C38" s="5" t="s">
        <v>379</v>
      </c>
      <c r="D38" s="5" t="s">
        <v>380</v>
      </c>
      <c r="E38" s="15" t="s">
        <v>381</v>
      </c>
      <c r="F38" s="15" t="s">
        <v>63</v>
      </c>
      <c r="G38" s="15" t="n">
        <v>1</v>
      </c>
      <c r="H38" s="15" t="s">
        <v>63</v>
      </c>
      <c r="I38" s="15" t="s">
        <v>63</v>
      </c>
      <c r="J38" s="15" t="n">
        <v>0</v>
      </c>
      <c r="K38" s="5" t="s">
        <v>382</v>
      </c>
      <c r="L38" s="5" t="s">
        <v>383</v>
      </c>
      <c r="M38" s="15" t="n">
        <v>1932</v>
      </c>
      <c r="N38" s="14"/>
      <c r="O38" s="15" t="s">
        <v>67</v>
      </c>
      <c r="P38" s="15" t="s">
        <v>384</v>
      </c>
      <c r="Q38" s="5" t="s">
        <v>385</v>
      </c>
      <c r="R38" s="15" t="s">
        <v>302</v>
      </c>
      <c r="S38" s="15" t="n">
        <v>6</v>
      </c>
      <c r="T38" s="15" t="n">
        <v>6</v>
      </c>
      <c r="U38" s="16" t="n">
        <v>38101</v>
      </c>
      <c r="V38" s="16" t="n">
        <v>38101</v>
      </c>
      <c r="W38" s="16" t="n">
        <v>33288</v>
      </c>
      <c r="X38" s="16" t="n">
        <v>33288</v>
      </c>
      <c r="Y38" s="15" t="n">
        <v>248</v>
      </c>
      <c r="Z38" s="15" t="n">
        <v>136</v>
      </c>
      <c r="AA38" s="15" t="n">
        <v>650</v>
      </c>
      <c r="AB38" s="15" t="n">
        <v>1</v>
      </c>
      <c r="AC38" s="15" t="n">
        <v>5</v>
      </c>
      <c r="AD38" s="15" t="n">
        <v>8</v>
      </c>
      <c r="AE38" s="15" t="n">
        <v>35</v>
      </c>
      <c r="AF38" s="15" t="n">
        <v>5</v>
      </c>
      <c r="AG38" s="15" t="n">
        <v>13</v>
      </c>
      <c r="AH38" s="15" t="n">
        <v>2</v>
      </c>
      <c r="AI38" s="15" t="n">
        <v>7</v>
      </c>
      <c r="AJ38" s="15" t="n">
        <v>4</v>
      </c>
      <c r="AK38" s="15" t="n">
        <v>21</v>
      </c>
      <c r="AL38" s="15" t="n">
        <v>0</v>
      </c>
      <c r="AM38" s="15" t="n">
        <v>3</v>
      </c>
      <c r="AN38" s="15" t="n">
        <v>0</v>
      </c>
      <c r="AO38" s="15" t="n">
        <v>0</v>
      </c>
      <c r="AP38" s="15" t="s">
        <v>63</v>
      </c>
      <c r="AQ38" s="15" t="s">
        <v>57</v>
      </c>
      <c r="AR38" s="9" t="s">
        <v>312</v>
      </c>
      <c r="AS38" s="9" t="s">
        <v>303</v>
      </c>
      <c r="AT38" s="9" t="s">
        <v>304</v>
      </c>
      <c r="AU38" s="15" t="s">
        <v>386</v>
      </c>
      <c r="AV38" s="15" t="n">
        <v>6138344</v>
      </c>
      <c r="AW38" s="15" t="n">
        <v>9.91004934639702E+017</v>
      </c>
      <c r="AX38" s="15" t="n">
        <v>9.91004934639702E+017</v>
      </c>
      <c r="AY38" s="15" t="n">
        <v>2260027330002650</v>
      </c>
      <c r="AZ38" s="15" t="s">
        <v>77</v>
      </c>
      <c r="BA38" s="14"/>
      <c r="BB38" s="19"/>
      <c r="BC38" s="17" t="n">
        <v>32285000466838</v>
      </c>
      <c r="BD38" s="15" t="n">
        <v>893260332</v>
      </c>
      <c r="BE38" s="6" t="s">
        <v>306</v>
      </c>
    </row>
    <row r="39" customFormat="false" ht="36.5" hidden="false" customHeight="false" outlineLevel="0" collapsed="false">
      <c r="A39" s="4" t="s">
        <v>57</v>
      </c>
      <c r="B39" s="5" t="s">
        <v>387</v>
      </c>
      <c r="C39" s="5" t="s">
        <v>388</v>
      </c>
      <c r="D39" s="5" t="s">
        <v>389</v>
      </c>
      <c r="E39" s="15" t="s">
        <v>390</v>
      </c>
      <c r="F39" s="15" t="s">
        <v>57</v>
      </c>
      <c r="G39" s="15" t="n">
        <v>1</v>
      </c>
      <c r="H39" s="15" t="s">
        <v>63</v>
      </c>
      <c r="I39" s="15" t="s">
        <v>63</v>
      </c>
      <c r="J39" s="15" t="n">
        <v>0</v>
      </c>
      <c r="K39" s="5" t="s">
        <v>391</v>
      </c>
      <c r="L39" s="5" t="s">
        <v>392</v>
      </c>
      <c r="M39" s="15" t="n">
        <v>1971</v>
      </c>
      <c r="N39" s="14"/>
      <c r="O39" s="15" t="s">
        <v>67</v>
      </c>
      <c r="P39" s="15" t="s">
        <v>367</v>
      </c>
      <c r="Q39" s="5" t="s">
        <v>393</v>
      </c>
      <c r="R39" s="15" t="s">
        <v>302</v>
      </c>
      <c r="S39" s="15" t="n">
        <v>9</v>
      </c>
      <c r="T39" s="15" t="n">
        <v>15</v>
      </c>
      <c r="U39" s="16" t="n">
        <v>40153</v>
      </c>
      <c r="V39" s="16" t="n">
        <v>40153</v>
      </c>
      <c r="W39" s="16" t="n">
        <v>36692</v>
      </c>
      <c r="X39" s="16" t="n">
        <v>37040</v>
      </c>
      <c r="Y39" s="15" t="n">
        <v>100</v>
      </c>
      <c r="Z39" s="15" t="n">
        <v>95</v>
      </c>
      <c r="AA39" s="15" t="n">
        <v>143</v>
      </c>
      <c r="AB39" s="15" t="n">
        <v>2</v>
      </c>
      <c r="AC39" s="15" t="n">
        <v>2</v>
      </c>
      <c r="AD39" s="15" t="n">
        <v>13</v>
      </c>
      <c r="AE39" s="15" t="n">
        <v>18</v>
      </c>
      <c r="AF39" s="15" t="n">
        <v>2</v>
      </c>
      <c r="AG39" s="15" t="n">
        <v>5</v>
      </c>
      <c r="AH39" s="15" t="n">
        <v>5</v>
      </c>
      <c r="AI39" s="15" t="n">
        <v>6</v>
      </c>
      <c r="AJ39" s="15" t="n">
        <v>10</v>
      </c>
      <c r="AK39" s="15" t="n">
        <v>12</v>
      </c>
      <c r="AL39" s="15" t="n">
        <v>0</v>
      </c>
      <c r="AM39" s="15" t="n">
        <v>0</v>
      </c>
      <c r="AN39" s="15" t="n">
        <v>0</v>
      </c>
      <c r="AO39" s="15" t="n">
        <v>0</v>
      </c>
      <c r="AP39" s="15" t="s">
        <v>63</v>
      </c>
      <c r="AQ39" s="15" t="s">
        <v>63</v>
      </c>
      <c r="AR39" s="14"/>
      <c r="AS39" s="9" t="s">
        <v>303</v>
      </c>
      <c r="AT39" s="9" t="s">
        <v>304</v>
      </c>
      <c r="AU39" s="15" t="s">
        <v>394</v>
      </c>
      <c r="AV39" s="15" t="n">
        <v>1456886</v>
      </c>
      <c r="AW39" s="15" t="n">
        <v>9.91003097719702E+017</v>
      </c>
      <c r="AX39" s="15" t="n">
        <v>9.91003097719702E+017</v>
      </c>
      <c r="AY39" s="15" t="n">
        <v>2256082710002650</v>
      </c>
      <c r="AZ39" s="15" t="s">
        <v>77</v>
      </c>
      <c r="BA39" s="14"/>
      <c r="BB39" s="19"/>
      <c r="BC39" s="17" t="n">
        <v>32285000466994</v>
      </c>
      <c r="BD39" s="15" t="n">
        <v>893616997</v>
      </c>
      <c r="BE39" s="6" t="s">
        <v>306</v>
      </c>
    </row>
    <row r="40" customFormat="false" ht="36.5" hidden="false" customHeight="false" outlineLevel="0" collapsed="false">
      <c r="A40" s="4" t="s">
        <v>57</v>
      </c>
      <c r="B40" s="5" t="s">
        <v>387</v>
      </c>
      <c r="C40" s="5" t="s">
        <v>388</v>
      </c>
      <c r="D40" s="5" t="s">
        <v>389</v>
      </c>
      <c r="E40" s="15" t="s">
        <v>395</v>
      </c>
      <c r="F40" s="15" t="s">
        <v>57</v>
      </c>
      <c r="G40" s="15" t="n">
        <v>1</v>
      </c>
      <c r="H40" s="15" t="s">
        <v>63</v>
      </c>
      <c r="I40" s="15" t="s">
        <v>63</v>
      </c>
      <c r="J40" s="15" t="n">
        <v>0</v>
      </c>
      <c r="K40" s="5" t="s">
        <v>391</v>
      </c>
      <c r="L40" s="5" t="s">
        <v>392</v>
      </c>
      <c r="M40" s="15" t="n">
        <v>1971</v>
      </c>
      <c r="N40" s="14"/>
      <c r="O40" s="15" t="s">
        <v>67</v>
      </c>
      <c r="P40" s="15" t="s">
        <v>367</v>
      </c>
      <c r="Q40" s="5" t="s">
        <v>393</v>
      </c>
      <c r="R40" s="15" t="s">
        <v>302</v>
      </c>
      <c r="S40" s="15" t="n">
        <v>6</v>
      </c>
      <c r="T40" s="15" t="n">
        <v>15</v>
      </c>
      <c r="U40" s="16" t="n">
        <v>39118</v>
      </c>
      <c r="V40" s="16" t="n">
        <v>40153</v>
      </c>
      <c r="W40" s="16" t="n">
        <v>37040</v>
      </c>
      <c r="X40" s="16" t="n">
        <v>37040</v>
      </c>
      <c r="Y40" s="15" t="n">
        <v>100</v>
      </c>
      <c r="Z40" s="15" t="n">
        <v>95</v>
      </c>
      <c r="AA40" s="15" t="n">
        <v>143</v>
      </c>
      <c r="AB40" s="15" t="n">
        <v>2</v>
      </c>
      <c r="AC40" s="15" t="n">
        <v>2</v>
      </c>
      <c r="AD40" s="15" t="n">
        <v>13</v>
      </c>
      <c r="AE40" s="15" t="n">
        <v>18</v>
      </c>
      <c r="AF40" s="15" t="n">
        <v>2</v>
      </c>
      <c r="AG40" s="15" t="n">
        <v>5</v>
      </c>
      <c r="AH40" s="15" t="n">
        <v>5</v>
      </c>
      <c r="AI40" s="15" t="n">
        <v>6</v>
      </c>
      <c r="AJ40" s="15" t="n">
        <v>10</v>
      </c>
      <c r="AK40" s="15" t="n">
        <v>12</v>
      </c>
      <c r="AL40" s="15" t="n">
        <v>0</v>
      </c>
      <c r="AM40" s="15" t="n">
        <v>0</v>
      </c>
      <c r="AN40" s="15" t="n">
        <v>0</v>
      </c>
      <c r="AO40" s="15" t="n">
        <v>0</v>
      </c>
      <c r="AP40" s="15" t="s">
        <v>63</v>
      </c>
      <c r="AQ40" s="15" t="s">
        <v>63</v>
      </c>
      <c r="AR40" s="14"/>
      <c r="AS40" s="9" t="s">
        <v>303</v>
      </c>
      <c r="AT40" s="9" t="s">
        <v>304</v>
      </c>
      <c r="AU40" s="15" t="s">
        <v>394</v>
      </c>
      <c r="AV40" s="15" t="n">
        <v>1456886</v>
      </c>
      <c r="AW40" s="15" t="n">
        <v>9.91003097719702E+017</v>
      </c>
      <c r="AX40" s="15" t="n">
        <v>9.91003097719702E+017</v>
      </c>
      <c r="AY40" s="15" t="n">
        <v>2256082710002650</v>
      </c>
      <c r="AZ40" s="15" t="s">
        <v>77</v>
      </c>
      <c r="BA40" s="14"/>
      <c r="BB40" s="19"/>
      <c r="BC40" s="17" t="n">
        <v>32285000467000</v>
      </c>
      <c r="BD40" s="15" t="n">
        <v>893592190</v>
      </c>
      <c r="BE40" s="6" t="s">
        <v>306</v>
      </c>
    </row>
    <row r="41" customFormat="false" ht="36.5" hidden="false" customHeight="false" outlineLevel="0" collapsed="false">
      <c r="A41" s="4" t="s">
        <v>57</v>
      </c>
      <c r="B41" s="5" t="s">
        <v>396</v>
      </c>
      <c r="C41" s="5" t="s">
        <v>397</v>
      </c>
      <c r="D41" s="5" t="s">
        <v>398</v>
      </c>
      <c r="E41" s="14"/>
      <c r="F41" s="15" t="s">
        <v>63</v>
      </c>
      <c r="G41" s="15" t="n">
        <v>1</v>
      </c>
      <c r="H41" s="15" t="s">
        <v>63</v>
      </c>
      <c r="I41" s="15" t="s">
        <v>63</v>
      </c>
      <c r="J41" s="15" t="n">
        <v>0</v>
      </c>
      <c r="K41" s="5" t="s">
        <v>399</v>
      </c>
      <c r="L41" s="5" t="s">
        <v>400</v>
      </c>
      <c r="M41" s="15" t="n">
        <v>1970</v>
      </c>
      <c r="N41" s="14"/>
      <c r="O41" s="15" t="s">
        <v>67</v>
      </c>
      <c r="P41" s="15" t="s">
        <v>401</v>
      </c>
      <c r="Q41" s="5" t="s">
        <v>402</v>
      </c>
      <c r="R41" s="15" t="s">
        <v>302</v>
      </c>
      <c r="S41" s="15" t="n">
        <v>4</v>
      </c>
      <c r="T41" s="15" t="n">
        <v>4</v>
      </c>
      <c r="U41" s="16" t="n">
        <v>37803</v>
      </c>
      <c r="V41" s="16" t="n">
        <v>37803</v>
      </c>
      <c r="W41" s="16" t="n">
        <v>33288</v>
      </c>
      <c r="X41" s="16" t="n">
        <v>33288</v>
      </c>
      <c r="Y41" s="15" t="n">
        <v>842</v>
      </c>
      <c r="Z41" s="15" t="n">
        <v>730</v>
      </c>
      <c r="AA41" s="15" t="n">
        <v>751</v>
      </c>
      <c r="AB41" s="15" t="n">
        <v>8</v>
      </c>
      <c r="AC41" s="15" t="n">
        <v>8</v>
      </c>
      <c r="AD41" s="15" t="n">
        <v>42</v>
      </c>
      <c r="AE41" s="15" t="n">
        <v>42</v>
      </c>
      <c r="AF41" s="15" t="n">
        <v>17</v>
      </c>
      <c r="AG41" s="15" t="n">
        <v>17</v>
      </c>
      <c r="AH41" s="15" t="n">
        <v>7</v>
      </c>
      <c r="AI41" s="15" t="n">
        <v>7</v>
      </c>
      <c r="AJ41" s="15" t="n">
        <v>23</v>
      </c>
      <c r="AK41" s="15" t="n">
        <v>23</v>
      </c>
      <c r="AL41" s="15" t="n">
        <v>6</v>
      </c>
      <c r="AM41" s="15" t="n">
        <v>6</v>
      </c>
      <c r="AN41" s="15" t="n">
        <v>0</v>
      </c>
      <c r="AO41" s="15" t="n">
        <v>0</v>
      </c>
      <c r="AP41" s="15" t="s">
        <v>63</v>
      </c>
      <c r="AQ41" s="15" t="s">
        <v>57</v>
      </c>
      <c r="AR41" s="9" t="s">
        <v>312</v>
      </c>
      <c r="AS41" s="9" t="s">
        <v>303</v>
      </c>
      <c r="AT41" s="9" t="s">
        <v>304</v>
      </c>
      <c r="AU41" s="15" t="s">
        <v>403</v>
      </c>
      <c r="AV41" s="15" t="n">
        <v>52774</v>
      </c>
      <c r="AW41" s="15" t="n">
        <v>9.91000128079702E+017</v>
      </c>
      <c r="AX41" s="15" t="n">
        <v>9.91000128079702E+017</v>
      </c>
      <c r="AY41" s="15" t="n">
        <v>2259215660002650</v>
      </c>
      <c r="AZ41" s="15" t="s">
        <v>77</v>
      </c>
      <c r="BA41" s="14"/>
      <c r="BB41" s="19"/>
      <c r="BC41" s="17" t="n">
        <v>32285000467539</v>
      </c>
      <c r="BD41" s="15" t="n">
        <v>893438033</v>
      </c>
      <c r="BE41" s="6" t="s">
        <v>306</v>
      </c>
    </row>
    <row r="42" customFormat="false" ht="25" hidden="false" customHeight="false" outlineLevel="0" collapsed="false">
      <c r="A42" s="4" t="s">
        <v>57</v>
      </c>
      <c r="B42" s="5" t="s">
        <v>404</v>
      </c>
      <c r="C42" s="5" t="s">
        <v>405</v>
      </c>
      <c r="D42" s="5" t="s">
        <v>406</v>
      </c>
      <c r="E42" s="14"/>
      <c r="F42" s="15" t="s">
        <v>63</v>
      </c>
      <c r="G42" s="15" t="n">
        <v>1</v>
      </c>
      <c r="H42" s="15" t="s">
        <v>63</v>
      </c>
      <c r="I42" s="15" t="s">
        <v>63</v>
      </c>
      <c r="J42" s="15" t="n">
        <v>0</v>
      </c>
      <c r="K42" s="5" t="s">
        <v>407</v>
      </c>
      <c r="L42" s="5" t="s">
        <v>408</v>
      </c>
      <c r="M42" s="15" t="n">
        <v>1976</v>
      </c>
      <c r="N42" s="14"/>
      <c r="O42" s="15" t="s">
        <v>67</v>
      </c>
      <c r="P42" s="15" t="s">
        <v>409</v>
      </c>
      <c r="Q42" s="14"/>
      <c r="R42" s="15" t="s">
        <v>302</v>
      </c>
      <c r="S42" s="15" t="n">
        <v>1</v>
      </c>
      <c r="T42" s="15" t="n">
        <v>1</v>
      </c>
      <c r="U42" s="16" t="n">
        <v>37803</v>
      </c>
      <c r="V42" s="16" t="n">
        <v>37803</v>
      </c>
      <c r="W42" s="16" t="n">
        <v>33288</v>
      </c>
      <c r="X42" s="16" t="n">
        <v>33288</v>
      </c>
      <c r="Y42" s="15" t="n">
        <v>227</v>
      </c>
      <c r="Z42" s="15" t="n">
        <v>197</v>
      </c>
      <c r="AA42" s="15" t="n">
        <v>237</v>
      </c>
      <c r="AB42" s="15" t="n">
        <v>2</v>
      </c>
      <c r="AC42" s="15" t="n">
        <v>2</v>
      </c>
      <c r="AD42" s="15" t="n">
        <v>13</v>
      </c>
      <c r="AE42" s="15" t="n">
        <v>13</v>
      </c>
      <c r="AF42" s="15" t="n">
        <v>4</v>
      </c>
      <c r="AG42" s="15" t="n">
        <v>4</v>
      </c>
      <c r="AH42" s="15" t="n">
        <v>2</v>
      </c>
      <c r="AI42" s="15" t="n">
        <v>2</v>
      </c>
      <c r="AJ42" s="15" t="n">
        <v>8</v>
      </c>
      <c r="AK42" s="15" t="n">
        <v>8</v>
      </c>
      <c r="AL42" s="15" t="n">
        <v>1</v>
      </c>
      <c r="AM42" s="15" t="n">
        <v>1</v>
      </c>
      <c r="AN42" s="15" t="n">
        <v>0</v>
      </c>
      <c r="AO42" s="15" t="n">
        <v>0</v>
      </c>
      <c r="AP42" s="15" t="s">
        <v>63</v>
      </c>
      <c r="AQ42" s="15" t="s">
        <v>63</v>
      </c>
      <c r="AR42" s="14"/>
      <c r="AS42" s="9" t="s">
        <v>303</v>
      </c>
      <c r="AT42" s="9" t="s">
        <v>304</v>
      </c>
      <c r="AU42" s="15" t="s">
        <v>410</v>
      </c>
      <c r="AV42" s="15" t="n">
        <v>2525019</v>
      </c>
      <c r="AW42" s="15" t="n">
        <v>9.91004151579702E+017</v>
      </c>
      <c r="AX42" s="15" t="n">
        <v>9.91004151579702E+017</v>
      </c>
      <c r="AY42" s="15" t="n">
        <v>2272723540002650</v>
      </c>
      <c r="AZ42" s="15" t="s">
        <v>77</v>
      </c>
      <c r="BA42" s="14"/>
      <c r="BB42" s="17" t="n">
        <v>9780827225077</v>
      </c>
      <c r="BC42" s="17" t="n">
        <v>32285000467620</v>
      </c>
      <c r="BD42" s="15" t="n">
        <v>893628005</v>
      </c>
      <c r="BE42" s="6" t="s">
        <v>306</v>
      </c>
    </row>
    <row r="43" customFormat="false" ht="48" hidden="false" customHeight="false" outlineLevel="0" collapsed="false">
      <c r="A43" s="4" t="s">
        <v>57</v>
      </c>
      <c r="B43" s="5" t="s">
        <v>411</v>
      </c>
      <c r="C43" s="5" t="s">
        <v>412</v>
      </c>
      <c r="D43" s="5" t="s">
        <v>413</v>
      </c>
      <c r="E43" s="14"/>
      <c r="F43" s="15" t="s">
        <v>63</v>
      </c>
      <c r="G43" s="15" t="n">
        <v>1</v>
      </c>
      <c r="H43" s="15" t="s">
        <v>63</v>
      </c>
      <c r="I43" s="15" t="s">
        <v>63</v>
      </c>
      <c r="J43" s="15" t="n">
        <v>0</v>
      </c>
      <c r="K43" s="14"/>
      <c r="L43" s="5" t="s">
        <v>414</v>
      </c>
      <c r="M43" s="15" t="n">
        <v>1988</v>
      </c>
      <c r="N43" s="14"/>
      <c r="O43" s="15" t="s">
        <v>67</v>
      </c>
      <c r="P43" s="15" t="s">
        <v>415</v>
      </c>
      <c r="Q43" s="5" t="s">
        <v>416</v>
      </c>
      <c r="R43" s="15" t="s">
        <v>302</v>
      </c>
      <c r="S43" s="15" t="n">
        <v>8</v>
      </c>
      <c r="T43" s="15" t="n">
        <v>8</v>
      </c>
      <c r="U43" s="16" t="n">
        <v>38814</v>
      </c>
      <c r="V43" s="16" t="n">
        <v>38814</v>
      </c>
      <c r="W43" s="16" t="n">
        <v>33017</v>
      </c>
      <c r="X43" s="16" t="n">
        <v>33017</v>
      </c>
      <c r="Y43" s="15" t="n">
        <v>421</v>
      </c>
      <c r="Z43" s="15" t="n">
        <v>297</v>
      </c>
      <c r="AA43" s="15" t="n">
        <v>304</v>
      </c>
      <c r="AB43" s="15" t="n">
        <v>2</v>
      </c>
      <c r="AC43" s="15" t="n">
        <v>2</v>
      </c>
      <c r="AD43" s="15" t="n">
        <v>21</v>
      </c>
      <c r="AE43" s="15" t="n">
        <v>21</v>
      </c>
      <c r="AF43" s="15" t="n">
        <v>7</v>
      </c>
      <c r="AG43" s="15" t="n">
        <v>7</v>
      </c>
      <c r="AH43" s="15" t="n">
        <v>5</v>
      </c>
      <c r="AI43" s="15" t="n">
        <v>5</v>
      </c>
      <c r="AJ43" s="15" t="n">
        <v>14</v>
      </c>
      <c r="AK43" s="15" t="n">
        <v>14</v>
      </c>
      <c r="AL43" s="15" t="n">
        <v>1</v>
      </c>
      <c r="AM43" s="15" t="n">
        <v>1</v>
      </c>
      <c r="AN43" s="15" t="n">
        <v>0</v>
      </c>
      <c r="AO43" s="15" t="n">
        <v>0</v>
      </c>
      <c r="AP43" s="15" t="s">
        <v>63</v>
      </c>
      <c r="AQ43" s="15" t="s">
        <v>63</v>
      </c>
      <c r="AR43" s="14"/>
      <c r="AS43" s="9" t="s">
        <v>303</v>
      </c>
      <c r="AT43" s="9" t="s">
        <v>304</v>
      </c>
      <c r="AU43" s="15" t="s">
        <v>417</v>
      </c>
      <c r="AV43" s="15" t="n">
        <v>17258214</v>
      </c>
      <c r="AW43" s="15" t="n">
        <v>9.91001190789702E+017</v>
      </c>
      <c r="AX43" s="15" t="n">
        <v>9.91001190789702E+017</v>
      </c>
      <c r="AY43" s="15" t="n">
        <v>2264061750002650</v>
      </c>
      <c r="AZ43" s="15" t="s">
        <v>77</v>
      </c>
      <c r="BA43" s="14"/>
      <c r="BB43" s="17" t="n">
        <v>9781555402099</v>
      </c>
      <c r="BC43" s="17" t="n">
        <v>32285000165562</v>
      </c>
      <c r="BD43" s="15" t="n">
        <v>893407926</v>
      </c>
      <c r="BE43" s="6" t="s">
        <v>306</v>
      </c>
    </row>
    <row r="44" customFormat="false" ht="36.5" hidden="false" customHeight="false" outlineLevel="0" collapsed="false">
      <c r="A44" s="4" t="s">
        <v>57</v>
      </c>
      <c r="B44" s="5" t="s">
        <v>418</v>
      </c>
      <c r="C44" s="5" t="s">
        <v>419</v>
      </c>
      <c r="D44" s="5" t="s">
        <v>420</v>
      </c>
      <c r="E44" s="14"/>
      <c r="F44" s="15" t="s">
        <v>63</v>
      </c>
      <c r="G44" s="15" t="n">
        <v>1</v>
      </c>
      <c r="H44" s="15" t="s">
        <v>63</v>
      </c>
      <c r="I44" s="15" t="s">
        <v>63</v>
      </c>
      <c r="J44" s="15" t="n">
        <v>0</v>
      </c>
      <c r="K44" s="5" t="s">
        <v>421</v>
      </c>
      <c r="L44" s="5" t="s">
        <v>422</v>
      </c>
      <c r="M44" s="15" t="n">
        <v>1999</v>
      </c>
      <c r="N44" s="14"/>
      <c r="O44" s="15" t="s">
        <v>67</v>
      </c>
      <c r="P44" s="15" t="s">
        <v>300</v>
      </c>
      <c r="Q44" s="14"/>
      <c r="R44" s="15" t="s">
        <v>302</v>
      </c>
      <c r="S44" s="15" t="n">
        <v>4</v>
      </c>
      <c r="T44" s="15" t="n">
        <v>4</v>
      </c>
      <c r="U44" s="16" t="n">
        <v>37803</v>
      </c>
      <c r="V44" s="16" t="n">
        <v>37803</v>
      </c>
      <c r="W44" s="16" t="n">
        <v>36901</v>
      </c>
      <c r="X44" s="16" t="n">
        <v>36901</v>
      </c>
      <c r="Y44" s="15" t="n">
        <v>383</v>
      </c>
      <c r="Z44" s="15" t="n">
        <v>285</v>
      </c>
      <c r="AA44" s="15" t="n">
        <v>290</v>
      </c>
      <c r="AB44" s="15" t="n">
        <v>3</v>
      </c>
      <c r="AC44" s="15" t="n">
        <v>3</v>
      </c>
      <c r="AD44" s="15" t="n">
        <v>25</v>
      </c>
      <c r="AE44" s="15" t="n">
        <v>25</v>
      </c>
      <c r="AF44" s="15" t="n">
        <v>10</v>
      </c>
      <c r="AG44" s="15" t="n">
        <v>10</v>
      </c>
      <c r="AH44" s="15" t="n">
        <v>6</v>
      </c>
      <c r="AI44" s="15" t="n">
        <v>6</v>
      </c>
      <c r="AJ44" s="15" t="n">
        <v>13</v>
      </c>
      <c r="AK44" s="15" t="n">
        <v>13</v>
      </c>
      <c r="AL44" s="15" t="n">
        <v>2</v>
      </c>
      <c r="AM44" s="15" t="n">
        <v>2</v>
      </c>
      <c r="AN44" s="15" t="n">
        <v>0</v>
      </c>
      <c r="AO44" s="15" t="n">
        <v>0</v>
      </c>
      <c r="AP44" s="15" t="s">
        <v>63</v>
      </c>
      <c r="AQ44" s="15" t="s">
        <v>63</v>
      </c>
      <c r="AR44" s="14"/>
      <c r="AS44" s="9" t="s">
        <v>303</v>
      </c>
      <c r="AT44" s="9" t="s">
        <v>304</v>
      </c>
      <c r="AU44" s="15" t="s">
        <v>423</v>
      </c>
      <c r="AV44" s="15" t="n">
        <v>42667865</v>
      </c>
      <c r="AW44" s="15" t="n">
        <v>9.91003350069702E+017</v>
      </c>
      <c r="AX44" s="15" t="n">
        <v>9.91003350069702E+017</v>
      </c>
      <c r="AY44" s="15" t="n">
        <v>2271917630002650</v>
      </c>
      <c r="AZ44" s="15" t="s">
        <v>77</v>
      </c>
      <c r="BA44" s="14"/>
      <c r="BB44" s="17" t="n">
        <v>9780800627959</v>
      </c>
      <c r="BC44" s="17" t="n">
        <v>32285004282132</v>
      </c>
      <c r="BD44" s="15" t="n">
        <v>893698941</v>
      </c>
      <c r="BE44" s="6" t="s">
        <v>306</v>
      </c>
    </row>
    <row r="45" customFormat="false" ht="48" hidden="false" customHeight="false" outlineLevel="0" collapsed="false">
      <c r="A45" s="4" t="s">
        <v>57</v>
      </c>
      <c r="B45" s="5" t="s">
        <v>424</v>
      </c>
      <c r="C45" s="5" t="s">
        <v>425</v>
      </c>
      <c r="D45" s="5" t="s">
        <v>426</v>
      </c>
      <c r="E45" s="14"/>
      <c r="F45" s="15" t="s">
        <v>63</v>
      </c>
      <c r="G45" s="15" t="n">
        <v>1</v>
      </c>
      <c r="H45" s="15" t="s">
        <v>63</v>
      </c>
      <c r="I45" s="15" t="s">
        <v>63</v>
      </c>
      <c r="J45" s="15" t="n">
        <v>0</v>
      </c>
      <c r="K45" s="5" t="s">
        <v>427</v>
      </c>
      <c r="L45" s="5" t="s">
        <v>414</v>
      </c>
      <c r="M45" s="15" t="n">
        <v>1988</v>
      </c>
      <c r="N45" s="14"/>
      <c r="O45" s="15" t="s">
        <v>67</v>
      </c>
      <c r="P45" s="15" t="s">
        <v>415</v>
      </c>
      <c r="Q45" s="5" t="s">
        <v>428</v>
      </c>
      <c r="R45" s="15" t="s">
        <v>302</v>
      </c>
      <c r="S45" s="15" t="n">
        <v>1</v>
      </c>
      <c r="T45" s="15" t="n">
        <v>1</v>
      </c>
      <c r="U45" s="16" t="n">
        <v>37803</v>
      </c>
      <c r="V45" s="16" t="n">
        <v>37803</v>
      </c>
      <c r="W45" s="16" t="n">
        <v>32877</v>
      </c>
      <c r="X45" s="16" t="n">
        <v>32877</v>
      </c>
      <c r="Y45" s="15" t="n">
        <v>344</v>
      </c>
      <c r="Z45" s="15" t="n">
        <v>257</v>
      </c>
      <c r="AA45" s="15" t="n">
        <v>262</v>
      </c>
      <c r="AB45" s="15" t="n">
        <v>3</v>
      </c>
      <c r="AC45" s="15" t="n">
        <v>3</v>
      </c>
      <c r="AD45" s="15" t="n">
        <v>19</v>
      </c>
      <c r="AE45" s="15" t="n">
        <v>19</v>
      </c>
      <c r="AF45" s="15" t="n">
        <v>5</v>
      </c>
      <c r="AG45" s="15" t="n">
        <v>5</v>
      </c>
      <c r="AH45" s="15" t="n">
        <v>7</v>
      </c>
      <c r="AI45" s="15" t="n">
        <v>7</v>
      </c>
      <c r="AJ45" s="15" t="n">
        <v>10</v>
      </c>
      <c r="AK45" s="15" t="n">
        <v>10</v>
      </c>
      <c r="AL45" s="15" t="n">
        <v>2</v>
      </c>
      <c r="AM45" s="15" t="n">
        <v>2</v>
      </c>
      <c r="AN45" s="15" t="n">
        <v>0</v>
      </c>
      <c r="AO45" s="15" t="n">
        <v>0</v>
      </c>
      <c r="AP45" s="15" t="s">
        <v>63</v>
      </c>
      <c r="AQ45" s="15" t="s">
        <v>63</v>
      </c>
      <c r="AR45" s="14"/>
      <c r="AS45" s="9" t="s">
        <v>303</v>
      </c>
      <c r="AT45" s="9" t="s">
        <v>304</v>
      </c>
      <c r="AU45" s="15" t="s">
        <v>429</v>
      </c>
      <c r="AV45" s="15" t="n">
        <v>18746596</v>
      </c>
      <c r="AW45" s="15" t="n">
        <v>9.91001389959702E+017</v>
      </c>
      <c r="AX45" s="15" t="n">
        <v>9.91001389959702E+017</v>
      </c>
      <c r="AY45" s="15" t="n">
        <v>2255187800002650</v>
      </c>
      <c r="AZ45" s="15" t="s">
        <v>77</v>
      </c>
      <c r="BA45" s="14"/>
      <c r="BB45" s="19"/>
      <c r="BC45" s="17" t="n">
        <v>32285000026558</v>
      </c>
      <c r="BD45" s="15" t="n">
        <v>893346479</v>
      </c>
      <c r="BE45" s="6" t="s">
        <v>306</v>
      </c>
    </row>
    <row r="46" customFormat="false" ht="36.5" hidden="false" customHeight="false" outlineLevel="0" collapsed="false">
      <c r="A46" s="4" t="s">
        <v>57</v>
      </c>
      <c r="B46" s="5" t="s">
        <v>430</v>
      </c>
      <c r="C46" s="5" t="s">
        <v>431</v>
      </c>
      <c r="D46" s="5" t="s">
        <v>432</v>
      </c>
      <c r="E46" s="14"/>
      <c r="F46" s="15" t="s">
        <v>63</v>
      </c>
      <c r="G46" s="15" t="n">
        <v>1</v>
      </c>
      <c r="H46" s="15" t="s">
        <v>63</v>
      </c>
      <c r="I46" s="15" t="s">
        <v>63</v>
      </c>
      <c r="J46" s="15" t="n">
        <v>0</v>
      </c>
      <c r="K46" s="5" t="s">
        <v>433</v>
      </c>
      <c r="L46" s="5" t="s">
        <v>434</v>
      </c>
      <c r="M46" s="15" t="n">
        <v>1983</v>
      </c>
      <c r="N46" s="14"/>
      <c r="O46" s="15" t="s">
        <v>67</v>
      </c>
      <c r="P46" s="15" t="s">
        <v>384</v>
      </c>
      <c r="Q46" s="14"/>
      <c r="R46" s="15" t="s">
        <v>302</v>
      </c>
      <c r="S46" s="15" t="n">
        <v>6</v>
      </c>
      <c r="T46" s="15" t="n">
        <v>6</v>
      </c>
      <c r="U46" s="16" t="n">
        <v>39147</v>
      </c>
      <c r="V46" s="16" t="n">
        <v>39147</v>
      </c>
      <c r="W46" s="16" t="n">
        <v>33294</v>
      </c>
      <c r="X46" s="16" t="n">
        <v>33294</v>
      </c>
      <c r="Y46" s="15" t="n">
        <v>275</v>
      </c>
      <c r="Z46" s="15" t="n">
        <v>192</v>
      </c>
      <c r="AA46" s="15" t="n">
        <v>212</v>
      </c>
      <c r="AB46" s="15" t="n">
        <v>1</v>
      </c>
      <c r="AC46" s="15" t="n">
        <v>1</v>
      </c>
      <c r="AD46" s="15" t="n">
        <v>11</v>
      </c>
      <c r="AE46" s="15" t="n">
        <v>11</v>
      </c>
      <c r="AF46" s="15" t="n">
        <v>1</v>
      </c>
      <c r="AG46" s="15" t="n">
        <v>1</v>
      </c>
      <c r="AH46" s="15" t="n">
        <v>3</v>
      </c>
      <c r="AI46" s="15" t="n">
        <v>3</v>
      </c>
      <c r="AJ46" s="15" t="n">
        <v>8</v>
      </c>
      <c r="AK46" s="15" t="n">
        <v>8</v>
      </c>
      <c r="AL46" s="15" t="n">
        <v>0</v>
      </c>
      <c r="AM46" s="15" t="n">
        <v>0</v>
      </c>
      <c r="AN46" s="15" t="n">
        <v>0</v>
      </c>
      <c r="AO46" s="15" t="n">
        <v>0</v>
      </c>
      <c r="AP46" s="15" t="s">
        <v>63</v>
      </c>
      <c r="AQ46" s="15" t="s">
        <v>57</v>
      </c>
      <c r="AR46" s="9" t="s">
        <v>312</v>
      </c>
      <c r="AS46" s="9" t="s">
        <v>303</v>
      </c>
      <c r="AT46" s="9" t="s">
        <v>304</v>
      </c>
      <c r="AU46" s="15" t="s">
        <v>435</v>
      </c>
      <c r="AV46" s="15" t="n">
        <v>10164851</v>
      </c>
      <c r="AW46" s="15" t="n">
        <v>9.91000325249702E+017</v>
      </c>
      <c r="AX46" s="15" t="n">
        <v>9.91000325249702E+017</v>
      </c>
      <c r="AY46" s="15" t="n">
        <v>2266777910002650</v>
      </c>
      <c r="AZ46" s="15" t="s">
        <v>77</v>
      </c>
      <c r="BA46" s="14"/>
      <c r="BB46" s="17" t="n">
        <v>9780907459293</v>
      </c>
      <c r="BC46" s="17" t="n">
        <v>32285000468149</v>
      </c>
      <c r="BD46" s="15" t="n">
        <v>893784132</v>
      </c>
      <c r="BE46" s="6" t="s">
        <v>306</v>
      </c>
    </row>
    <row r="47" customFormat="false" ht="25" hidden="false" customHeight="false" outlineLevel="0" collapsed="false">
      <c r="A47" s="4" t="s">
        <v>57</v>
      </c>
      <c r="B47" s="5" t="s">
        <v>436</v>
      </c>
      <c r="C47" s="5" t="s">
        <v>437</v>
      </c>
      <c r="D47" s="5" t="s">
        <v>438</v>
      </c>
      <c r="E47" s="14"/>
      <c r="F47" s="15" t="s">
        <v>63</v>
      </c>
      <c r="G47" s="15" t="n">
        <v>1</v>
      </c>
      <c r="H47" s="15" t="s">
        <v>63</v>
      </c>
      <c r="I47" s="15" t="s">
        <v>63</v>
      </c>
      <c r="J47" s="15" t="n">
        <v>0</v>
      </c>
      <c r="K47" s="5" t="s">
        <v>382</v>
      </c>
      <c r="L47" s="5" t="s">
        <v>439</v>
      </c>
      <c r="M47" s="15" t="n">
        <v>1968</v>
      </c>
      <c r="N47" s="14"/>
      <c r="O47" s="15" t="s">
        <v>67</v>
      </c>
      <c r="P47" s="15" t="s">
        <v>318</v>
      </c>
      <c r="Q47" s="14"/>
      <c r="R47" s="15" t="s">
        <v>302</v>
      </c>
      <c r="S47" s="15" t="n">
        <v>5</v>
      </c>
      <c r="T47" s="15" t="n">
        <v>5</v>
      </c>
      <c r="U47" s="16" t="n">
        <v>37803</v>
      </c>
      <c r="V47" s="16" t="n">
        <v>37803</v>
      </c>
      <c r="W47" s="16" t="n">
        <v>33294</v>
      </c>
      <c r="X47" s="16" t="n">
        <v>33294</v>
      </c>
      <c r="Y47" s="15" t="n">
        <v>361</v>
      </c>
      <c r="Z47" s="15" t="n">
        <v>326</v>
      </c>
      <c r="AA47" s="15" t="n">
        <v>445</v>
      </c>
      <c r="AB47" s="15" t="n">
        <v>1</v>
      </c>
      <c r="AC47" s="15" t="n">
        <v>3</v>
      </c>
      <c r="AD47" s="15" t="n">
        <v>19</v>
      </c>
      <c r="AE47" s="15" t="n">
        <v>32</v>
      </c>
      <c r="AF47" s="15" t="n">
        <v>7</v>
      </c>
      <c r="AG47" s="15" t="n">
        <v>11</v>
      </c>
      <c r="AH47" s="15" t="n">
        <v>6</v>
      </c>
      <c r="AI47" s="15" t="n">
        <v>10</v>
      </c>
      <c r="AJ47" s="15" t="n">
        <v>11</v>
      </c>
      <c r="AK47" s="15" t="n">
        <v>18</v>
      </c>
      <c r="AL47" s="15" t="n">
        <v>0</v>
      </c>
      <c r="AM47" s="15" t="n">
        <v>2</v>
      </c>
      <c r="AN47" s="15" t="n">
        <v>0</v>
      </c>
      <c r="AO47" s="15" t="n">
        <v>0</v>
      </c>
      <c r="AP47" s="15" t="s">
        <v>63</v>
      </c>
      <c r="AQ47" s="15" t="s">
        <v>63</v>
      </c>
      <c r="AR47" s="14"/>
      <c r="AS47" s="9" t="s">
        <v>303</v>
      </c>
      <c r="AT47" s="9" t="s">
        <v>304</v>
      </c>
      <c r="AU47" s="15" t="s">
        <v>440</v>
      </c>
      <c r="AV47" s="15" t="n">
        <v>39253</v>
      </c>
      <c r="AW47" s="15" t="n">
        <v>9.91000093399702E+017</v>
      </c>
      <c r="AX47" s="15" t="n">
        <v>9.91000093399702E+017</v>
      </c>
      <c r="AY47" s="15" t="n">
        <v>2265554190002650</v>
      </c>
      <c r="AZ47" s="15" t="s">
        <v>77</v>
      </c>
      <c r="BA47" s="14"/>
      <c r="BB47" s="19"/>
      <c r="BC47" s="17" t="n">
        <v>32285000468206</v>
      </c>
      <c r="BD47" s="15" t="n">
        <v>893406920</v>
      </c>
      <c r="BE47" s="6" t="s">
        <v>306</v>
      </c>
    </row>
    <row r="48" customFormat="false" ht="36.5" hidden="false" customHeight="false" outlineLevel="0" collapsed="false">
      <c r="A48" s="4" t="s">
        <v>57</v>
      </c>
      <c r="B48" s="5" t="s">
        <v>441</v>
      </c>
      <c r="C48" s="5" t="s">
        <v>442</v>
      </c>
      <c r="D48" s="5" t="s">
        <v>443</v>
      </c>
      <c r="E48" s="14"/>
      <c r="F48" s="15" t="s">
        <v>63</v>
      </c>
      <c r="G48" s="15" t="n">
        <v>1</v>
      </c>
      <c r="H48" s="15" t="s">
        <v>63</v>
      </c>
      <c r="I48" s="15" t="s">
        <v>63</v>
      </c>
      <c r="J48" s="15" t="n">
        <v>0</v>
      </c>
      <c r="K48" s="5" t="s">
        <v>444</v>
      </c>
      <c r="L48" s="5" t="s">
        <v>445</v>
      </c>
      <c r="M48" s="15" t="n">
        <v>1971</v>
      </c>
      <c r="N48" s="14"/>
      <c r="O48" s="15" t="s">
        <v>67</v>
      </c>
      <c r="P48" s="15" t="s">
        <v>384</v>
      </c>
      <c r="Q48" s="14"/>
      <c r="R48" s="15" t="s">
        <v>302</v>
      </c>
      <c r="S48" s="15" t="n">
        <v>2</v>
      </c>
      <c r="T48" s="15" t="n">
        <v>2</v>
      </c>
      <c r="U48" s="16" t="n">
        <v>38454</v>
      </c>
      <c r="V48" s="16" t="n">
        <v>38454</v>
      </c>
      <c r="W48" s="16" t="n">
        <v>33294</v>
      </c>
      <c r="X48" s="16" t="n">
        <v>33294</v>
      </c>
      <c r="Y48" s="15" t="n">
        <v>418</v>
      </c>
      <c r="Z48" s="15" t="n">
        <v>300</v>
      </c>
      <c r="AA48" s="15" t="n">
        <v>517</v>
      </c>
      <c r="AB48" s="15" t="n">
        <v>3</v>
      </c>
      <c r="AC48" s="15" t="n">
        <v>3</v>
      </c>
      <c r="AD48" s="15" t="n">
        <v>21</v>
      </c>
      <c r="AE48" s="15" t="n">
        <v>37</v>
      </c>
      <c r="AF48" s="15" t="n">
        <v>5</v>
      </c>
      <c r="AG48" s="15" t="n">
        <v>13</v>
      </c>
      <c r="AH48" s="15" t="n">
        <v>6</v>
      </c>
      <c r="AI48" s="15" t="n">
        <v>10</v>
      </c>
      <c r="AJ48" s="15" t="n">
        <v>15</v>
      </c>
      <c r="AK48" s="15" t="n">
        <v>24</v>
      </c>
      <c r="AL48" s="15" t="n">
        <v>2</v>
      </c>
      <c r="AM48" s="15" t="n">
        <v>2</v>
      </c>
      <c r="AN48" s="15" t="n">
        <v>0</v>
      </c>
      <c r="AO48" s="15" t="n">
        <v>0</v>
      </c>
      <c r="AP48" s="15" t="s">
        <v>63</v>
      </c>
      <c r="AQ48" s="15" t="s">
        <v>57</v>
      </c>
      <c r="AR48" s="9" t="s">
        <v>312</v>
      </c>
      <c r="AS48" s="9" t="s">
        <v>303</v>
      </c>
      <c r="AT48" s="9" t="s">
        <v>304</v>
      </c>
      <c r="AU48" s="15" t="s">
        <v>446</v>
      </c>
      <c r="AV48" s="15" t="n">
        <v>206975</v>
      </c>
      <c r="AW48" s="15" t="n">
        <v>9.91001237809702E+017</v>
      </c>
      <c r="AX48" s="15" t="n">
        <v>9.91001237809702E+017</v>
      </c>
      <c r="AY48" s="15" t="n">
        <v>2254834550002650</v>
      </c>
      <c r="AZ48" s="15" t="s">
        <v>77</v>
      </c>
      <c r="BA48" s="14"/>
      <c r="BB48" s="17" t="n">
        <v>9780225488845</v>
      </c>
      <c r="BC48" s="17" t="n">
        <v>32285000468214</v>
      </c>
      <c r="BD48" s="15" t="n">
        <v>893516020</v>
      </c>
      <c r="BE48" s="6" t="s">
        <v>306</v>
      </c>
    </row>
    <row r="49" customFormat="false" ht="48" hidden="false" customHeight="false" outlineLevel="0" collapsed="false">
      <c r="A49" s="4" t="s">
        <v>57</v>
      </c>
      <c r="B49" s="5" t="s">
        <v>447</v>
      </c>
      <c r="C49" s="5" t="s">
        <v>448</v>
      </c>
      <c r="D49" s="5" t="s">
        <v>449</v>
      </c>
      <c r="E49" s="14"/>
      <c r="F49" s="15" t="s">
        <v>63</v>
      </c>
      <c r="G49" s="15" t="n">
        <v>1</v>
      </c>
      <c r="H49" s="15" t="s">
        <v>63</v>
      </c>
      <c r="I49" s="15" t="s">
        <v>63</v>
      </c>
      <c r="J49" s="15" t="n">
        <v>0</v>
      </c>
      <c r="K49" s="5" t="s">
        <v>450</v>
      </c>
      <c r="L49" s="5" t="s">
        <v>451</v>
      </c>
      <c r="M49" s="15" t="n">
        <v>1995</v>
      </c>
      <c r="N49" s="14"/>
      <c r="O49" s="15" t="s">
        <v>67</v>
      </c>
      <c r="P49" s="15" t="s">
        <v>401</v>
      </c>
      <c r="Q49" s="5" t="s">
        <v>452</v>
      </c>
      <c r="R49" s="15" t="s">
        <v>302</v>
      </c>
      <c r="S49" s="15" t="n">
        <v>10</v>
      </c>
      <c r="T49" s="15" t="n">
        <v>10</v>
      </c>
      <c r="U49" s="16" t="n">
        <v>38774</v>
      </c>
      <c r="V49" s="16" t="n">
        <v>38774</v>
      </c>
      <c r="W49" s="16" t="n">
        <v>34857</v>
      </c>
      <c r="X49" s="16" t="n">
        <v>34857</v>
      </c>
      <c r="Y49" s="15" t="n">
        <v>146</v>
      </c>
      <c r="Z49" s="15" t="n">
        <v>117</v>
      </c>
      <c r="AA49" s="15" t="n">
        <v>129</v>
      </c>
      <c r="AB49" s="15" t="n">
        <v>1</v>
      </c>
      <c r="AC49" s="15" t="n">
        <v>1</v>
      </c>
      <c r="AD49" s="15" t="n">
        <v>6</v>
      </c>
      <c r="AE49" s="15" t="n">
        <v>6</v>
      </c>
      <c r="AF49" s="15" t="n">
        <v>3</v>
      </c>
      <c r="AG49" s="15" t="n">
        <v>3</v>
      </c>
      <c r="AH49" s="15" t="n">
        <v>2</v>
      </c>
      <c r="AI49" s="15" t="n">
        <v>2</v>
      </c>
      <c r="AJ49" s="15" t="n">
        <v>2</v>
      </c>
      <c r="AK49" s="15" t="n">
        <v>2</v>
      </c>
      <c r="AL49" s="15" t="n">
        <v>0</v>
      </c>
      <c r="AM49" s="15" t="n">
        <v>0</v>
      </c>
      <c r="AN49" s="15" t="n">
        <v>0</v>
      </c>
      <c r="AO49" s="15" t="n">
        <v>0</v>
      </c>
      <c r="AP49" s="15" t="s">
        <v>63</v>
      </c>
      <c r="AQ49" s="15" t="s">
        <v>63</v>
      </c>
      <c r="AR49" s="14"/>
      <c r="AS49" s="9" t="s">
        <v>303</v>
      </c>
      <c r="AT49" s="9" t="s">
        <v>304</v>
      </c>
      <c r="AU49" s="15" t="s">
        <v>453</v>
      </c>
      <c r="AV49" s="15" t="n">
        <v>30547862</v>
      </c>
      <c r="AW49" s="15" t="n">
        <v>9.91002347099702E+017</v>
      </c>
      <c r="AX49" s="15" t="n">
        <v>9.91002347099702E+017</v>
      </c>
      <c r="AY49" s="15" t="n">
        <v>2264058950002650</v>
      </c>
      <c r="AZ49" s="15" t="s">
        <v>77</v>
      </c>
      <c r="BA49" s="14"/>
      <c r="BB49" s="17" t="n">
        <v>9781556350245</v>
      </c>
      <c r="BC49" s="17" t="n">
        <v>32285002050598</v>
      </c>
      <c r="BD49" s="15" t="n">
        <v>893498007</v>
      </c>
      <c r="BE49" s="6" t="s">
        <v>306</v>
      </c>
    </row>
    <row r="50" customFormat="false" ht="36.5" hidden="false" customHeight="false" outlineLevel="0" collapsed="false">
      <c r="A50" s="4" t="s">
        <v>57</v>
      </c>
      <c r="B50" s="5" t="s">
        <v>454</v>
      </c>
      <c r="C50" s="5" t="s">
        <v>455</v>
      </c>
      <c r="D50" s="5" t="s">
        <v>456</v>
      </c>
      <c r="E50" s="14"/>
      <c r="F50" s="15" t="s">
        <v>63</v>
      </c>
      <c r="G50" s="15" t="n">
        <v>1</v>
      </c>
      <c r="H50" s="15" t="s">
        <v>57</v>
      </c>
      <c r="I50" s="15" t="s">
        <v>63</v>
      </c>
      <c r="J50" s="15" t="n">
        <v>0</v>
      </c>
      <c r="K50" s="5" t="s">
        <v>457</v>
      </c>
      <c r="L50" s="5" t="s">
        <v>458</v>
      </c>
      <c r="M50" s="15" t="n">
        <v>1965</v>
      </c>
      <c r="N50" s="14"/>
      <c r="O50" s="15" t="s">
        <v>67</v>
      </c>
      <c r="P50" s="15" t="s">
        <v>367</v>
      </c>
      <c r="Q50" s="5" t="s">
        <v>459</v>
      </c>
      <c r="R50" s="15" t="s">
        <v>302</v>
      </c>
      <c r="S50" s="15" t="n">
        <v>1</v>
      </c>
      <c r="T50" s="15" t="n">
        <v>14</v>
      </c>
      <c r="U50" s="16" t="n">
        <v>37803</v>
      </c>
      <c r="V50" s="16" t="n">
        <v>38322</v>
      </c>
      <c r="W50" s="16" t="n">
        <v>33294</v>
      </c>
      <c r="X50" s="16" t="n">
        <v>33294</v>
      </c>
      <c r="Y50" s="15" t="n">
        <v>484</v>
      </c>
      <c r="Z50" s="15" t="n">
        <v>416</v>
      </c>
      <c r="AA50" s="15" t="n">
        <v>660</v>
      </c>
      <c r="AB50" s="15" t="n">
        <v>4</v>
      </c>
      <c r="AC50" s="15" t="n">
        <v>5</v>
      </c>
      <c r="AD50" s="15" t="n">
        <v>37</v>
      </c>
      <c r="AE50" s="15" t="n">
        <v>46</v>
      </c>
      <c r="AF50" s="15" t="n">
        <v>14</v>
      </c>
      <c r="AG50" s="15" t="n">
        <v>20</v>
      </c>
      <c r="AH50" s="15" t="n">
        <v>8</v>
      </c>
      <c r="AI50" s="15" t="n">
        <v>9</v>
      </c>
      <c r="AJ50" s="15" t="n">
        <v>25</v>
      </c>
      <c r="AK50" s="15" t="n">
        <v>27</v>
      </c>
      <c r="AL50" s="15" t="n">
        <v>2</v>
      </c>
      <c r="AM50" s="15" t="n">
        <v>3</v>
      </c>
      <c r="AN50" s="15" t="n">
        <v>0</v>
      </c>
      <c r="AO50" s="15" t="n">
        <v>0</v>
      </c>
      <c r="AP50" s="15" t="s">
        <v>63</v>
      </c>
      <c r="AQ50" s="15" t="s">
        <v>63</v>
      </c>
      <c r="AR50" s="14"/>
      <c r="AS50" s="9" t="s">
        <v>303</v>
      </c>
      <c r="AT50" s="9" t="s">
        <v>304</v>
      </c>
      <c r="AU50" s="15" t="s">
        <v>460</v>
      </c>
      <c r="AV50" s="15" t="n">
        <v>6530571</v>
      </c>
      <c r="AW50" s="15" t="n">
        <v>9.91002608059702E+017</v>
      </c>
      <c r="AX50" s="15" t="n">
        <v>9.91002608059702E+017</v>
      </c>
      <c r="AY50" s="15" t="n">
        <v>2262985250002650</v>
      </c>
      <c r="AZ50" s="15" t="s">
        <v>77</v>
      </c>
      <c r="BA50" s="14"/>
      <c r="BB50" s="19"/>
      <c r="BC50" s="17" t="n">
        <v>32285000468305</v>
      </c>
      <c r="BD50" s="15" t="n">
        <v>893227066</v>
      </c>
      <c r="BE50" s="6" t="s">
        <v>306</v>
      </c>
    </row>
    <row r="51" customFormat="false" ht="59.5" hidden="false" customHeight="false" outlineLevel="0" collapsed="false">
      <c r="A51" s="4" t="s">
        <v>57</v>
      </c>
      <c r="B51" s="5" t="s">
        <v>461</v>
      </c>
      <c r="C51" s="5" t="s">
        <v>462</v>
      </c>
      <c r="D51" s="5" t="s">
        <v>463</v>
      </c>
      <c r="E51" s="14"/>
      <c r="F51" s="15" t="s">
        <v>63</v>
      </c>
      <c r="G51" s="15" t="n">
        <v>1</v>
      </c>
      <c r="H51" s="15" t="s">
        <v>63</v>
      </c>
      <c r="I51" s="15" t="s">
        <v>63</v>
      </c>
      <c r="J51" s="15" t="n">
        <v>0</v>
      </c>
      <c r="K51" s="5" t="s">
        <v>464</v>
      </c>
      <c r="L51" s="5" t="s">
        <v>465</v>
      </c>
      <c r="M51" s="15" t="n">
        <v>1964</v>
      </c>
      <c r="N51" s="14"/>
      <c r="O51" s="15" t="s">
        <v>67</v>
      </c>
      <c r="P51" s="15" t="s">
        <v>367</v>
      </c>
      <c r="Q51" s="14"/>
      <c r="R51" s="15" t="s">
        <v>302</v>
      </c>
      <c r="S51" s="15" t="n">
        <v>4</v>
      </c>
      <c r="T51" s="15" t="n">
        <v>4</v>
      </c>
      <c r="U51" s="16" t="n">
        <v>37803</v>
      </c>
      <c r="V51" s="16" t="n">
        <v>37803</v>
      </c>
      <c r="W51" s="16" t="n">
        <v>33294</v>
      </c>
      <c r="X51" s="16" t="n">
        <v>33294</v>
      </c>
      <c r="Y51" s="15" t="n">
        <v>205</v>
      </c>
      <c r="Z51" s="15" t="n">
        <v>171</v>
      </c>
      <c r="AA51" s="15" t="n">
        <v>483</v>
      </c>
      <c r="AB51" s="15" t="n">
        <v>3</v>
      </c>
      <c r="AC51" s="15" t="n">
        <v>5</v>
      </c>
      <c r="AD51" s="15" t="n">
        <v>15</v>
      </c>
      <c r="AE51" s="15" t="n">
        <v>31</v>
      </c>
      <c r="AF51" s="15" t="n">
        <v>5</v>
      </c>
      <c r="AG51" s="15" t="n">
        <v>10</v>
      </c>
      <c r="AH51" s="15" t="n">
        <v>4</v>
      </c>
      <c r="AI51" s="15" t="n">
        <v>7</v>
      </c>
      <c r="AJ51" s="15" t="n">
        <v>7</v>
      </c>
      <c r="AK51" s="15" t="n">
        <v>17</v>
      </c>
      <c r="AL51" s="15" t="n">
        <v>2</v>
      </c>
      <c r="AM51" s="15" t="n">
        <v>4</v>
      </c>
      <c r="AN51" s="15" t="n">
        <v>0</v>
      </c>
      <c r="AO51" s="15" t="n">
        <v>0</v>
      </c>
      <c r="AP51" s="15" t="s">
        <v>63</v>
      </c>
      <c r="AQ51" s="15" t="s">
        <v>63</v>
      </c>
      <c r="AR51" s="14"/>
      <c r="AS51" s="9" t="s">
        <v>303</v>
      </c>
      <c r="AT51" s="9" t="s">
        <v>304</v>
      </c>
      <c r="AU51" s="15" t="s">
        <v>466</v>
      </c>
      <c r="AV51" s="15" t="n">
        <v>1119241</v>
      </c>
      <c r="AW51" s="15" t="n">
        <v>9.91003550409702E+017</v>
      </c>
      <c r="AX51" s="15" t="n">
        <v>9.91003550409702E+017</v>
      </c>
      <c r="AY51" s="15" t="n">
        <v>2255951190002650</v>
      </c>
      <c r="AZ51" s="15" t="s">
        <v>77</v>
      </c>
      <c r="BA51" s="14"/>
      <c r="BB51" s="19"/>
      <c r="BC51" s="17" t="n">
        <v>32285000468347</v>
      </c>
      <c r="BD51" s="15" t="n">
        <v>893781123</v>
      </c>
      <c r="BE51" s="6" t="s">
        <v>306</v>
      </c>
    </row>
    <row r="52" customFormat="false" ht="36.5" hidden="false" customHeight="false" outlineLevel="0" collapsed="false">
      <c r="A52" s="4" t="s">
        <v>57</v>
      </c>
      <c r="B52" s="5" t="s">
        <v>467</v>
      </c>
      <c r="C52" s="5" t="s">
        <v>468</v>
      </c>
      <c r="D52" s="5" t="s">
        <v>469</v>
      </c>
      <c r="E52" s="14"/>
      <c r="F52" s="15" t="s">
        <v>63</v>
      </c>
      <c r="G52" s="15" t="n">
        <v>1</v>
      </c>
      <c r="H52" s="15" t="s">
        <v>63</v>
      </c>
      <c r="I52" s="15" t="s">
        <v>63</v>
      </c>
      <c r="J52" s="15" t="n">
        <v>0</v>
      </c>
      <c r="K52" s="5" t="s">
        <v>444</v>
      </c>
      <c r="L52" s="5" t="s">
        <v>470</v>
      </c>
      <c r="M52" s="15" t="n">
        <v>1981</v>
      </c>
      <c r="N52" s="14"/>
      <c r="O52" s="15" t="s">
        <v>67</v>
      </c>
      <c r="P52" s="15" t="s">
        <v>68</v>
      </c>
      <c r="Q52" s="14"/>
      <c r="R52" s="15" t="s">
        <v>302</v>
      </c>
      <c r="S52" s="15" t="n">
        <v>5</v>
      </c>
      <c r="T52" s="15" t="n">
        <v>5</v>
      </c>
      <c r="U52" s="16" t="n">
        <v>37803</v>
      </c>
      <c r="V52" s="16" t="n">
        <v>37803</v>
      </c>
      <c r="W52" s="16" t="n">
        <v>33294</v>
      </c>
      <c r="X52" s="16" t="n">
        <v>33294</v>
      </c>
      <c r="Y52" s="15" t="n">
        <v>450</v>
      </c>
      <c r="Z52" s="15" t="n">
        <v>362</v>
      </c>
      <c r="AA52" s="15" t="n">
        <v>463</v>
      </c>
      <c r="AB52" s="15" t="n">
        <v>3</v>
      </c>
      <c r="AC52" s="15" t="n">
        <v>3</v>
      </c>
      <c r="AD52" s="15" t="n">
        <v>28</v>
      </c>
      <c r="AE52" s="15" t="n">
        <v>37</v>
      </c>
      <c r="AF52" s="15" t="n">
        <v>7</v>
      </c>
      <c r="AG52" s="15" t="n">
        <v>13</v>
      </c>
      <c r="AH52" s="15" t="n">
        <v>7</v>
      </c>
      <c r="AI52" s="15" t="n">
        <v>9</v>
      </c>
      <c r="AJ52" s="15" t="n">
        <v>23</v>
      </c>
      <c r="AK52" s="15" t="n">
        <v>27</v>
      </c>
      <c r="AL52" s="15" t="n">
        <v>1</v>
      </c>
      <c r="AM52" s="15" t="n">
        <v>1</v>
      </c>
      <c r="AN52" s="15" t="n">
        <v>0</v>
      </c>
      <c r="AO52" s="15" t="n">
        <v>0</v>
      </c>
      <c r="AP52" s="15" t="s">
        <v>63</v>
      </c>
      <c r="AQ52" s="15" t="s">
        <v>57</v>
      </c>
      <c r="AR52" s="9" t="s">
        <v>312</v>
      </c>
      <c r="AS52" s="9" t="s">
        <v>303</v>
      </c>
      <c r="AT52" s="9" t="s">
        <v>304</v>
      </c>
      <c r="AU52" s="15" t="s">
        <v>471</v>
      </c>
      <c r="AV52" s="15" t="n">
        <v>7168538</v>
      </c>
      <c r="AW52" s="15" t="n">
        <v>9.91005079069702E+017</v>
      </c>
      <c r="AX52" s="15" t="n">
        <v>9.91005079069702E+017</v>
      </c>
      <c r="AY52" s="15" t="n">
        <v>2270094610002650</v>
      </c>
      <c r="AZ52" s="15" t="s">
        <v>77</v>
      </c>
      <c r="BA52" s="14"/>
      <c r="BB52" s="17" t="n">
        <v>9780824500085</v>
      </c>
      <c r="BC52" s="17" t="n">
        <v>32285000468370</v>
      </c>
      <c r="BD52" s="15" t="n">
        <v>893876898</v>
      </c>
      <c r="BE52" s="6" t="s">
        <v>306</v>
      </c>
    </row>
    <row r="53" customFormat="false" ht="36.5" hidden="false" customHeight="false" outlineLevel="0" collapsed="false">
      <c r="A53" s="4" t="s">
        <v>57</v>
      </c>
      <c r="B53" s="5" t="s">
        <v>472</v>
      </c>
      <c r="C53" s="5" t="s">
        <v>473</v>
      </c>
      <c r="D53" s="5" t="s">
        <v>474</v>
      </c>
      <c r="E53" s="14"/>
      <c r="F53" s="15" t="s">
        <v>63</v>
      </c>
      <c r="G53" s="15" t="n">
        <v>1</v>
      </c>
      <c r="H53" s="15" t="s">
        <v>63</v>
      </c>
      <c r="I53" s="15" t="s">
        <v>63</v>
      </c>
      <c r="J53" s="15" t="n">
        <v>0</v>
      </c>
      <c r="K53" s="5" t="s">
        <v>475</v>
      </c>
      <c r="L53" s="5" t="s">
        <v>476</v>
      </c>
      <c r="M53" s="15" t="n">
        <v>1965</v>
      </c>
      <c r="N53" s="14"/>
      <c r="O53" s="15" t="s">
        <v>67</v>
      </c>
      <c r="P53" s="15" t="s">
        <v>367</v>
      </c>
      <c r="Q53" s="14"/>
      <c r="R53" s="15" t="s">
        <v>302</v>
      </c>
      <c r="S53" s="15" t="n">
        <v>3</v>
      </c>
      <c r="T53" s="15" t="n">
        <v>3</v>
      </c>
      <c r="U53" s="16" t="n">
        <v>37803</v>
      </c>
      <c r="V53" s="16" t="n">
        <v>37803</v>
      </c>
      <c r="W53" s="16" t="n">
        <v>32994</v>
      </c>
      <c r="X53" s="16" t="n">
        <v>32994</v>
      </c>
      <c r="Y53" s="15" t="n">
        <v>520</v>
      </c>
      <c r="Z53" s="15" t="n">
        <v>483</v>
      </c>
      <c r="AA53" s="15" t="n">
        <v>621</v>
      </c>
      <c r="AB53" s="15" t="n">
        <v>4</v>
      </c>
      <c r="AC53" s="15" t="n">
        <v>5</v>
      </c>
      <c r="AD53" s="15" t="n">
        <v>27</v>
      </c>
      <c r="AE53" s="15" t="n">
        <v>35</v>
      </c>
      <c r="AF53" s="15" t="n">
        <v>10</v>
      </c>
      <c r="AG53" s="15" t="n">
        <v>15</v>
      </c>
      <c r="AH53" s="15" t="n">
        <v>5</v>
      </c>
      <c r="AI53" s="15" t="n">
        <v>6</v>
      </c>
      <c r="AJ53" s="15" t="n">
        <v>14</v>
      </c>
      <c r="AK53" s="15" t="n">
        <v>21</v>
      </c>
      <c r="AL53" s="15" t="n">
        <v>3</v>
      </c>
      <c r="AM53" s="15" t="n">
        <v>4</v>
      </c>
      <c r="AN53" s="15" t="n">
        <v>0</v>
      </c>
      <c r="AO53" s="15" t="n">
        <v>0</v>
      </c>
      <c r="AP53" s="15" t="s">
        <v>63</v>
      </c>
      <c r="AQ53" s="15" t="s">
        <v>57</v>
      </c>
      <c r="AR53" s="9" t="s">
        <v>312</v>
      </c>
      <c r="AS53" s="9" t="s">
        <v>303</v>
      </c>
      <c r="AT53" s="9" t="s">
        <v>304</v>
      </c>
      <c r="AU53" s="15" t="s">
        <v>477</v>
      </c>
      <c r="AV53" s="15" t="n">
        <v>1124452</v>
      </c>
      <c r="AW53" s="15" t="n">
        <v>9.91003556209702E+017</v>
      </c>
      <c r="AX53" s="15" t="n">
        <v>9.91003556209702E+017</v>
      </c>
      <c r="AY53" s="15" t="n">
        <v>2269504430002650</v>
      </c>
      <c r="AZ53" s="15" t="s">
        <v>77</v>
      </c>
      <c r="BA53" s="14"/>
      <c r="BB53" s="19"/>
      <c r="BC53" s="17" t="n">
        <v>32285000129642</v>
      </c>
      <c r="BD53" s="15" t="n">
        <v>893793732</v>
      </c>
      <c r="BE53" s="6" t="s">
        <v>306</v>
      </c>
    </row>
    <row r="54" customFormat="false" ht="36.5" hidden="false" customHeight="false" outlineLevel="0" collapsed="false">
      <c r="A54" s="4" t="s">
        <v>57</v>
      </c>
      <c r="B54" s="5" t="s">
        <v>478</v>
      </c>
      <c r="C54" s="5" t="s">
        <v>479</v>
      </c>
      <c r="D54" s="5" t="s">
        <v>480</v>
      </c>
      <c r="E54" s="14"/>
      <c r="F54" s="15" t="s">
        <v>63</v>
      </c>
      <c r="G54" s="15" t="n">
        <v>1</v>
      </c>
      <c r="H54" s="15" t="s">
        <v>63</v>
      </c>
      <c r="I54" s="15" t="s">
        <v>63</v>
      </c>
      <c r="J54" s="15" t="n">
        <v>0</v>
      </c>
      <c r="K54" s="5" t="s">
        <v>481</v>
      </c>
      <c r="L54" s="5" t="s">
        <v>482</v>
      </c>
      <c r="M54" s="15" t="n">
        <v>1971</v>
      </c>
      <c r="N54" s="14"/>
      <c r="O54" s="15" t="s">
        <v>67</v>
      </c>
      <c r="P54" s="15" t="s">
        <v>401</v>
      </c>
      <c r="Q54" s="14"/>
      <c r="R54" s="15" t="s">
        <v>302</v>
      </c>
      <c r="S54" s="15" t="n">
        <v>7</v>
      </c>
      <c r="T54" s="15" t="n">
        <v>7</v>
      </c>
      <c r="U54" s="16" t="n">
        <v>37803</v>
      </c>
      <c r="V54" s="16" t="n">
        <v>37803</v>
      </c>
      <c r="W54" s="16" t="n">
        <v>32997</v>
      </c>
      <c r="X54" s="16" t="n">
        <v>32997</v>
      </c>
      <c r="Y54" s="15" t="n">
        <v>655</v>
      </c>
      <c r="Z54" s="15" t="n">
        <v>546</v>
      </c>
      <c r="AA54" s="15" t="n">
        <v>593</v>
      </c>
      <c r="AB54" s="15" t="n">
        <v>5</v>
      </c>
      <c r="AC54" s="15" t="n">
        <v>5</v>
      </c>
      <c r="AD54" s="15" t="n">
        <v>42</v>
      </c>
      <c r="AE54" s="15" t="n">
        <v>44</v>
      </c>
      <c r="AF54" s="15" t="n">
        <v>17</v>
      </c>
      <c r="AG54" s="15" t="n">
        <v>19</v>
      </c>
      <c r="AH54" s="15" t="n">
        <v>9</v>
      </c>
      <c r="AI54" s="15" t="n">
        <v>10</v>
      </c>
      <c r="AJ54" s="15" t="n">
        <v>23</v>
      </c>
      <c r="AK54" s="15" t="n">
        <v>23</v>
      </c>
      <c r="AL54" s="15" t="n">
        <v>4</v>
      </c>
      <c r="AM54" s="15" t="n">
        <v>4</v>
      </c>
      <c r="AN54" s="15" t="n">
        <v>0</v>
      </c>
      <c r="AO54" s="15" t="n">
        <v>0</v>
      </c>
      <c r="AP54" s="15" t="s">
        <v>63</v>
      </c>
      <c r="AQ54" s="15" t="s">
        <v>57</v>
      </c>
      <c r="AR54" s="9" t="s">
        <v>312</v>
      </c>
      <c r="AS54" s="9" t="s">
        <v>303</v>
      </c>
      <c r="AT54" s="9" t="s">
        <v>304</v>
      </c>
      <c r="AU54" s="15" t="s">
        <v>483</v>
      </c>
      <c r="AV54" s="15" t="n">
        <v>153829</v>
      </c>
      <c r="AW54" s="15" t="n">
        <v>9.91000890399702E+017</v>
      </c>
      <c r="AX54" s="15" t="n">
        <v>9.91000890399702E+017</v>
      </c>
      <c r="AY54" s="15" t="n">
        <v>2254758270002650</v>
      </c>
      <c r="AZ54" s="15" t="s">
        <v>77</v>
      </c>
      <c r="BA54" s="14"/>
      <c r="BB54" s="17" t="n">
        <v>9780800600587</v>
      </c>
      <c r="BC54" s="17" t="n">
        <v>32285000149293</v>
      </c>
      <c r="BD54" s="15" t="n">
        <v>893884851</v>
      </c>
      <c r="BE54" s="6" t="s">
        <v>306</v>
      </c>
    </row>
    <row r="55" customFormat="false" ht="36.5" hidden="false" customHeight="false" outlineLevel="0" collapsed="false">
      <c r="A55" s="4" t="s">
        <v>57</v>
      </c>
      <c r="B55" s="5" t="s">
        <v>484</v>
      </c>
      <c r="C55" s="5" t="s">
        <v>485</v>
      </c>
      <c r="D55" s="5" t="s">
        <v>486</v>
      </c>
      <c r="E55" s="14"/>
      <c r="F55" s="15" t="s">
        <v>63</v>
      </c>
      <c r="G55" s="15" t="n">
        <v>1</v>
      </c>
      <c r="H55" s="15" t="s">
        <v>63</v>
      </c>
      <c r="I55" s="15" t="s">
        <v>63</v>
      </c>
      <c r="J55" s="15" t="n">
        <v>0</v>
      </c>
      <c r="K55" s="5" t="s">
        <v>382</v>
      </c>
      <c r="L55" s="5" t="s">
        <v>487</v>
      </c>
      <c r="M55" s="15" t="n">
        <v>1965</v>
      </c>
      <c r="N55" s="14"/>
      <c r="O55" s="15" t="s">
        <v>67</v>
      </c>
      <c r="P55" s="15" t="s">
        <v>367</v>
      </c>
      <c r="Q55" s="14"/>
      <c r="R55" s="15" t="s">
        <v>302</v>
      </c>
      <c r="S55" s="15" t="n">
        <v>4</v>
      </c>
      <c r="T55" s="15" t="n">
        <v>4</v>
      </c>
      <c r="U55" s="16" t="n">
        <v>37803</v>
      </c>
      <c r="V55" s="16" t="n">
        <v>37803</v>
      </c>
      <c r="W55" s="16" t="n">
        <v>33296</v>
      </c>
      <c r="X55" s="16" t="n">
        <v>33296</v>
      </c>
      <c r="Y55" s="15" t="n">
        <v>61</v>
      </c>
      <c r="Z55" s="15" t="n">
        <v>55</v>
      </c>
      <c r="AA55" s="15" t="n">
        <v>372</v>
      </c>
      <c r="AB55" s="15" t="n">
        <v>1</v>
      </c>
      <c r="AC55" s="15" t="n">
        <v>1</v>
      </c>
      <c r="AD55" s="15" t="n">
        <v>5</v>
      </c>
      <c r="AE55" s="15" t="n">
        <v>27</v>
      </c>
      <c r="AF55" s="15" t="n">
        <v>3</v>
      </c>
      <c r="AG55" s="15" t="n">
        <v>13</v>
      </c>
      <c r="AH55" s="15" t="n">
        <v>1</v>
      </c>
      <c r="AI55" s="15" t="n">
        <v>5</v>
      </c>
      <c r="AJ55" s="15" t="n">
        <v>4</v>
      </c>
      <c r="AK55" s="15" t="n">
        <v>19</v>
      </c>
      <c r="AL55" s="15" t="n">
        <v>0</v>
      </c>
      <c r="AM55" s="15" t="n">
        <v>0</v>
      </c>
      <c r="AN55" s="15" t="n">
        <v>0</v>
      </c>
      <c r="AO55" s="15" t="n">
        <v>0</v>
      </c>
      <c r="AP55" s="15" t="s">
        <v>63</v>
      </c>
      <c r="AQ55" s="15" t="s">
        <v>63</v>
      </c>
      <c r="AR55" s="14"/>
      <c r="AS55" s="9" t="s">
        <v>303</v>
      </c>
      <c r="AT55" s="9" t="s">
        <v>304</v>
      </c>
      <c r="AU55" s="15" t="s">
        <v>488</v>
      </c>
      <c r="AV55" s="15" t="n">
        <v>228922</v>
      </c>
      <c r="AW55" s="15" t="n">
        <v>9.91001399379702E+017</v>
      </c>
      <c r="AX55" s="15" t="n">
        <v>9.91001399379702E+017</v>
      </c>
      <c r="AY55" s="15" t="n">
        <v>2256996140002650</v>
      </c>
      <c r="AZ55" s="15" t="s">
        <v>77</v>
      </c>
      <c r="BA55" s="14"/>
      <c r="BB55" s="19"/>
      <c r="BC55" s="17" t="n">
        <v>32285000468644</v>
      </c>
      <c r="BD55" s="15" t="n">
        <v>893778773</v>
      </c>
      <c r="BE55" s="6" t="s">
        <v>306</v>
      </c>
    </row>
    <row r="56" customFormat="false" ht="48" hidden="false" customHeight="false" outlineLevel="0" collapsed="false">
      <c r="A56" s="4" t="s">
        <v>57</v>
      </c>
      <c r="B56" s="5" t="s">
        <v>489</v>
      </c>
      <c r="C56" s="5" t="s">
        <v>490</v>
      </c>
      <c r="D56" s="5" t="s">
        <v>491</v>
      </c>
      <c r="E56" s="14"/>
      <c r="F56" s="15" t="s">
        <v>63</v>
      </c>
      <c r="G56" s="15" t="n">
        <v>1</v>
      </c>
      <c r="H56" s="15" t="s">
        <v>63</v>
      </c>
      <c r="I56" s="15" t="s">
        <v>63</v>
      </c>
      <c r="J56" s="15" t="n">
        <v>0</v>
      </c>
      <c r="K56" s="5" t="s">
        <v>492</v>
      </c>
      <c r="L56" s="5" t="s">
        <v>493</v>
      </c>
      <c r="M56" s="15" t="n">
        <v>1977</v>
      </c>
      <c r="N56" s="14"/>
      <c r="O56" s="15" t="s">
        <v>67</v>
      </c>
      <c r="P56" s="15" t="s">
        <v>401</v>
      </c>
      <c r="Q56" s="14"/>
      <c r="R56" s="15" t="s">
        <v>302</v>
      </c>
      <c r="S56" s="15" t="n">
        <v>7</v>
      </c>
      <c r="T56" s="15" t="n">
        <v>7</v>
      </c>
      <c r="U56" s="16" t="n">
        <v>38095</v>
      </c>
      <c r="V56" s="16" t="n">
        <v>38095</v>
      </c>
      <c r="W56" s="16" t="n">
        <v>33296</v>
      </c>
      <c r="X56" s="16" t="n">
        <v>33296</v>
      </c>
      <c r="Y56" s="15" t="n">
        <v>515</v>
      </c>
      <c r="Z56" s="15" t="n">
        <v>475</v>
      </c>
      <c r="AA56" s="15" t="n">
        <v>688</v>
      </c>
      <c r="AB56" s="15" t="n">
        <v>4</v>
      </c>
      <c r="AC56" s="15" t="n">
        <v>8</v>
      </c>
      <c r="AD56" s="15" t="n">
        <v>33</v>
      </c>
      <c r="AE56" s="15" t="n">
        <v>42</v>
      </c>
      <c r="AF56" s="15" t="n">
        <v>13</v>
      </c>
      <c r="AG56" s="15" t="n">
        <v>16</v>
      </c>
      <c r="AH56" s="15" t="n">
        <v>7</v>
      </c>
      <c r="AI56" s="15" t="n">
        <v>9</v>
      </c>
      <c r="AJ56" s="15" t="n">
        <v>19</v>
      </c>
      <c r="AK56" s="15" t="n">
        <v>23</v>
      </c>
      <c r="AL56" s="15" t="n">
        <v>2</v>
      </c>
      <c r="AM56" s="15" t="n">
        <v>5</v>
      </c>
      <c r="AN56" s="15" t="n">
        <v>0</v>
      </c>
      <c r="AO56" s="15" t="n">
        <v>0</v>
      </c>
      <c r="AP56" s="15" t="s">
        <v>63</v>
      </c>
      <c r="AQ56" s="15" t="s">
        <v>57</v>
      </c>
      <c r="AR56" s="9" t="s">
        <v>312</v>
      </c>
      <c r="AS56" s="9" t="s">
        <v>303</v>
      </c>
      <c r="AT56" s="9" t="s">
        <v>304</v>
      </c>
      <c r="AU56" s="15" t="s">
        <v>494</v>
      </c>
      <c r="AV56" s="15" t="n">
        <v>3090094</v>
      </c>
      <c r="AW56" s="15" t="n">
        <v>9.91004342399702E+017</v>
      </c>
      <c r="AX56" s="15" t="n">
        <v>9.91004342399702E+017</v>
      </c>
      <c r="AY56" s="15" t="n">
        <v>2260334080002650</v>
      </c>
      <c r="AZ56" s="15" t="s">
        <v>77</v>
      </c>
      <c r="BA56" s="14"/>
      <c r="BB56" s="17" t="n">
        <v>9780664213428</v>
      </c>
      <c r="BC56" s="17" t="n">
        <v>32285000468669</v>
      </c>
      <c r="BD56" s="15" t="n">
        <v>893417513</v>
      </c>
      <c r="BE56" s="6" t="s">
        <v>306</v>
      </c>
    </row>
    <row r="57" customFormat="false" ht="48" hidden="false" customHeight="false" outlineLevel="0" collapsed="false">
      <c r="A57" s="4" t="s">
        <v>57</v>
      </c>
      <c r="B57" s="5" t="s">
        <v>495</v>
      </c>
      <c r="C57" s="5" t="s">
        <v>496</v>
      </c>
      <c r="D57" s="5" t="s">
        <v>497</v>
      </c>
      <c r="E57" s="15" t="s">
        <v>498</v>
      </c>
      <c r="F57" s="15" t="s">
        <v>57</v>
      </c>
      <c r="G57" s="15" t="n">
        <v>1</v>
      </c>
      <c r="H57" s="15" t="s">
        <v>63</v>
      </c>
      <c r="I57" s="15" t="s">
        <v>63</v>
      </c>
      <c r="J57" s="15" t="n">
        <v>0</v>
      </c>
      <c r="K57" s="5" t="s">
        <v>391</v>
      </c>
      <c r="L57" s="5" t="s">
        <v>499</v>
      </c>
      <c r="M57" s="15" t="n">
        <v>1968</v>
      </c>
      <c r="N57" s="14"/>
      <c r="O57" s="15" t="s">
        <v>67</v>
      </c>
      <c r="P57" s="15" t="s">
        <v>500</v>
      </c>
      <c r="Q57" s="14"/>
      <c r="R57" s="15" t="s">
        <v>302</v>
      </c>
      <c r="S57" s="15" t="n">
        <v>2</v>
      </c>
      <c r="T57" s="15" t="n">
        <v>7</v>
      </c>
      <c r="U57" s="16" t="n">
        <v>37803</v>
      </c>
      <c r="V57" s="16" t="n">
        <v>37803</v>
      </c>
      <c r="W57" s="16" t="n">
        <v>33296</v>
      </c>
      <c r="X57" s="16" t="n">
        <v>33296</v>
      </c>
      <c r="Y57" s="15" t="n">
        <v>483</v>
      </c>
      <c r="Z57" s="15" t="n">
        <v>439</v>
      </c>
      <c r="AA57" s="15" t="n">
        <v>444</v>
      </c>
      <c r="AB57" s="15" t="n">
        <v>6</v>
      </c>
      <c r="AC57" s="15" t="n">
        <v>6</v>
      </c>
      <c r="AD57" s="15" t="n">
        <v>37</v>
      </c>
      <c r="AE57" s="15" t="n">
        <v>37</v>
      </c>
      <c r="AF57" s="15" t="n">
        <v>12</v>
      </c>
      <c r="AG57" s="15" t="n">
        <v>12</v>
      </c>
      <c r="AH57" s="15" t="n">
        <v>10</v>
      </c>
      <c r="AI57" s="15" t="n">
        <v>10</v>
      </c>
      <c r="AJ57" s="15" t="n">
        <v>23</v>
      </c>
      <c r="AK57" s="15" t="n">
        <v>23</v>
      </c>
      <c r="AL57" s="15" t="n">
        <v>4</v>
      </c>
      <c r="AM57" s="15" t="n">
        <v>4</v>
      </c>
      <c r="AN57" s="15" t="n">
        <v>0</v>
      </c>
      <c r="AO57" s="15" t="n">
        <v>0</v>
      </c>
      <c r="AP57" s="15" t="s">
        <v>63</v>
      </c>
      <c r="AQ57" s="15" t="s">
        <v>63</v>
      </c>
      <c r="AR57" s="14"/>
      <c r="AS57" s="9" t="s">
        <v>303</v>
      </c>
      <c r="AT57" s="9" t="s">
        <v>304</v>
      </c>
      <c r="AU57" s="15" t="s">
        <v>501</v>
      </c>
      <c r="AV57" s="15" t="n">
        <v>1752</v>
      </c>
      <c r="AW57" s="15" t="n">
        <v>9.91005433339702E+017</v>
      </c>
      <c r="AX57" s="15" t="n">
        <v>9.91005433339702E+017</v>
      </c>
      <c r="AY57" s="15" t="n">
        <v>2271291030002650</v>
      </c>
      <c r="AZ57" s="15" t="s">
        <v>77</v>
      </c>
      <c r="BA57" s="14"/>
      <c r="BB57" s="19"/>
      <c r="BC57" s="17" t="n">
        <v>32285000468826</v>
      </c>
      <c r="BD57" s="15" t="n">
        <v>893707919</v>
      </c>
      <c r="BE57" s="6" t="s">
        <v>306</v>
      </c>
    </row>
    <row r="58" customFormat="false" ht="48" hidden="false" customHeight="false" outlineLevel="0" collapsed="false">
      <c r="A58" s="4" t="s">
        <v>57</v>
      </c>
      <c r="B58" s="5" t="s">
        <v>495</v>
      </c>
      <c r="C58" s="5" t="s">
        <v>496</v>
      </c>
      <c r="D58" s="5" t="s">
        <v>497</v>
      </c>
      <c r="E58" s="15" t="s">
        <v>502</v>
      </c>
      <c r="F58" s="15" t="s">
        <v>57</v>
      </c>
      <c r="G58" s="15" t="n">
        <v>1</v>
      </c>
      <c r="H58" s="15" t="s">
        <v>63</v>
      </c>
      <c r="I58" s="15" t="s">
        <v>63</v>
      </c>
      <c r="J58" s="15" t="n">
        <v>0</v>
      </c>
      <c r="K58" s="5" t="s">
        <v>391</v>
      </c>
      <c r="L58" s="5" t="s">
        <v>499</v>
      </c>
      <c r="M58" s="15" t="n">
        <v>1968</v>
      </c>
      <c r="N58" s="14"/>
      <c r="O58" s="15" t="s">
        <v>67</v>
      </c>
      <c r="P58" s="15" t="s">
        <v>500</v>
      </c>
      <c r="Q58" s="14"/>
      <c r="R58" s="15" t="s">
        <v>302</v>
      </c>
      <c r="S58" s="15" t="n">
        <v>5</v>
      </c>
      <c r="T58" s="15" t="n">
        <v>7</v>
      </c>
      <c r="U58" s="16" t="n">
        <v>37803</v>
      </c>
      <c r="V58" s="16" t="n">
        <v>37803</v>
      </c>
      <c r="W58" s="16" t="n">
        <v>33296</v>
      </c>
      <c r="X58" s="16" t="n">
        <v>33296</v>
      </c>
      <c r="Y58" s="15" t="n">
        <v>483</v>
      </c>
      <c r="Z58" s="15" t="n">
        <v>439</v>
      </c>
      <c r="AA58" s="15" t="n">
        <v>444</v>
      </c>
      <c r="AB58" s="15" t="n">
        <v>6</v>
      </c>
      <c r="AC58" s="15" t="n">
        <v>6</v>
      </c>
      <c r="AD58" s="15" t="n">
        <v>37</v>
      </c>
      <c r="AE58" s="15" t="n">
        <v>37</v>
      </c>
      <c r="AF58" s="15" t="n">
        <v>12</v>
      </c>
      <c r="AG58" s="15" t="n">
        <v>12</v>
      </c>
      <c r="AH58" s="15" t="n">
        <v>10</v>
      </c>
      <c r="AI58" s="15" t="n">
        <v>10</v>
      </c>
      <c r="AJ58" s="15" t="n">
        <v>23</v>
      </c>
      <c r="AK58" s="15" t="n">
        <v>23</v>
      </c>
      <c r="AL58" s="15" t="n">
        <v>4</v>
      </c>
      <c r="AM58" s="15" t="n">
        <v>4</v>
      </c>
      <c r="AN58" s="15" t="n">
        <v>0</v>
      </c>
      <c r="AO58" s="15" t="n">
        <v>0</v>
      </c>
      <c r="AP58" s="15" t="s">
        <v>63</v>
      </c>
      <c r="AQ58" s="15" t="s">
        <v>63</v>
      </c>
      <c r="AR58" s="14"/>
      <c r="AS58" s="9" t="s">
        <v>303</v>
      </c>
      <c r="AT58" s="9" t="s">
        <v>304</v>
      </c>
      <c r="AU58" s="15" t="s">
        <v>501</v>
      </c>
      <c r="AV58" s="15" t="n">
        <v>1752</v>
      </c>
      <c r="AW58" s="15" t="n">
        <v>9.91005433339702E+017</v>
      </c>
      <c r="AX58" s="15" t="n">
        <v>9.91005433339702E+017</v>
      </c>
      <c r="AY58" s="15" t="n">
        <v>2271291030002650</v>
      </c>
      <c r="AZ58" s="15" t="s">
        <v>77</v>
      </c>
      <c r="BA58" s="14"/>
      <c r="BB58" s="19"/>
      <c r="BC58" s="17" t="n">
        <v>32285000468834</v>
      </c>
      <c r="BD58" s="15" t="n">
        <v>893707918</v>
      </c>
      <c r="BE58" s="6" t="s">
        <v>306</v>
      </c>
    </row>
    <row r="59" customFormat="false" ht="36.5" hidden="false" customHeight="false" outlineLevel="0" collapsed="false">
      <c r="A59" s="4" t="s">
        <v>57</v>
      </c>
      <c r="B59" s="5" t="s">
        <v>503</v>
      </c>
      <c r="C59" s="5" t="s">
        <v>504</v>
      </c>
      <c r="D59" s="5" t="s">
        <v>505</v>
      </c>
      <c r="E59" s="14"/>
      <c r="F59" s="15" t="s">
        <v>63</v>
      </c>
      <c r="G59" s="15" t="n">
        <v>1</v>
      </c>
      <c r="H59" s="15" t="s">
        <v>63</v>
      </c>
      <c r="I59" s="15" t="s">
        <v>63</v>
      </c>
      <c r="J59" s="15" t="n">
        <v>0</v>
      </c>
      <c r="K59" s="5" t="s">
        <v>391</v>
      </c>
      <c r="L59" s="5" t="s">
        <v>506</v>
      </c>
      <c r="M59" s="15" t="n">
        <v>1963</v>
      </c>
      <c r="N59" s="14"/>
      <c r="O59" s="15" t="s">
        <v>67</v>
      </c>
      <c r="P59" s="15" t="s">
        <v>367</v>
      </c>
      <c r="Q59" s="14"/>
      <c r="R59" s="15" t="s">
        <v>302</v>
      </c>
      <c r="S59" s="15" t="n">
        <v>1</v>
      </c>
      <c r="T59" s="15" t="n">
        <v>1</v>
      </c>
      <c r="U59" s="16" t="n">
        <v>37803</v>
      </c>
      <c r="V59" s="16" t="n">
        <v>37803</v>
      </c>
      <c r="W59" s="16" t="n">
        <v>33296</v>
      </c>
      <c r="X59" s="16" t="n">
        <v>33296</v>
      </c>
      <c r="Y59" s="15" t="n">
        <v>302</v>
      </c>
      <c r="Z59" s="15" t="n">
        <v>275</v>
      </c>
      <c r="AA59" s="15" t="n">
        <v>323</v>
      </c>
      <c r="AB59" s="15" t="n">
        <v>5</v>
      </c>
      <c r="AC59" s="15" t="n">
        <v>5</v>
      </c>
      <c r="AD59" s="15" t="n">
        <v>34</v>
      </c>
      <c r="AE59" s="15" t="n">
        <v>38</v>
      </c>
      <c r="AF59" s="15" t="n">
        <v>12</v>
      </c>
      <c r="AG59" s="15" t="n">
        <v>15</v>
      </c>
      <c r="AH59" s="15" t="n">
        <v>8</v>
      </c>
      <c r="AI59" s="15" t="n">
        <v>9</v>
      </c>
      <c r="AJ59" s="15" t="n">
        <v>24</v>
      </c>
      <c r="AK59" s="15" t="n">
        <v>25</v>
      </c>
      <c r="AL59" s="15" t="n">
        <v>2</v>
      </c>
      <c r="AM59" s="15" t="n">
        <v>2</v>
      </c>
      <c r="AN59" s="15" t="n">
        <v>0</v>
      </c>
      <c r="AO59" s="15" t="n">
        <v>0</v>
      </c>
      <c r="AP59" s="15" t="s">
        <v>63</v>
      </c>
      <c r="AQ59" s="15" t="s">
        <v>63</v>
      </c>
      <c r="AR59" s="14"/>
      <c r="AS59" s="9" t="s">
        <v>303</v>
      </c>
      <c r="AT59" s="9" t="s">
        <v>304</v>
      </c>
      <c r="AU59" s="15" t="s">
        <v>507</v>
      </c>
      <c r="AV59" s="15" t="n">
        <v>384514</v>
      </c>
      <c r="AW59" s="15" t="n">
        <v>9.91002641539702E+017</v>
      </c>
      <c r="AX59" s="15" t="n">
        <v>9.91002641539702E+017</v>
      </c>
      <c r="AY59" s="15" t="n">
        <v>2256474190002650</v>
      </c>
      <c r="AZ59" s="15" t="s">
        <v>77</v>
      </c>
      <c r="BA59" s="14"/>
      <c r="BB59" s="19"/>
      <c r="BC59" s="17" t="n">
        <v>32285000468842</v>
      </c>
      <c r="BD59" s="15" t="n">
        <v>893409362</v>
      </c>
      <c r="BE59" s="6" t="s">
        <v>306</v>
      </c>
    </row>
    <row r="60" customFormat="false" ht="48" hidden="false" customHeight="false" outlineLevel="0" collapsed="false">
      <c r="A60" s="4" t="s">
        <v>57</v>
      </c>
      <c r="B60" s="5" t="s">
        <v>508</v>
      </c>
      <c r="C60" s="5" t="s">
        <v>509</v>
      </c>
      <c r="D60" s="5" t="s">
        <v>510</v>
      </c>
      <c r="E60" s="14"/>
      <c r="F60" s="15" t="s">
        <v>63</v>
      </c>
      <c r="G60" s="15" t="n">
        <v>1</v>
      </c>
      <c r="H60" s="15" t="s">
        <v>63</v>
      </c>
      <c r="I60" s="15" t="s">
        <v>63</v>
      </c>
      <c r="J60" s="15" t="n">
        <v>0</v>
      </c>
      <c r="K60" s="5" t="s">
        <v>391</v>
      </c>
      <c r="L60" s="5" t="s">
        <v>511</v>
      </c>
      <c r="M60" s="15" t="n">
        <v>1966</v>
      </c>
      <c r="N60" s="14"/>
      <c r="O60" s="15" t="s">
        <v>67</v>
      </c>
      <c r="P60" s="15" t="s">
        <v>500</v>
      </c>
      <c r="Q60" s="5" t="s">
        <v>512</v>
      </c>
      <c r="R60" s="15" t="s">
        <v>302</v>
      </c>
      <c r="S60" s="15" t="n">
        <v>1</v>
      </c>
      <c r="T60" s="15" t="n">
        <v>1</v>
      </c>
      <c r="U60" s="16" t="n">
        <v>37803</v>
      </c>
      <c r="V60" s="16" t="n">
        <v>37803</v>
      </c>
      <c r="W60" s="16" t="n">
        <v>33296</v>
      </c>
      <c r="X60" s="16" t="n">
        <v>33296</v>
      </c>
      <c r="Y60" s="15" t="n">
        <v>593</v>
      </c>
      <c r="Z60" s="15" t="n">
        <v>529</v>
      </c>
      <c r="AA60" s="15" t="n">
        <v>531</v>
      </c>
      <c r="AB60" s="15" t="n">
        <v>5</v>
      </c>
      <c r="AC60" s="15" t="n">
        <v>5</v>
      </c>
      <c r="AD60" s="15" t="n">
        <v>35</v>
      </c>
      <c r="AE60" s="15" t="n">
        <v>35</v>
      </c>
      <c r="AF60" s="15" t="n">
        <v>14</v>
      </c>
      <c r="AG60" s="15" t="n">
        <v>14</v>
      </c>
      <c r="AH60" s="15" t="n">
        <v>6</v>
      </c>
      <c r="AI60" s="15" t="n">
        <v>6</v>
      </c>
      <c r="AJ60" s="15" t="n">
        <v>23</v>
      </c>
      <c r="AK60" s="15" t="n">
        <v>23</v>
      </c>
      <c r="AL60" s="15" t="n">
        <v>3</v>
      </c>
      <c r="AM60" s="15" t="n">
        <v>3</v>
      </c>
      <c r="AN60" s="15" t="n">
        <v>0</v>
      </c>
      <c r="AO60" s="15" t="n">
        <v>0</v>
      </c>
      <c r="AP60" s="15" t="s">
        <v>63</v>
      </c>
      <c r="AQ60" s="15" t="s">
        <v>57</v>
      </c>
      <c r="AR60" s="9" t="s">
        <v>312</v>
      </c>
      <c r="AS60" s="9" t="s">
        <v>303</v>
      </c>
      <c r="AT60" s="9" t="s">
        <v>304</v>
      </c>
      <c r="AU60" s="15" t="s">
        <v>513</v>
      </c>
      <c r="AV60" s="15" t="n">
        <v>386375</v>
      </c>
      <c r="AW60" s="15" t="n">
        <v>9.91003400089702E+017</v>
      </c>
      <c r="AX60" s="15" t="n">
        <v>9.91003400089702E+017</v>
      </c>
      <c r="AY60" s="15" t="n">
        <v>2261612640002650</v>
      </c>
      <c r="AZ60" s="15" t="s">
        <v>77</v>
      </c>
      <c r="BA60" s="14"/>
      <c r="BB60" s="19"/>
      <c r="BC60" s="17" t="n">
        <v>32285000468859</v>
      </c>
      <c r="BD60" s="15" t="n">
        <v>893617311</v>
      </c>
      <c r="BE60" s="6" t="s">
        <v>306</v>
      </c>
    </row>
    <row r="61" customFormat="false" ht="36.5" hidden="false" customHeight="false" outlineLevel="0" collapsed="false">
      <c r="A61" s="4" t="s">
        <v>57</v>
      </c>
      <c r="B61" s="5" t="s">
        <v>514</v>
      </c>
      <c r="C61" s="5" t="s">
        <v>515</v>
      </c>
      <c r="D61" s="5" t="s">
        <v>516</v>
      </c>
      <c r="E61" s="15" t="s">
        <v>517</v>
      </c>
      <c r="F61" s="15" t="s">
        <v>63</v>
      </c>
      <c r="G61" s="15" t="n">
        <v>1</v>
      </c>
      <c r="H61" s="15" t="s">
        <v>63</v>
      </c>
      <c r="I61" s="15" t="s">
        <v>63</v>
      </c>
      <c r="J61" s="15" t="n">
        <v>0</v>
      </c>
      <c r="K61" s="5" t="s">
        <v>518</v>
      </c>
      <c r="L61" s="5" t="s">
        <v>519</v>
      </c>
      <c r="M61" s="15" t="n">
        <v>1982</v>
      </c>
      <c r="N61" s="14"/>
      <c r="O61" s="15" t="s">
        <v>67</v>
      </c>
      <c r="P61" s="15" t="s">
        <v>401</v>
      </c>
      <c r="Q61" s="5" t="s">
        <v>520</v>
      </c>
      <c r="R61" s="15" t="s">
        <v>302</v>
      </c>
      <c r="S61" s="15" t="n">
        <v>2</v>
      </c>
      <c r="T61" s="15" t="n">
        <v>2</v>
      </c>
      <c r="U61" s="16" t="n">
        <v>37803</v>
      </c>
      <c r="V61" s="16" t="n">
        <v>37803</v>
      </c>
      <c r="W61" s="16" t="n">
        <v>36692</v>
      </c>
      <c r="X61" s="16" t="n">
        <v>36692</v>
      </c>
      <c r="Y61" s="15" t="n">
        <v>99</v>
      </c>
      <c r="Z61" s="15" t="n">
        <v>87</v>
      </c>
      <c r="AA61" s="15" t="n">
        <v>88</v>
      </c>
      <c r="AB61" s="15" t="n">
        <v>2</v>
      </c>
      <c r="AC61" s="15" t="n">
        <v>2</v>
      </c>
      <c r="AD61" s="15" t="n">
        <v>6</v>
      </c>
      <c r="AE61" s="15" t="n">
        <v>6</v>
      </c>
      <c r="AF61" s="15" t="n">
        <v>5</v>
      </c>
      <c r="AG61" s="15" t="n">
        <v>5</v>
      </c>
      <c r="AH61" s="15" t="n">
        <v>0</v>
      </c>
      <c r="AI61" s="15" t="n">
        <v>0</v>
      </c>
      <c r="AJ61" s="15" t="n">
        <v>1</v>
      </c>
      <c r="AK61" s="15" t="n">
        <v>1</v>
      </c>
      <c r="AL61" s="15" t="n">
        <v>1</v>
      </c>
      <c r="AM61" s="15" t="n">
        <v>1</v>
      </c>
      <c r="AN61" s="15" t="n">
        <v>0</v>
      </c>
      <c r="AO61" s="15" t="n">
        <v>0</v>
      </c>
      <c r="AP61" s="15" t="s">
        <v>63</v>
      </c>
      <c r="AQ61" s="15" t="s">
        <v>63</v>
      </c>
      <c r="AR61" s="14"/>
      <c r="AS61" s="9" t="s">
        <v>303</v>
      </c>
      <c r="AT61" s="9" t="s">
        <v>304</v>
      </c>
      <c r="AU61" s="15" t="s">
        <v>521</v>
      </c>
      <c r="AV61" s="15" t="n">
        <v>8926598</v>
      </c>
      <c r="AW61" s="15" t="n">
        <v>9.91003161699702E+017</v>
      </c>
      <c r="AX61" s="15" t="n">
        <v>9.91003161699702E+017</v>
      </c>
      <c r="AY61" s="15" t="n">
        <v>2260680590002650</v>
      </c>
      <c r="AZ61" s="15" t="s">
        <v>77</v>
      </c>
      <c r="BA61" s="14"/>
      <c r="BB61" s="19"/>
      <c r="BC61" s="17" t="n">
        <v>32285000468982</v>
      </c>
      <c r="BD61" s="15" t="n">
        <v>893623214</v>
      </c>
      <c r="BE61" s="6" t="s">
        <v>306</v>
      </c>
    </row>
    <row r="62" customFormat="false" ht="48" hidden="false" customHeight="false" outlineLevel="0" collapsed="false">
      <c r="A62" s="4" t="s">
        <v>57</v>
      </c>
      <c r="B62" s="5" t="s">
        <v>522</v>
      </c>
      <c r="C62" s="5" t="s">
        <v>523</v>
      </c>
      <c r="D62" s="5" t="s">
        <v>524</v>
      </c>
      <c r="E62" s="14"/>
      <c r="F62" s="15" t="s">
        <v>63</v>
      </c>
      <c r="G62" s="15" t="n">
        <v>1</v>
      </c>
      <c r="H62" s="15" t="s">
        <v>63</v>
      </c>
      <c r="I62" s="15" t="s">
        <v>63</v>
      </c>
      <c r="J62" s="15" t="n">
        <v>0</v>
      </c>
      <c r="K62" s="5" t="s">
        <v>525</v>
      </c>
      <c r="L62" s="5" t="s">
        <v>526</v>
      </c>
      <c r="M62" s="15" t="n">
        <v>1968</v>
      </c>
      <c r="N62" s="14"/>
      <c r="O62" s="15" t="s">
        <v>67</v>
      </c>
      <c r="P62" s="15" t="s">
        <v>401</v>
      </c>
      <c r="Q62" s="14"/>
      <c r="R62" s="15" t="s">
        <v>302</v>
      </c>
      <c r="S62" s="15" t="n">
        <v>5</v>
      </c>
      <c r="T62" s="15" t="n">
        <v>5</v>
      </c>
      <c r="U62" s="16" t="n">
        <v>40114</v>
      </c>
      <c r="V62" s="16" t="n">
        <v>40114</v>
      </c>
      <c r="W62" s="16" t="n">
        <v>33302</v>
      </c>
      <c r="X62" s="16" t="n">
        <v>33302</v>
      </c>
      <c r="Y62" s="15" t="n">
        <v>581</v>
      </c>
      <c r="Z62" s="15" t="n">
        <v>514</v>
      </c>
      <c r="AA62" s="15" t="n">
        <v>643</v>
      </c>
      <c r="AB62" s="15" t="n">
        <v>4</v>
      </c>
      <c r="AC62" s="15" t="n">
        <v>5</v>
      </c>
      <c r="AD62" s="15" t="n">
        <v>30</v>
      </c>
      <c r="AE62" s="15" t="n">
        <v>36</v>
      </c>
      <c r="AF62" s="15" t="n">
        <v>12</v>
      </c>
      <c r="AG62" s="15" t="n">
        <v>15</v>
      </c>
      <c r="AH62" s="15" t="n">
        <v>7</v>
      </c>
      <c r="AI62" s="15" t="n">
        <v>7</v>
      </c>
      <c r="AJ62" s="15" t="n">
        <v>17</v>
      </c>
      <c r="AK62" s="15" t="n">
        <v>21</v>
      </c>
      <c r="AL62" s="15" t="n">
        <v>3</v>
      </c>
      <c r="AM62" s="15" t="n">
        <v>4</v>
      </c>
      <c r="AN62" s="15" t="n">
        <v>0</v>
      </c>
      <c r="AO62" s="15" t="n">
        <v>0</v>
      </c>
      <c r="AP62" s="15" t="s">
        <v>63</v>
      </c>
      <c r="AQ62" s="15" t="s">
        <v>63</v>
      </c>
      <c r="AR62" s="14"/>
      <c r="AS62" s="9" t="s">
        <v>303</v>
      </c>
      <c r="AT62" s="9" t="s">
        <v>304</v>
      </c>
      <c r="AU62" s="15" t="s">
        <v>527</v>
      </c>
      <c r="AV62" s="15" t="n">
        <v>439161</v>
      </c>
      <c r="AW62" s="15" t="n">
        <v>9.91002777349702E+017</v>
      </c>
      <c r="AX62" s="15" t="n">
        <v>9.91002777349702E+017</v>
      </c>
      <c r="AY62" s="15" t="n">
        <v>2267798280002650</v>
      </c>
      <c r="AZ62" s="15" t="s">
        <v>77</v>
      </c>
      <c r="BA62" s="14"/>
      <c r="BB62" s="19"/>
      <c r="BC62" s="17" t="n">
        <v>32285000469030</v>
      </c>
      <c r="BD62" s="15" t="n">
        <v>893792906</v>
      </c>
      <c r="BE62" s="6" t="s">
        <v>306</v>
      </c>
    </row>
    <row r="63" customFormat="false" ht="48" hidden="false" customHeight="false" outlineLevel="0" collapsed="false">
      <c r="A63" s="4" t="s">
        <v>57</v>
      </c>
      <c r="B63" s="5" t="s">
        <v>528</v>
      </c>
      <c r="C63" s="5" t="s">
        <v>529</v>
      </c>
      <c r="D63" s="5" t="s">
        <v>530</v>
      </c>
      <c r="E63" s="14"/>
      <c r="F63" s="15" t="s">
        <v>63</v>
      </c>
      <c r="G63" s="15" t="n">
        <v>1</v>
      </c>
      <c r="H63" s="15" t="s">
        <v>63</v>
      </c>
      <c r="I63" s="15" t="s">
        <v>63</v>
      </c>
      <c r="J63" s="15" t="n">
        <v>0</v>
      </c>
      <c r="K63" s="5" t="s">
        <v>531</v>
      </c>
      <c r="L63" s="5" t="s">
        <v>532</v>
      </c>
      <c r="M63" s="15" t="n">
        <v>1984</v>
      </c>
      <c r="N63" s="14"/>
      <c r="O63" s="15" t="s">
        <v>67</v>
      </c>
      <c r="P63" s="15" t="s">
        <v>533</v>
      </c>
      <c r="Q63" s="5" t="s">
        <v>534</v>
      </c>
      <c r="R63" s="15" t="s">
        <v>302</v>
      </c>
      <c r="S63" s="15" t="n">
        <v>5</v>
      </c>
      <c r="T63" s="15" t="n">
        <v>5</v>
      </c>
      <c r="U63" s="16" t="n">
        <v>38691</v>
      </c>
      <c r="V63" s="16" t="n">
        <v>38691</v>
      </c>
      <c r="W63" s="16" t="n">
        <v>33302</v>
      </c>
      <c r="X63" s="16" t="n">
        <v>33302</v>
      </c>
      <c r="Y63" s="15" t="n">
        <v>368</v>
      </c>
      <c r="Z63" s="15" t="n">
        <v>298</v>
      </c>
      <c r="AA63" s="15" t="n">
        <v>304</v>
      </c>
      <c r="AB63" s="15" t="n">
        <v>1</v>
      </c>
      <c r="AC63" s="15" t="n">
        <v>1</v>
      </c>
      <c r="AD63" s="15" t="n">
        <v>26</v>
      </c>
      <c r="AE63" s="15" t="n">
        <v>26</v>
      </c>
      <c r="AF63" s="15" t="n">
        <v>12</v>
      </c>
      <c r="AG63" s="15" t="n">
        <v>12</v>
      </c>
      <c r="AH63" s="15" t="n">
        <v>6</v>
      </c>
      <c r="AI63" s="15" t="n">
        <v>6</v>
      </c>
      <c r="AJ63" s="15" t="n">
        <v>17</v>
      </c>
      <c r="AK63" s="15" t="n">
        <v>17</v>
      </c>
      <c r="AL63" s="15" t="n">
        <v>0</v>
      </c>
      <c r="AM63" s="15" t="n">
        <v>0</v>
      </c>
      <c r="AN63" s="15" t="n">
        <v>0</v>
      </c>
      <c r="AO63" s="15" t="n">
        <v>0</v>
      </c>
      <c r="AP63" s="15" t="s">
        <v>63</v>
      </c>
      <c r="AQ63" s="15" t="s">
        <v>57</v>
      </c>
      <c r="AR63" s="9" t="s">
        <v>312</v>
      </c>
      <c r="AS63" s="9" t="s">
        <v>303</v>
      </c>
      <c r="AT63" s="9" t="s">
        <v>304</v>
      </c>
      <c r="AU63" s="15" t="s">
        <v>535</v>
      </c>
      <c r="AV63" s="15" t="n">
        <v>10502550</v>
      </c>
      <c r="AW63" s="15" t="n">
        <v>9.91000381709702E+017</v>
      </c>
      <c r="AX63" s="15" t="n">
        <v>9.91000381709702E+017</v>
      </c>
      <c r="AY63" s="15" t="n">
        <v>2257294080002650</v>
      </c>
      <c r="AZ63" s="15" t="s">
        <v>77</v>
      </c>
      <c r="BA63" s="14"/>
      <c r="BB63" s="17" t="n">
        <v>9780894533747</v>
      </c>
      <c r="BC63" s="17" t="n">
        <v>32285000469246</v>
      </c>
      <c r="BD63" s="15" t="n">
        <v>893790453</v>
      </c>
      <c r="BE63" s="6" t="s">
        <v>306</v>
      </c>
    </row>
    <row r="64" customFormat="false" ht="48" hidden="false" customHeight="false" outlineLevel="0" collapsed="false">
      <c r="A64" s="4" t="s">
        <v>57</v>
      </c>
      <c r="B64" s="5" t="s">
        <v>536</v>
      </c>
      <c r="C64" s="5" t="s">
        <v>537</v>
      </c>
      <c r="D64" s="5" t="s">
        <v>538</v>
      </c>
      <c r="E64" s="14"/>
      <c r="F64" s="15" t="s">
        <v>63</v>
      </c>
      <c r="G64" s="15" t="n">
        <v>1</v>
      </c>
      <c r="H64" s="15" t="s">
        <v>63</v>
      </c>
      <c r="I64" s="15" t="s">
        <v>63</v>
      </c>
      <c r="J64" s="15" t="n">
        <v>0</v>
      </c>
      <c r="K64" s="5" t="s">
        <v>539</v>
      </c>
      <c r="L64" s="5" t="s">
        <v>540</v>
      </c>
      <c r="M64" s="15" t="n">
        <v>1997</v>
      </c>
      <c r="N64" s="14"/>
      <c r="O64" s="15" t="s">
        <v>67</v>
      </c>
      <c r="P64" s="15" t="s">
        <v>318</v>
      </c>
      <c r="Q64" s="5" t="s">
        <v>541</v>
      </c>
      <c r="R64" s="15" t="s">
        <v>302</v>
      </c>
      <c r="S64" s="15" t="n">
        <v>8</v>
      </c>
      <c r="T64" s="15" t="n">
        <v>8</v>
      </c>
      <c r="U64" s="16" t="n">
        <v>40266</v>
      </c>
      <c r="V64" s="16" t="n">
        <v>40266</v>
      </c>
      <c r="W64" s="16" t="n">
        <v>36031</v>
      </c>
      <c r="X64" s="16" t="n">
        <v>36031</v>
      </c>
      <c r="Y64" s="15" t="n">
        <v>496</v>
      </c>
      <c r="Z64" s="15" t="n">
        <v>407</v>
      </c>
      <c r="AA64" s="15" t="n">
        <v>407</v>
      </c>
      <c r="AB64" s="15" t="n">
        <v>3</v>
      </c>
      <c r="AC64" s="15" t="n">
        <v>3</v>
      </c>
      <c r="AD64" s="15" t="n">
        <v>32</v>
      </c>
      <c r="AE64" s="15" t="n">
        <v>32</v>
      </c>
      <c r="AF64" s="15" t="n">
        <v>14</v>
      </c>
      <c r="AG64" s="15" t="n">
        <v>14</v>
      </c>
      <c r="AH64" s="15" t="n">
        <v>6</v>
      </c>
      <c r="AI64" s="15" t="n">
        <v>6</v>
      </c>
      <c r="AJ64" s="15" t="n">
        <v>18</v>
      </c>
      <c r="AK64" s="15" t="n">
        <v>18</v>
      </c>
      <c r="AL64" s="15" t="n">
        <v>2</v>
      </c>
      <c r="AM64" s="15" t="n">
        <v>2</v>
      </c>
      <c r="AN64" s="15" t="n">
        <v>0</v>
      </c>
      <c r="AO64" s="15" t="n">
        <v>0</v>
      </c>
      <c r="AP64" s="15" t="s">
        <v>63</v>
      </c>
      <c r="AQ64" s="15" t="s">
        <v>63</v>
      </c>
      <c r="AR64" s="14"/>
      <c r="AS64" s="9" t="s">
        <v>303</v>
      </c>
      <c r="AT64" s="9" t="s">
        <v>304</v>
      </c>
      <c r="AU64" s="15" t="s">
        <v>542</v>
      </c>
      <c r="AV64" s="15" t="n">
        <v>36407776</v>
      </c>
      <c r="AW64" s="15" t="n">
        <v>9.91002772379702E+017</v>
      </c>
      <c r="AX64" s="15" t="n">
        <v>9.91002772379702E+017</v>
      </c>
      <c r="AY64" s="15" t="n">
        <v>2257390210002650</v>
      </c>
      <c r="AZ64" s="15" t="s">
        <v>77</v>
      </c>
      <c r="BA64" s="14"/>
      <c r="BB64" s="17" t="n">
        <v>9780802842367</v>
      </c>
      <c r="BC64" s="17" t="n">
        <v>32285003461042</v>
      </c>
      <c r="BD64" s="15" t="n">
        <v>893886700</v>
      </c>
      <c r="BE64" s="6" t="s">
        <v>306</v>
      </c>
    </row>
    <row r="65" customFormat="false" ht="36.5" hidden="false" customHeight="false" outlineLevel="0" collapsed="false">
      <c r="A65" s="4" t="s">
        <v>57</v>
      </c>
      <c r="B65" s="5" t="s">
        <v>543</v>
      </c>
      <c r="C65" s="5" t="s">
        <v>544</v>
      </c>
      <c r="D65" s="5" t="s">
        <v>545</v>
      </c>
      <c r="E65" s="14"/>
      <c r="F65" s="15" t="s">
        <v>63</v>
      </c>
      <c r="G65" s="15" t="n">
        <v>1</v>
      </c>
      <c r="H65" s="15" t="s">
        <v>63</v>
      </c>
      <c r="I65" s="15" t="s">
        <v>63</v>
      </c>
      <c r="J65" s="15" t="n">
        <v>0</v>
      </c>
      <c r="K65" s="5" t="s">
        <v>546</v>
      </c>
      <c r="L65" s="5" t="s">
        <v>547</v>
      </c>
      <c r="M65" s="15" t="n">
        <v>1962</v>
      </c>
      <c r="N65" s="14"/>
      <c r="O65" s="15" t="s">
        <v>67</v>
      </c>
      <c r="P65" s="15" t="s">
        <v>384</v>
      </c>
      <c r="Q65" s="14"/>
      <c r="R65" s="15" t="s">
        <v>302</v>
      </c>
      <c r="S65" s="15" t="n">
        <v>2</v>
      </c>
      <c r="T65" s="15" t="n">
        <v>2</v>
      </c>
      <c r="U65" s="16" t="n">
        <v>36040</v>
      </c>
      <c r="V65" s="16" t="n">
        <v>36040</v>
      </c>
      <c r="W65" s="16" t="n">
        <v>33308</v>
      </c>
      <c r="X65" s="16" t="n">
        <v>33308</v>
      </c>
      <c r="Y65" s="15" t="n">
        <v>248</v>
      </c>
      <c r="Z65" s="15" t="n">
        <v>175</v>
      </c>
      <c r="AA65" s="15" t="n">
        <v>177</v>
      </c>
      <c r="AB65" s="15" t="n">
        <v>3</v>
      </c>
      <c r="AC65" s="15" t="n">
        <v>3</v>
      </c>
      <c r="AD65" s="15" t="n">
        <v>14</v>
      </c>
      <c r="AE65" s="15" t="n">
        <v>14</v>
      </c>
      <c r="AF65" s="15" t="n">
        <v>6</v>
      </c>
      <c r="AG65" s="15" t="n">
        <v>6</v>
      </c>
      <c r="AH65" s="15" t="n">
        <v>3</v>
      </c>
      <c r="AI65" s="15" t="n">
        <v>3</v>
      </c>
      <c r="AJ65" s="15" t="n">
        <v>5</v>
      </c>
      <c r="AK65" s="15" t="n">
        <v>5</v>
      </c>
      <c r="AL65" s="15" t="n">
        <v>2</v>
      </c>
      <c r="AM65" s="15" t="n">
        <v>2</v>
      </c>
      <c r="AN65" s="15" t="n">
        <v>0</v>
      </c>
      <c r="AO65" s="15" t="n">
        <v>0</v>
      </c>
      <c r="AP65" s="15" t="s">
        <v>63</v>
      </c>
      <c r="AQ65" s="15" t="s">
        <v>63</v>
      </c>
      <c r="AR65" s="14"/>
      <c r="AS65" s="9" t="s">
        <v>303</v>
      </c>
      <c r="AT65" s="9" t="s">
        <v>304</v>
      </c>
      <c r="AU65" s="15" t="s">
        <v>548</v>
      </c>
      <c r="AV65" s="15" t="n">
        <v>465512</v>
      </c>
      <c r="AW65" s="15" t="n">
        <v>9.91002818889702E+017</v>
      </c>
      <c r="AX65" s="15" t="n">
        <v>9.91002818889702E+017</v>
      </c>
      <c r="AY65" s="15" t="n">
        <v>2259945730002650</v>
      </c>
      <c r="AZ65" s="15" t="s">
        <v>77</v>
      </c>
      <c r="BA65" s="14"/>
      <c r="BB65" s="19"/>
      <c r="BC65" s="17" t="n">
        <v>32285000469923</v>
      </c>
      <c r="BD65" s="15" t="n">
        <v>893428084</v>
      </c>
      <c r="BE65" s="6" t="s">
        <v>306</v>
      </c>
    </row>
    <row r="66" customFormat="false" ht="71" hidden="false" customHeight="false" outlineLevel="0" collapsed="false">
      <c r="A66" s="4" t="s">
        <v>57</v>
      </c>
      <c r="B66" s="5" t="s">
        <v>549</v>
      </c>
      <c r="C66" s="5" t="s">
        <v>550</v>
      </c>
      <c r="D66" s="5" t="s">
        <v>551</v>
      </c>
      <c r="E66" s="14"/>
      <c r="F66" s="15" t="s">
        <v>63</v>
      </c>
      <c r="G66" s="15" t="n">
        <v>1</v>
      </c>
      <c r="H66" s="15" t="s">
        <v>63</v>
      </c>
      <c r="I66" s="15" t="s">
        <v>63</v>
      </c>
      <c r="J66" s="15" t="n">
        <v>0</v>
      </c>
      <c r="K66" s="5" t="s">
        <v>552</v>
      </c>
      <c r="L66" s="5" t="s">
        <v>553</v>
      </c>
      <c r="M66" s="15" t="n">
        <v>1986</v>
      </c>
      <c r="N66" s="14"/>
      <c r="O66" s="15" t="s">
        <v>67</v>
      </c>
      <c r="P66" s="15" t="s">
        <v>384</v>
      </c>
      <c r="Q66" s="5" t="s">
        <v>554</v>
      </c>
      <c r="R66" s="15" t="s">
        <v>302</v>
      </c>
      <c r="S66" s="15" t="n">
        <v>3</v>
      </c>
      <c r="T66" s="15" t="n">
        <v>3</v>
      </c>
      <c r="U66" s="16" t="n">
        <v>35366</v>
      </c>
      <c r="V66" s="16" t="n">
        <v>35366</v>
      </c>
      <c r="W66" s="16" t="n">
        <v>32996</v>
      </c>
      <c r="X66" s="16" t="n">
        <v>32996</v>
      </c>
      <c r="Y66" s="15" t="n">
        <v>615</v>
      </c>
      <c r="Z66" s="15" t="n">
        <v>459</v>
      </c>
      <c r="AA66" s="15" t="n">
        <v>498</v>
      </c>
      <c r="AB66" s="15" t="n">
        <v>2</v>
      </c>
      <c r="AC66" s="15" t="n">
        <v>2</v>
      </c>
      <c r="AD66" s="15" t="n">
        <v>28</v>
      </c>
      <c r="AE66" s="15" t="n">
        <v>29</v>
      </c>
      <c r="AF66" s="15" t="n">
        <v>11</v>
      </c>
      <c r="AG66" s="15" t="n">
        <v>12</v>
      </c>
      <c r="AH66" s="15" t="n">
        <v>7</v>
      </c>
      <c r="AI66" s="15" t="n">
        <v>7</v>
      </c>
      <c r="AJ66" s="15" t="n">
        <v>16</v>
      </c>
      <c r="AK66" s="15" t="n">
        <v>16</v>
      </c>
      <c r="AL66" s="15" t="n">
        <v>1</v>
      </c>
      <c r="AM66" s="15" t="n">
        <v>1</v>
      </c>
      <c r="AN66" s="15" t="n">
        <v>0</v>
      </c>
      <c r="AO66" s="15" t="n">
        <v>0</v>
      </c>
      <c r="AP66" s="15" t="s">
        <v>63</v>
      </c>
      <c r="AQ66" s="15" t="s">
        <v>57</v>
      </c>
      <c r="AR66" s="9" t="s">
        <v>312</v>
      </c>
      <c r="AS66" s="9" t="s">
        <v>303</v>
      </c>
      <c r="AT66" s="9" t="s">
        <v>304</v>
      </c>
      <c r="AU66" s="15" t="s">
        <v>555</v>
      </c>
      <c r="AV66" s="15" t="n">
        <v>13332626</v>
      </c>
      <c r="AW66" s="15" t="n">
        <v>9.91000811859702E+017</v>
      </c>
      <c r="AX66" s="15" t="n">
        <v>9.91000811859702E+017</v>
      </c>
      <c r="AY66" s="15" t="n">
        <v>2263140800002650</v>
      </c>
      <c r="AZ66" s="15" t="s">
        <v>77</v>
      </c>
      <c r="BA66" s="14"/>
      <c r="BB66" s="17" t="n">
        <v>9780521325738</v>
      </c>
      <c r="BC66" s="17" t="n">
        <v>32285000148337</v>
      </c>
      <c r="BD66" s="15" t="n">
        <v>893231431</v>
      </c>
      <c r="BE66" s="6" t="s">
        <v>306</v>
      </c>
    </row>
    <row r="67" customFormat="false" ht="36.5" hidden="false" customHeight="false" outlineLevel="0" collapsed="false">
      <c r="A67" s="4" t="s">
        <v>57</v>
      </c>
      <c r="B67" s="5" t="s">
        <v>556</v>
      </c>
      <c r="C67" s="5" t="s">
        <v>557</v>
      </c>
      <c r="D67" s="5" t="s">
        <v>558</v>
      </c>
      <c r="E67" s="14"/>
      <c r="F67" s="15" t="s">
        <v>63</v>
      </c>
      <c r="G67" s="15" t="n">
        <v>1</v>
      </c>
      <c r="H67" s="15" t="s">
        <v>63</v>
      </c>
      <c r="I67" s="15" t="s">
        <v>63</v>
      </c>
      <c r="J67" s="15" t="n">
        <v>0</v>
      </c>
      <c r="K67" s="5" t="s">
        <v>559</v>
      </c>
      <c r="L67" s="5" t="s">
        <v>560</v>
      </c>
      <c r="M67" s="15" t="n">
        <v>1981</v>
      </c>
      <c r="N67" s="5" t="s">
        <v>561</v>
      </c>
      <c r="O67" s="15" t="s">
        <v>67</v>
      </c>
      <c r="P67" s="15" t="s">
        <v>401</v>
      </c>
      <c r="Q67" s="14"/>
      <c r="R67" s="15" t="s">
        <v>302</v>
      </c>
      <c r="S67" s="15" t="n">
        <v>9</v>
      </c>
      <c r="T67" s="15" t="n">
        <v>9</v>
      </c>
      <c r="U67" s="16" t="n">
        <v>39738</v>
      </c>
      <c r="V67" s="16" t="n">
        <v>39738</v>
      </c>
      <c r="W67" s="16" t="n">
        <v>33316</v>
      </c>
      <c r="X67" s="16" t="n">
        <v>33316</v>
      </c>
      <c r="Y67" s="15" t="n">
        <v>487</v>
      </c>
      <c r="Z67" s="15" t="n">
        <v>425</v>
      </c>
      <c r="AA67" s="15" t="n">
        <v>450</v>
      </c>
      <c r="AB67" s="15" t="n">
        <v>2</v>
      </c>
      <c r="AC67" s="15" t="n">
        <v>3</v>
      </c>
      <c r="AD67" s="15" t="n">
        <v>29</v>
      </c>
      <c r="AE67" s="15" t="n">
        <v>31</v>
      </c>
      <c r="AF67" s="15" t="n">
        <v>15</v>
      </c>
      <c r="AG67" s="15" t="n">
        <v>16</v>
      </c>
      <c r="AH67" s="15" t="n">
        <v>6</v>
      </c>
      <c r="AI67" s="15" t="n">
        <v>7</v>
      </c>
      <c r="AJ67" s="15" t="n">
        <v>17</v>
      </c>
      <c r="AK67" s="15" t="n">
        <v>17</v>
      </c>
      <c r="AL67" s="15" t="n">
        <v>0</v>
      </c>
      <c r="AM67" s="15" t="n">
        <v>1</v>
      </c>
      <c r="AN67" s="15" t="n">
        <v>0</v>
      </c>
      <c r="AO67" s="15" t="n">
        <v>0</v>
      </c>
      <c r="AP67" s="15" t="s">
        <v>63</v>
      </c>
      <c r="AQ67" s="15" t="s">
        <v>63</v>
      </c>
      <c r="AR67" s="14"/>
      <c r="AS67" s="9" t="s">
        <v>303</v>
      </c>
      <c r="AT67" s="9" t="s">
        <v>304</v>
      </c>
      <c r="AU67" s="15" t="s">
        <v>562</v>
      </c>
      <c r="AV67" s="15" t="n">
        <v>7272106</v>
      </c>
      <c r="AW67" s="15" t="n">
        <v>9.91005095009702E+017</v>
      </c>
      <c r="AX67" s="15" t="n">
        <v>9.91005095009702E+017</v>
      </c>
      <c r="AY67" s="15" t="n">
        <v>2261468310002650</v>
      </c>
      <c r="AZ67" s="15" t="s">
        <v>77</v>
      </c>
      <c r="BA67" s="14"/>
      <c r="BB67" s="17" t="n">
        <v>9780800614461</v>
      </c>
      <c r="BC67" s="17" t="n">
        <v>32285000555168</v>
      </c>
      <c r="BD67" s="15" t="n">
        <v>893350696</v>
      </c>
      <c r="BE67" s="6" t="s">
        <v>306</v>
      </c>
    </row>
    <row r="68" customFormat="false" ht="36.5" hidden="false" customHeight="false" outlineLevel="0" collapsed="false">
      <c r="A68" s="4" t="s">
        <v>57</v>
      </c>
      <c r="B68" s="5" t="s">
        <v>563</v>
      </c>
      <c r="C68" s="5" t="s">
        <v>564</v>
      </c>
      <c r="D68" s="5" t="s">
        <v>565</v>
      </c>
      <c r="E68" s="14"/>
      <c r="F68" s="15" t="s">
        <v>63</v>
      </c>
      <c r="G68" s="15" t="n">
        <v>1</v>
      </c>
      <c r="H68" s="15" t="s">
        <v>63</v>
      </c>
      <c r="I68" s="15" t="s">
        <v>63</v>
      </c>
      <c r="J68" s="15" t="n">
        <v>0</v>
      </c>
      <c r="K68" s="5" t="s">
        <v>566</v>
      </c>
      <c r="L68" s="5" t="s">
        <v>567</v>
      </c>
      <c r="M68" s="15" t="n">
        <v>1986</v>
      </c>
      <c r="N68" s="14"/>
      <c r="O68" s="15" t="s">
        <v>67</v>
      </c>
      <c r="P68" s="15" t="s">
        <v>401</v>
      </c>
      <c r="Q68" s="5" t="s">
        <v>568</v>
      </c>
      <c r="R68" s="15" t="s">
        <v>302</v>
      </c>
      <c r="S68" s="15" t="n">
        <v>8</v>
      </c>
      <c r="T68" s="15" t="n">
        <v>8</v>
      </c>
      <c r="U68" s="16" t="n">
        <v>39882</v>
      </c>
      <c r="V68" s="16" t="n">
        <v>39882</v>
      </c>
      <c r="W68" s="16" t="n">
        <v>33316</v>
      </c>
      <c r="X68" s="16" t="n">
        <v>33316</v>
      </c>
      <c r="Y68" s="15" t="n">
        <v>383</v>
      </c>
      <c r="Z68" s="15" t="n">
        <v>302</v>
      </c>
      <c r="AA68" s="15" t="n">
        <v>306</v>
      </c>
      <c r="AB68" s="15" t="n">
        <v>1</v>
      </c>
      <c r="AC68" s="15" t="n">
        <v>1</v>
      </c>
      <c r="AD68" s="15" t="n">
        <v>20</v>
      </c>
      <c r="AE68" s="15" t="n">
        <v>20</v>
      </c>
      <c r="AF68" s="15" t="n">
        <v>6</v>
      </c>
      <c r="AG68" s="15" t="n">
        <v>6</v>
      </c>
      <c r="AH68" s="15" t="n">
        <v>5</v>
      </c>
      <c r="AI68" s="15" t="n">
        <v>5</v>
      </c>
      <c r="AJ68" s="15" t="n">
        <v>14</v>
      </c>
      <c r="AK68" s="15" t="n">
        <v>14</v>
      </c>
      <c r="AL68" s="15" t="n">
        <v>0</v>
      </c>
      <c r="AM68" s="15" t="n">
        <v>0</v>
      </c>
      <c r="AN68" s="15" t="n">
        <v>0</v>
      </c>
      <c r="AO68" s="15" t="n">
        <v>0</v>
      </c>
      <c r="AP68" s="15" t="s">
        <v>63</v>
      </c>
      <c r="AQ68" s="15" t="s">
        <v>57</v>
      </c>
      <c r="AR68" s="9" t="s">
        <v>312</v>
      </c>
      <c r="AS68" s="9" t="s">
        <v>303</v>
      </c>
      <c r="AT68" s="9" t="s">
        <v>304</v>
      </c>
      <c r="AU68" s="15" t="s">
        <v>569</v>
      </c>
      <c r="AV68" s="15" t="n">
        <v>12666557</v>
      </c>
      <c r="AW68" s="15" t="n">
        <v>9.91000721569702E+017</v>
      </c>
      <c r="AX68" s="15" t="n">
        <v>9.91000721569702E+017</v>
      </c>
      <c r="AY68" s="15" t="n">
        <v>2265918170002650</v>
      </c>
      <c r="AZ68" s="15" t="s">
        <v>77</v>
      </c>
      <c r="BA68" s="14"/>
      <c r="BB68" s="17" t="n">
        <v>9780800615451</v>
      </c>
      <c r="BC68" s="17" t="n">
        <v>32285000555259</v>
      </c>
      <c r="BD68" s="15" t="n">
        <v>893534287</v>
      </c>
      <c r="BE68" s="6" t="s">
        <v>306</v>
      </c>
    </row>
    <row r="69" customFormat="false" ht="59.5" hidden="false" customHeight="false" outlineLevel="0" collapsed="false">
      <c r="A69" s="4" t="s">
        <v>57</v>
      </c>
      <c r="B69" s="5" t="s">
        <v>570</v>
      </c>
      <c r="C69" s="5" t="s">
        <v>571</v>
      </c>
      <c r="D69" s="5" t="s">
        <v>572</v>
      </c>
      <c r="E69" s="14"/>
      <c r="F69" s="15" t="s">
        <v>63</v>
      </c>
      <c r="G69" s="15" t="n">
        <v>1</v>
      </c>
      <c r="H69" s="15" t="s">
        <v>63</v>
      </c>
      <c r="I69" s="15" t="s">
        <v>63</v>
      </c>
      <c r="J69" s="15" t="n">
        <v>0</v>
      </c>
      <c r="K69" s="5" t="s">
        <v>573</v>
      </c>
      <c r="L69" s="5" t="s">
        <v>574</v>
      </c>
      <c r="M69" s="15" t="n">
        <v>1986</v>
      </c>
      <c r="N69" s="5" t="s">
        <v>327</v>
      </c>
      <c r="O69" s="15" t="s">
        <v>67</v>
      </c>
      <c r="P69" s="15" t="s">
        <v>272</v>
      </c>
      <c r="Q69" s="14"/>
      <c r="R69" s="15" t="s">
        <v>302</v>
      </c>
      <c r="S69" s="15" t="n">
        <v>2</v>
      </c>
      <c r="T69" s="15" t="n">
        <v>2</v>
      </c>
      <c r="U69" s="16" t="n">
        <v>35014</v>
      </c>
      <c r="V69" s="16" t="n">
        <v>35014</v>
      </c>
      <c r="W69" s="16" t="n">
        <v>33316</v>
      </c>
      <c r="X69" s="16" t="n">
        <v>33316</v>
      </c>
      <c r="Y69" s="15" t="n">
        <v>458</v>
      </c>
      <c r="Z69" s="15" t="n">
        <v>396</v>
      </c>
      <c r="AA69" s="15" t="n">
        <v>403</v>
      </c>
      <c r="AB69" s="15" t="n">
        <v>4</v>
      </c>
      <c r="AC69" s="15" t="n">
        <v>4</v>
      </c>
      <c r="AD69" s="15" t="n">
        <v>33</v>
      </c>
      <c r="AE69" s="15" t="n">
        <v>33</v>
      </c>
      <c r="AF69" s="15" t="n">
        <v>11</v>
      </c>
      <c r="AG69" s="15" t="n">
        <v>11</v>
      </c>
      <c r="AH69" s="15" t="n">
        <v>6</v>
      </c>
      <c r="AI69" s="15" t="n">
        <v>6</v>
      </c>
      <c r="AJ69" s="15" t="n">
        <v>23</v>
      </c>
      <c r="AK69" s="15" t="n">
        <v>23</v>
      </c>
      <c r="AL69" s="15" t="n">
        <v>2</v>
      </c>
      <c r="AM69" s="15" t="n">
        <v>2</v>
      </c>
      <c r="AN69" s="15" t="n">
        <v>0</v>
      </c>
      <c r="AO69" s="15" t="n">
        <v>0</v>
      </c>
      <c r="AP69" s="15" t="s">
        <v>63</v>
      </c>
      <c r="AQ69" s="15" t="s">
        <v>57</v>
      </c>
      <c r="AR69" s="9" t="s">
        <v>312</v>
      </c>
      <c r="AS69" s="9" t="s">
        <v>303</v>
      </c>
      <c r="AT69" s="9" t="s">
        <v>304</v>
      </c>
      <c r="AU69" s="15" t="s">
        <v>575</v>
      </c>
      <c r="AV69" s="15" t="n">
        <v>13670737</v>
      </c>
      <c r="AW69" s="15" t="n">
        <v>9.91000860049702E+017</v>
      </c>
      <c r="AX69" s="15" t="n">
        <v>9.91000860049702E+017</v>
      </c>
      <c r="AY69" s="15" t="n">
        <v>2254778000002650</v>
      </c>
      <c r="AZ69" s="15" t="s">
        <v>77</v>
      </c>
      <c r="BA69" s="14"/>
      <c r="BB69" s="17" t="n">
        <v>9780060601942</v>
      </c>
      <c r="BC69" s="17" t="n">
        <v>32285000555267</v>
      </c>
      <c r="BD69" s="15" t="n">
        <v>893708774</v>
      </c>
      <c r="BE69" s="6" t="s">
        <v>306</v>
      </c>
    </row>
    <row r="70" customFormat="false" ht="36.5" hidden="false" customHeight="false" outlineLevel="0" collapsed="false">
      <c r="A70" s="4" t="s">
        <v>57</v>
      </c>
      <c r="B70" s="5" t="s">
        <v>576</v>
      </c>
      <c r="C70" s="5" t="s">
        <v>577</v>
      </c>
      <c r="D70" s="5" t="s">
        <v>578</v>
      </c>
      <c r="E70" s="14"/>
      <c r="F70" s="15" t="s">
        <v>63</v>
      </c>
      <c r="G70" s="15" t="n">
        <v>1</v>
      </c>
      <c r="H70" s="15" t="s">
        <v>63</v>
      </c>
      <c r="I70" s="15" t="s">
        <v>63</v>
      </c>
      <c r="J70" s="15" t="n">
        <v>0</v>
      </c>
      <c r="K70" s="5" t="s">
        <v>579</v>
      </c>
      <c r="L70" s="5" t="s">
        <v>580</v>
      </c>
      <c r="M70" s="15" t="n">
        <v>1990</v>
      </c>
      <c r="N70" s="14"/>
      <c r="O70" s="15" t="s">
        <v>67</v>
      </c>
      <c r="P70" s="15" t="s">
        <v>300</v>
      </c>
      <c r="Q70" s="5" t="s">
        <v>581</v>
      </c>
      <c r="R70" s="15" t="s">
        <v>302</v>
      </c>
      <c r="S70" s="15" t="n">
        <v>7</v>
      </c>
      <c r="T70" s="15" t="n">
        <v>7</v>
      </c>
      <c r="U70" s="16" t="n">
        <v>38805</v>
      </c>
      <c r="V70" s="16" t="n">
        <v>38805</v>
      </c>
      <c r="W70" s="16" t="n">
        <v>33211</v>
      </c>
      <c r="X70" s="16" t="n">
        <v>33211</v>
      </c>
      <c r="Y70" s="15" t="n">
        <v>210</v>
      </c>
      <c r="Z70" s="15" t="n">
        <v>170</v>
      </c>
      <c r="AA70" s="15" t="n">
        <v>170</v>
      </c>
      <c r="AB70" s="15" t="n">
        <v>1</v>
      </c>
      <c r="AC70" s="15" t="n">
        <v>1</v>
      </c>
      <c r="AD70" s="15" t="n">
        <v>20</v>
      </c>
      <c r="AE70" s="15" t="n">
        <v>20</v>
      </c>
      <c r="AF70" s="15" t="n">
        <v>9</v>
      </c>
      <c r="AG70" s="15" t="n">
        <v>9</v>
      </c>
      <c r="AH70" s="15" t="n">
        <v>5</v>
      </c>
      <c r="AI70" s="15" t="n">
        <v>5</v>
      </c>
      <c r="AJ70" s="15" t="n">
        <v>13</v>
      </c>
      <c r="AK70" s="15" t="n">
        <v>13</v>
      </c>
      <c r="AL70" s="15" t="n">
        <v>0</v>
      </c>
      <c r="AM70" s="15" t="n">
        <v>0</v>
      </c>
      <c r="AN70" s="15" t="n">
        <v>0</v>
      </c>
      <c r="AO70" s="15" t="n">
        <v>0</v>
      </c>
      <c r="AP70" s="15" t="s">
        <v>63</v>
      </c>
      <c r="AQ70" s="15" t="s">
        <v>63</v>
      </c>
      <c r="AR70" s="14"/>
      <c r="AS70" s="9" t="s">
        <v>303</v>
      </c>
      <c r="AT70" s="9" t="s">
        <v>304</v>
      </c>
      <c r="AU70" s="15" t="s">
        <v>582</v>
      </c>
      <c r="AV70" s="15" t="n">
        <v>21333490</v>
      </c>
      <c r="AW70" s="15" t="n">
        <v>9.91001677309702E+017</v>
      </c>
      <c r="AX70" s="15" t="n">
        <v>9.91001677309702E+017</v>
      </c>
      <c r="AY70" s="15" t="n">
        <v>2262402070002650</v>
      </c>
      <c r="AZ70" s="15" t="s">
        <v>77</v>
      </c>
      <c r="BA70" s="14"/>
      <c r="BB70" s="17" t="n">
        <v>9780814657515</v>
      </c>
      <c r="BC70" s="17" t="n">
        <v>32285000357698</v>
      </c>
      <c r="BD70" s="15" t="n">
        <v>893315955</v>
      </c>
      <c r="BE70" s="6" t="s">
        <v>306</v>
      </c>
    </row>
    <row r="71" customFormat="false" ht="36.5" hidden="false" customHeight="false" outlineLevel="0" collapsed="false">
      <c r="A71" s="4" t="s">
        <v>57</v>
      </c>
      <c r="B71" s="5" t="s">
        <v>583</v>
      </c>
      <c r="C71" s="5" t="s">
        <v>584</v>
      </c>
      <c r="D71" s="5" t="s">
        <v>585</v>
      </c>
      <c r="E71" s="14"/>
      <c r="F71" s="15" t="s">
        <v>63</v>
      </c>
      <c r="G71" s="15" t="n">
        <v>1</v>
      </c>
      <c r="H71" s="15" t="s">
        <v>63</v>
      </c>
      <c r="I71" s="15" t="s">
        <v>63</v>
      </c>
      <c r="J71" s="15" t="n">
        <v>0</v>
      </c>
      <c r="K71" s="5" t="s">
        <v>586</v>
      </c>
      <c r="L71" s="5" t="s">
        <v>587</v>
      </c>
      <c r="M71" s="15" t="n">
        <v>1999</v>
      </c>
      <c r="N71" s="14"/>
      <c r="O71" s="15" t="s">
        <v>67</v>
      </c>
      <c r="P71" s="15" t="s">
        <v>300</v>
      </c>
      <c r="Q71" s="14"/>
      <c r="R71" s="15" t="s">
        <v>302</v>
      </c>
      <c r="S71" s="15" t="n">
        <v>1</v>
      </c>
      <c r="T71" s="15" t="n">
        <v>1</v>
      </c>
      <c r="U71" s="16" t="n">
        <v>39148</v>
      </c>
      <c r="V71" s="16" t="n">
        <v>39148</v>
      </c>
      <c r="W71" s="16" t="n">
        <v>36865</v>
      </c>
      <c r="X71" s="16" t="n">
        <v>36865</v>
      </c>
      <c r="Y71" s="15" t="n">
        <v>201</v>
      </c>
      <c r="Z71" s="15" t="n">
        <v>161</v>
      </c>
      <c r="AA71" s="15" t="n">
        <v>167</v>
      </c>
      <c r="AB71" s="15" t="n">
        <v>1</v>
      </c>
      <c r="AC71" s="15" t="n">
        <v>1</v>
      </c>
      <c r="AD71" s="15" t="n">
        <v>18</v>
      </c>
      <c r="AE71" s="15" t="n">
        <v>18</v>
      </c>
      <c r="AF71" s="15" t="n">
        <v>6</v>
      </c>
      <c r="AG71" s="15" t="n">
        <v>6</v>
      </c>
      <c r="AH71" s="15" t="n">
        <v>6</v>
      </c>
      <c r="AI71" s="15" t="n">
        <v>6</v>
      </c>
      <c r="AJ71" s="15" t="n">
        <v>9</v>
      </c>
      <c r="AK71" s="15" t="n">
        <v>9</v>
      </c>
      <c r="AL71" s="15" t="n">
        <v>0</v>
      </c>
      <c r="AM71" s="15" t="n">
        <v>0</v>
      </c>
      <c r="AN71" s="15" t="n">
        <v>0</v>
      </c>
      <c r="AO71" s="15" t="n">
        <v>0</v>
      </c>
      <c r="AP71" s="15" t="s">
        <v>63</v>
      </c>
      <c r="AQ71" s="15" t="s">
        <v>63</v>
      </c>
      <c r="AR71" s="14"/>
      <c r="AS71" s="9" t="s">
        <v>303</v>
      </c>
      <c r="AT71" s="9" t="s">
        <v>304</v>
      </c>
      <c r="AU71" s="15" t="s">
        <v>588</v>
      </c>
      <c r="AV71" s="15" t="n">
        <v>39498757</v>
      </c>
      <c r="AW71" s="15" t="n">
        <v>9.91003349759702E+017</v>
      </c>
      <c r="AX71" s="15" t="n">
        <v>9.91003349759702E+017</v>
      </c>
      <c r="AY71" s="15" t="n">
        <v>2261837650002650</v>
      </c>
      <c r="AZ71" s="15" t="s">
        <v>77</v>
      </c>
      <c r="BA71" s="14"/>
      <c r="BB71" s="17" t="n">
        <v>9780814658239</v>
      </c>
      <c r="BC71" s="17" t="n">
        <v>32285004269584</v>
      </c>
      <c r="BD71" s="15" t="n">
        <v>893617271</v>
      </c>
      <c r="BE71" s="6" t="s">
        <v>306</v>
      </c>
    </row>
    <row r="72" customFormat="false" ht="59.5" hidden="false" customHeight="false" outlineLevel="0" collapsed="false">
      <c r="A72" s="4" t="s">
        <v>57</v>
      </c>
      <c r="B72" s="5" t="s">
        <v>589</v>
      </c>
      <c r="C72" s="5" t="s">
        <v>590</v>
      </c>
      <c r="D72" s="5" t="s">
        <v>591</v>
      </c>
      <c r="E72" s="14"/>
      <c r="F72" s="15" t="s">
        <v>63</v>
      </c>
      <c r="G72" s="15" t="n">
        <v>1</v>
      </c>
      <c r="H72" s="15" t="s">
        <v>63</v>
      </c>
      <c r="I72" s="15" t="s">
        <v>63</v>
      </c>
      <c r="J72" s="15" t="n">
        <v>0</v>
      </c>
      <c r="K72" s="5" t="s">
        <v>592</v>
      </c>
      <c r="L72" s="5" t="s">
        <v>593</v>
      </c>
      <c r="M72" s="15" t="n">
        <v>1982</v>
      </c>
      <c r="N72" s="14"/>
      <c r="O72" s="15" t="s">
        <v>67</v>
      </c>
      <c r="P72" s="15" t="s">
        <v>272</v>
      </c>
      <c r="Q72" s="5" t="s">
        <v>594</v>
      </c>
      <c r="R72" s="15" t="s">
        <v>302</v>
      </c>
      <c r="S72" s="15" t="n">
        <v>8</v>
      </c>
      <c r="T72" s="15" t="n">
        <v>8</v>
      </c>
      <c r="U72" s="16" t="n">
        <v>38809</v>
      </c>
      <c r="V72" s="16" t="n">
        <v>38809</v>
      </c>
      <c r="W72" s="16" t="n">
        <v>33434</v>
      </c>
      <c r="X72" s="16" t="n">
        <v>33434</v>
      </c>
      <c r="Y72" s="15" t="n">
        <v>298</v>
      </c>
      <c r="Z72" s="15" t="n">
        <v>221</v>
      </c>
      <c r="AA72" s="15" t="n">
        <v>228</v>
      </c>
      <c r="AB72" s="15" t="n">
        <v>2</v>
      </c>
      <c r="AC72" s="15" t="n">
        <v>2</v>
      </c>
      <c r="AD72" s="15" t="n">
        <v>18</v>
      </c>
      <c r="AE72" s="15" t="n">
        <v>18</v>
      </c>
      <c r="AF72" s="15" t="n">
        <v>6</v>
      </c>
      <c r="AG72" s="15" t="n">
        <v>6</v>
      </c>
      <c r="AH72" s="15" t="n">
        <v>4</v>
      </c>
      <c r="AI72" s="15" t="n">
        <v>4</v>
      </c>
      <c r="AJ72" s="15" t="n">
        <v>11</v>
      </c>
      <c r="AK72" s="15" t="n">
        <v>11</v>
      </c>
      <c r="AL72" s="15" t="n">
        <v>1</v>
      </c>
      <c r="AM72" s="15" t="n">
        <v>1</v>
      </c>
      <c r="AN72" s="15" t="n">
        <v>0</v>
      </c>
      <c r="AO72" s="15" t="n">
        <v>0</v>
      </c>
      <c r="AP72" s="15" t="s">
        <v>63</v>
      </c>
      <c r="AQ72" s="15" t="s">
        <v>57</v>
      </c>
      <c r="AR72" s="9" t="s">
        <v>312</v>
      </c>
      <c r="AS72" s="9" t="s">
        <v>303</v>
      </c>
      <c r="AT72" s="9" t="s">
        <v>304</v>
      </c>
      <c r="AU72" s="15" t="s">
        <v>595</v>
      </c>
      <c r="AV72" s="15" t="n">
        <v>7738154</v>
      </c>
      <c r="AW72" s="15" t="n">
        <v>9.91005154749702E+017</v>
      </c>
      <c r="AX72" s="15" t="n">
        <v>9.91005154749702E+017</v>
      </c>
      <c r="AY72" s="15" t="n">
        <v>2258072820002650</v>
      </c>
      <c r="AZ72" s="15" t="s">
        <v>77</v>
      </c>
      <c r="BA72" s="14"/>
      <c r="BB72" s="17" t="n">
        <v>9780891305330</v>
      </c>
      <c r="BC72" s="17" t="n">
        <v>32285000691609</v>
      </c>
      <c r="BD72" s="15" t="n">
        <v>893424647</v>
      </c>
      <c r="BE72" s="6" t="s">
        <v>306</v>
      </c>
    </row>
    <row r="73" customFormat="false" ht="36.5" hidden="false" customHeight="false" outlineLevel="0" collapsed="false">
      <c r="A73" s="4" t="s">
        <v>57</v>
      </c>
      <c r="B73" s="5" t="s">
        <v>596</v>
      </c>
      <c r="C73" s="5" t="s">
        <v>597</v>
      </c>
      <c r="D73" s="5" t="s">
        <v>598</v>
      </c>
      <c r="E73" s="14"/>
      <c r="F73" s="15" t="s">
        <v>63</v>
      </c>
      <c r="G73" s="15" t="n">
        <v>1</v>
      </c>
      <c r="H73" s="15" t="s">
        <v>63</v>
      </c>
      <c r="I73" s="15" t="s">
        <v>57</v>
      </c>
      <c r="J73" s="15" t="n">
        <v>0</v>
      </c>
      <c r="K73" s="5" t="s">
        <v>599</v>
      </c>
      <c r="L73" s="5" t="s">
        <v>600</v>
      </c>
      <c r="M73" s="15" t="n">
        <v>1992</v>
      </c>
      <c r="N73" s="5" t="s">
        <v>601</v>
      </c>
      <c r="O73" s="15" t="s">
        <v>67</v>
      </c>
      <c r="P73" s="15" t="s">
        <v>68</v>
      </c>
      <c r="Q73" s="14"/>
      <c r="R73" s="15" t="s">
        <v>302</v>
      </c>
      <c r="S73" s="15" t="n">
        <v>5</v>
      </c>
      <c r="T73" s="15" t="n">
        <v>5</v>
      </c>
      <c r="U73" s="16" t="n">
        <v>39449</v>
      </c>
      <c r="V73" s="16" t="n">
        <v>39449</v>
      </c>
      <c r="W73" s="16" t="n">
        <v>34302</v>
      </c>
      <c r="X73" s="16" t="n">
        <v>34302</v>
      </c>
      <c r="Y73" s="15" t="n">
        <v>330</v>
      </c>
      <c r="Z73" s="15" t="n">
        <v>261</v>
      </c>
      <c r="AA73" s="15" t="n">
        <v>446</v>
      </c>
      <c r="AB73" s="15" t="n">
        <v>4</v>
      </c>
      <c r="AC73" s="15" t="n">
        <v>4</v>
      </c>
      <c r="AD73" s="15" t="n">
        <v>24</v>
      </c>
      <c r="AE73" s="15" t="n">
        <v>37</v>
      </c>
      <c r="AF73" s="15" t="n">
        <v>9</v>
      </c>
      <c r="AG73" s="15" t="n">
        <v>16</v>
      </c>
      <c r="AH73" s="15" t="n">
        <v>7</v>
      </c>
      <c r="AI73" s="15" t="n">
        <v>7</v>
      </c>
      <c r="AJ73" s="15" t="n">
        <v>11</v>
      </c>
      <c r="AK73" s="15" t="n">
        <v>21</v>
      </c>
      <c r="AL73" s="15" t="n">
        <v>3</v>
      </c>
      <c r="AM73" s="15" t="n">
        <v>3</v>
      </c>
      <c r="AN73" s="15" t="n">
        <v>0</v>
      </c>
      <c r="AO73" s="15" t="n">
        <v>0</v>
      </c>
      <c r="AP73" s="15" t="s">
        <v>63</v>
      </c>
      <c r="AQ73" s="15" t="s">
        <v>63</v>
      </c>
      <c r="AR73" s="14"/>
      <c r="AS73" s="9" t="s">
        <v>303</v>
      </c>
      <c r="AT73" s="9" t="s">
        <v>304</v>
      </c>
      <c r="AU73" s="15" t="s">
        <v>602</v>
      </c>
      <c r="AV73" s="15" t="n">
        <v>25873352</v>
      </c>
      <c r="AW73" s="15" t="n">
        <v>9.91002031989702E+017</v>
      </c>
      <c r="AX73" s="15" t="n">
        <v>9.91002031989702E+017</v>
      </c>
      <c r="AY73" s="15" t="n">
        <v>2269380130002650</v>
      </c>
      <c r="AZ73" s="15" t="s">
        <v>77</v>
      </c>
      <c r="BA73" s="14"/>
      <c r="BB73" s="17" t="n">
        <v>9780809133390</v>
      </c>
      <c r="BC73" s="17" t="n">
        <v>32285001813004</v>
      </c>
      <c r="BD73" s="15" t="n">
        <v>893903667</v>
      </c>
      <c r="BE73" s="6" t="s">
        <v>306</v>
      </c>
    </row>
    <row r="74" customFormat="false" ht="36.5" hidden="false" customHeight="false" outlineLevel="0" collapsed="false">
      <c r="A74" s="4" t="s">
        <v>57</v>
      </c>
      <c r="B74" s="5" t="s">
        <v>603</v>
      </c>
      <c r="C74" s="5" t="s">
        <v>604</v>
      </c>
      <c r="D74" s="5" t="s">
        <v>605</v>
      </c>
      <c r="E74" s="14"/>
      <c r="F74" s="15" t="s">
        <v>63</v>
      </c>
      <c r="G74" s="15" t="n">
        <v>1</v>
      </c>
      <c r="H74" s="15" t="s">
        <v>63</v>
      </c>
      <c r="I74" s="15" t="s">
        <v>63</v>
      </c>
      <c r="J74" s="15" t="n">
        <v>0</v>
      </c>
      <c r="K74" s="14"/>
      <c r="L74" s="5" t="s">
        <v>606</v>
      </c>
      <c r="M74" s="15" t="n">
        <v>1996</v>
      </c>
      <c r="N74" s="14"/>
      <c r="O74" s="15" t="s">
        <v>67</v>
      </c>
      <c r="P74" s="15" t="s">
        <v>222</v>
      </c>
      <c r="Q74" s="14"/>
      <c r="R74" s="15" t="s">
        <v>302</v>
      </c>
      <c r="S74" s="15" t="n">
        <v>5</v>
      </c>
      <c r="T74" s="15" t="n">
        <v>5</v>
      </c>
      <c r="U74" s="16" t="n">
        <v>40456</v>
      </c>
      <c r="V74" s="16" t="n">
        <v>40456</v>
      </c>
      <c r="W74" s="16" t="n">
        <v>37845</v>
      </c>
      <c r="X74" s="16" t="n">
        <v>37845</v>
      </c>
      <c r="Y74" s="15" t="n">
        <v>288</v>
      </c>
      <c r="Z74" s="15" t="n">
        <v>224</v>
      </c>
      <c r="AA74" s="15" t="n">
        <v>233</v>
      </c>
      <c r="AB74" s="15" t="n">
        <v>3</v>
      </c>
      <c r="AC74" s="15" t="n">
        <v>4</v>
      </c>
      <c r="AD74" s="15" t="n">
        <v>20</v>
      </c>
      <c r="AE74" s="15" t="n">
        <v>22</v>
      </c>
      <c r="AF74" s="15" t="n">
        <v>11</v>
      </c>
      <c r="AG74" s="15" t="n">
        <v>12</v>
      </c>
      <c r="AH74" s="15" t="n">
        <v>2</v>
      </c>
      <c r="AI74" s="15" t="n">
        <v>2</v>
      </c>
      <c r="AJ74" s="15" t="n">
        <v>10</v>
      </c>
      <c r="AK74" s="15" t="n">
        <v>11</v>
      </c>
      <c r="AL74" s="15" t="n">
        <v>2</v>
      </c>
      <c r="AM74" s="15" t="n">
        <v>3</v>
      </c>
      <c r="AN74" s="15" t="n">
        <v>0</v>
      </c>
      <c r="AO74" s="15" t="n">
        <v>0</v>
      </c>
      <c r="AP74" s="15" t="s">
        <v>63</v>
      </c>
      <c r="AQ74" s="15" t="s">
        <v>63</v>
      </c>
      <c r="AR74" s="14"/>
      <c r="AS74" s="9" t="s">
        <v>303</v>
      </c>
      <c r="AT74" s="9" t="s">
        <v>304</v>
      </c>
      <c r="AU74" s="15" t="s">
        <v>607</v>
      </c>
      <c r="AV74" s="15" t="n">
        <v>35360763</v>
      </c>
      <c r="AW74" s="15" t="n">
        <v>9.91004099669702E+017</v>
      </c>
      <c r="AX74" s="15" t="n">
        <v>9.91004099669702E+017</v>
      </c>
      <c r="AY74" s="15" t="n">
        <v>2266801960002650</v>
      </c>
      <c r="AZ74" s="15" t="s">
        <v>77</v>
      </c>
      <c r="BA74" s="14"/>
      <c r="BB74" s="17" t="n">
        <v>9781565632394</v>
      </c>
      <c r="BC74" s="17" t="n">
        <v>32285004759436</v>
      </c>
      <c r="BD74" s="15" t="n">
        <v>893343458</v>
      </c>
      <c r="BE74" s="6" t="s">
        <v>306</v>
      </c>
    </row>
    <row r="75" customFormat="false" ht="48" hidden="false" customHeight="false" outlineLevel="0" collapsed="false">
      <c r="A75" s="4" t="s">
        <v>57</v>
      </c>
      <c r="B75" s="5" t="s">
        <v>608</v>
      </c>
      <c r="C75" s="5" t="s">
        <v>609</v>
      </c>
      <c r="D75" s="5" t="s">
        <v>610</v>
      </c>
      <c r="E75" s="14"/>
      <c r="F75" s="15" t="s">
        <v>63</v>
      </c>
      <c r="G75" s="15" t="n">
        <v>1</v>
      </c>
      <c r="H75" s="15" t="s">
        <v>63</v>
      </c>
      <c r="I75" s="15" t="s">
        <v>63</v>
      </c>
      <c r="J75" s="15" t="n">
        <v>0</v>
      </c>
      <c r="K75" s="5" t="s">
        <v>611</v>
      </c>
      <c r="L75" s="5" t="s">
        <v>612</v>
      </c>
      <c r="M75" s="15" t="n">
        <v>1968</v>
      </c>
      <c r="N75" s="14"/>
      <c r="O75" s="15" t="s">
        <v>67</v>
      </c>
      <c r="P75" s="15" t="s">
        <v>367</v>
      </c>
      <c r="Q75" s="5" t="s">
        <v>613</v>
      </c>
      <c r="R75" s="15" t="s">
        <v>302</v>
      </c>
      <c r="S75" s="15" t="n">
        <v>2</v>
      </c>
      <c r="T75" s="15" t="n">
        <v>2</v>
      </c>
      <c r="U75" s="16" t="n">
        <v>36871</v>
      </c>
      <c r="V75" s="16" t="n">
        <v>36871</v>
      </c>
      <c r="W75" s="16" t="n">
        <v>33318</v>
      </c>
      <c r="X75" s="16" t="n">
        <v>33318</v>
      </c>
      <c r="Y75" s="15" t="n">
        <v>47</v>
      </c>
      <c r="Z75" s="15" t="n">
        <v>37</v>
      </c>
      <c r="AA75" s="15" t="n">
        <v>261</v>
      </c>
      <c r="AB75" s="15" t="n">
        <v>1</v>
      </c>
      <c r="AC75" s="15" t="n">
        <v>2</v>
      </c>
      <c r="AD75" s="15" t="n">
        <v>4</v>
      </c>
      <c r="AE75" s="15" t="n">
        <v>20</v>
      </c>
      <c r="AF75" s="15" t="n">
        <v>1</v>
      </c>
      <c r="AG75" s="15" t="n">
        <v>5</v>
      </c>
      <c r="AH75" s="15" t="n">
        <v>1</v>
      </c>
      <c r="AI75" s="15" t="n">
        <v>7</v>
      </c>
      <c r="AJ75" s="15" t="n">
        <v>3</v>
      </c>
      <c r="AK75" s="15" t="n">
        <v>12</v>
      </c>
      <c r="AL75" s="15" t="n">
        <v>0</v>
      </c>
      <c r="AM75" s="15" t="n">
        <v>1</v>
      </c>
      <c r="AN75" s="15" t="n">
        <v>0</v>
      </c>
      <c r="AO75" s="15" t="n">
        <v>0</v>
      </c>
      <c r="AP75" s="15" t="s">
        <v>63</v>
      </c>
      <c r="AQ75" s="15" t="s">
        <v>63</v>
      </c>
      <c r="AR75" s="14"/>
      <c r="AS75" s="9" t="s">
        <v>303</v>
      </c>
      <c r="AT75" s="9" t="s">
        <v>304</v>
      </c>
      <c r="AU75" s="15" t="s">
        <v>614</v>
      </c>
      <c r="AV75" s="15" t="n">
        <v>480721</v>
      </c>
      <c r="AW75" s="15" t="n">
        <v>9.91002837409702E+017</v>
      </c>
      <c r="AX75" s="15" t="n">
        <v>9.91002837409702E+017</v>
      </c>
      <c r="AY75" s="15" t="n">
        <v>2268860320002650</v>
      </c>
      <c r="AZ75" s="15" t="s">
        <v>77</v>
      </c>
      <c r="BA75" s="14"/>
      <c r="BB75" s="19"/>
      <c r="BC75" s="17" t="n">
        <v>32285000556190</v>
      </c>
      <c r="BD75" s="15" t="n">
        <v>893239570</v>
      </c>
      <c r="BE75" s="6" t="s">
        <v>306</v>
      </c>
    </row>
    <row r="76" customFormat="false" ht="36.5" hidden="false" customHeight="false" outlineLevel="0" collapsed="false">
      <c r="A76" s="4" t="s">
        <v>57</v>
      </c>
      <c r="B76" s="5" t="s">
        <v>615</v>
      </c>
      <c r="C76" s="5" t="s">
        <v>616</v>
      </c>
      <c r="D76" s="5" t="s">
        <v>617</v>
      </c>
      <c r="E76" s="14"/>
      <c r="F76" s="15" t="s">
        <v>63</v>
      </c>
      <c r="G76" s="15" t="n">
        <v>1</v>
      </c>
      <c r="H76" s="15" t="s">
        <v>63</v>
      </c>
      <c r="I76" s="15" t="s">
        <v>63</v>
      </c>
      <c r="J76" s="15" t="n">
        <v>0</v>
      </c>
      <c r="K76" s="5" t="s">
        <v>618</v>
      </c>
      <c r="L76" s="5" t="s">
        <v>619</v>
      </c>
      <c r="M76" s="15" t="n">
        <v>1980</v>
      </c>
      <c r="N76" s="14"/>
      <c r="O76" s="15" t="s">
        <v>67</v>
      </c>
      <c r="P76" s="15" t="s">
        <v>401</v>
      </c>
      <c r="Q76" s="14"/>
      <c r="R76" s="15" t="s">
        <v>302</v>
      </c>
      <c r="S76" s="15" t="n">
        <v>7</v>
      </c>
      <c r="T76" s="15" t="n">
        <v>7</v>
      </c>
      <c r="U76" s="16" t="n">
        <v>36485</v>
      </c>
      <c r="V76" s="16" t="n">
        <v>36485</v>
      </c>
      <c r="W76" s="16" t="n">
        <v>32973</v>
      </c>
      <c r="X76" s="16" t="n">
        <v>32973</v>
      </c>
      <c r="Y76" s="15" t="n">
        <v>248</v>
      </c>
      <c r="Z76" s="15" t="n">
        <v>204</v>
      </c>
      <c r="AA76" s="15" t="n">
        <v>207</v>
      </c>
      <c r="AB76" s="15" t="n">
        <v>2</v>
      </c>
      <c r="AC76" s="15" t="n">
        <v>2</v>
      </c>
      <c r="AD76" s="15" t="n">
        <v>9</v>
      </c>
      <c r="AE76" s="15" t="n">
        <v>9</v>
      </c>
      <c r="AF76" s="15" t="n">
        <v>5</v>
      </c>
      <c r="AG76" s="15" t="n">
        <v>5</v>
      </c>
      <c r="AH76" s="15" t="n">
        <v>0</v>
      </c>
      <c r="AI76" s="15" t="n">
        <v>0</v>
      </c>
      <c r="AJ76" s="15" t="n">
        <v>4</v>
      </c>
      <c r="AK76" s="15" t="n">
        <v>4</v>
      </c>
      <c r="AL76" s="15" t="n">
        <v>1</v>
      </c>
      <c r="AM76" s="15" t="n">
        <v>1</v>
      </c>
      <c r="AN76" s="15" t="n">
        <v>0</v>
      </c>
      <c r="AO76" s="15" t="n">
        <v>0</v>
      </c>
      <c r="AP76" s="15" t="s">
        <v>63</v>
      </c>
      <c r="AQ76" s="15" t="s">
        <v>63</v>
      </c>
      <c r="AR76" s="14"/>
      <c r="AS76" s="9" t="s">
        <v>303</v>
      </c>
      <c r="AT76" s="9" t="s">
        <v>304</v>
      </c>
      <c r="AU76" s="15" t="s">
        <v>620</v>
      </c>
      <c r="AV76" s="15" t="n">
        <v>5726698</v>
      </c>
      <c r="AW76" s="15" t="n">
        <v>9.91004865729702E+017</v>
      </c>
      <c r="AX76" s="15" t="n">
        <v>9.91004865729702E+017</v>
      </c>
      <c r="AY76" s="15" t="n">
        <v>2263193110002650</v>
      </c>
      <c r="AZ76" s="15" t="s">
        <v>77</v>
      </c>
      <c r="BA76" s="14"/>
      <c r="BB76" s="17" t="n">
        <v>9780800613815</v>
      </c>
      <c r="BC76" s="17" t="n">
        <v>32285000114651</v>
      </c>
      <c r="BD76" s="15" t="n">
        <v>893443130</v>
      </c>
      <c r="BE76" s="6" t="s">
        <v>306</v>
      </c>
    </row>
    <row r="77" customFormat="false" ht="36.5" hidden="false" customHeight="false" outlineLevel="0" collapsed="false">
      <c r="A77" s="4" t="s">
        <v>57</v>
      </c>
      <c r="B77" s="5" t="s">
        <v>621</v>
      </c>
      <c r="C77" s="5" t="s">
        <v>622</v>
      </c>
      <c r="D77" s="5" t="s">
        <v>623</v>
      </c>
      <c r="E77" s="14"/>
      <c r="F77" s="15" t="s">
        <v>63</v>
      </c>
      <c r="G77" s="15" t="n">
        <v>1</v>
      </c>
      <c r="H77" s="15" t="s">
        <v>63</v>
      </c>
      <c r="I77" s="15" t="s">
        <v>63</v>
      </c>
      <c r="J77" s="15" t="n">
        <v>0</v>
      </c>
      <c r="K77" s="5" t="s">
        <v>624</v>
      </c>
      <c r="L77" s="5" t="s">
        <v>625</v>
      </c>
      <c r="M77" s="15" t="n">
        <v>1981</v>
      </c>
      <c r="N77" s="14"/>
      <c r="O77" s="15" t="s">
        <v>67</v>
      </c>
      <c r="P77" s="15" t="s">
        <v>272</v>
      </c>
      <c r="Q77" s="5" t="s">
        <v>626</v>
      </c>
      <c r="R77" s="15" t="s">
        <v>302</v>
      </c>
      <c r="S77" s="15" t="n">
        <v>4</v>
      </c>
      <c r="T77" s="15" t="n">
        <v>4</v>
      </c>
      <c r="U77" s="16" t="n">
        <v>35541</v>
      </c>
      <c r="V77" s="16" t="n">
        <v>35541</v>
      </c>
      <c r="W77" s="16" t="n">
        <v>33333</v>
      </c>
      <c r="X77" s="16" t="n">
        <v>33333</v>
      </c>
      <c r="Y77" s="15" t="n">
        <v>155</v>
      </c>
      <c r="Z77" s="15" t="n">
        <v>118</v>
      </c>
      <c r="AA77" s="15" t="n">
        <v>216</v>
      </c>
      <c r="AB77" s="15" t="n">
        <v>1</v>
      </c>
      <c r="AC77" s="15" t="n">
        <v>2</v>
      </c>
      <c r="AD77" s="15" t="n">
        <v>5</v>
      </c>
      <c r="AE77" s="15" t="n">
        <v>17</v>
      </c>
      <c r="AF77" s="15" t="n">
        <v>0</v>
      </c>
      <c r="AG77" s="15" t="n">
        <v>5</v>
      </c>
      <c r="AH77" s="15" t="n">
        <v>3</v>
      </c>
      <c r="AI77" s="15" t="n">
        <v>4</v>
      </c>
      <c r="AJ77" s="15" t="n">
        <v>3</v>
      </c>
      <c r="AK77" s="15" t="n">
        <v>11</v>
      </c>
      <c r="AL77" s="15" t="n">
        <v>0</v>
      </c>
      <c r="AM77" s="15" t="n">
        <v>1</v>
      </c>
      <c r="AN77" s="15" t="n">
        <v>0</v>
      </c>
      <c r="AO77" s="15" t="n">
        <v>0</v>
      </c>
      <c r="AP77" s="15" t="s">
        <v>63</v>
      </c>
      <c r="AQ77" s="15" t="s">
        <v>57</v>
      </c>
      <c r="AR77" s="9" t="s">
        <v>312</v>
      </c>
      <c r="AS77" s="9" t="s">
        <v>303</v>
      </c>
      <c r="AT77" s="9" t="s">
        <v>304</v>
      </c>
      <c r="AU77" s="15" t="s">
        <v>627</v>
      </c>
      <c r="AV77" s="15" t="n">
        <v>7796028</v>
      </c>
      <c r="AW77" s="15" t="n">
        <v>9.91005162269702E+017</v>
      </c>
      <c r="AX77" s="15" t="n">
        <v>9.91005162269702E+017</v>
      </c>
      <c r="AY77" s="15" t="n">
        <v>2266352170002650</v>
      </c>
      <c r="AZ77" s="15" t="s">
        <v>77</v>
      </c>
      <c r="BA77" s="14"/>
      <c r="BB77" s="17" t="n">
        <v>9780891305439</v>
      </c>
      <c r="BC77" s="17" t="n">
        <v>32285000557701</v>
      </c>
      <c r="BD77" s="15" t="n">
        <v>893248463</v>
      </c>
      <c r="BE77" s="6" t="s">
        <v>306</v>
      </c>
    </row>
    <row r="78" customFormat="false" ht="36.5" hidden="false" customHeight="false" outlineLevel="0" collapsed="false">
      <c r="A78" s="4" t="s">
        <v>57</v>
      </c>
      <c r="B78" s="5" t="s">
        <v>628</v>
      </c>
      <c r="C78" s="5" t="s">
        <v>629</v>
      </c>
      <c r="D78" s="5" t="s">
        <v>630</v>
      </c>
      <c r="E78" s="14"/>
      <c r="F78" s="15" t="s">
        <v>63</v>
      </c>
      <c r="G78" s="15" t="n">
        <v>1</v>
      </c>
      <c r="H78" s="15" t="s">
        <v>63</v>
      </c>
      <c r="I78" s="15" t="s">
        <v>63</v>
      </c>
      <c r="J78" s="15" t="n">
        <v>0</v>
      </c>
      <c r="K78" s="5" t="s">
        <v>631</v>
      </c>
      <c r="L78" s="5" t="s">
        <v>632</v>
      </c>
      <c r="M78" s="15" t="n">
        <v>1996</v>
      </c>
      <c r="N78" s="14"/>
      <c r="O78" s="15" t="s">
        <v>67</v>
      </c>
      <c r="P78" s="15" t="s">
        <v>384</v>
      </c>
      <c r="Q78" s="5" t="s">
        <v>633</v>
      </c>
      <c r="R78" s="15" t="s">
        <v>302</v>
      </c>
      <c r="S78" s="15" t="n">
        <v>9</v>
      </c>
      <c r="T78" s="15" t="n">
        <v>9</v>
      </c>
      <c r="U78" s="16" t="n">
        <v>38448</v>
      </c>
      <c r="V78" s="16" t="n">
        <v>38448</v>
      </c>
      <c r="W78" s="16" t="n">
        <v>36166</v>
      </c>
      <c r="X78" s="16" t="n">
        <v>36166</v>
      </c>
      <c r="Y78" s="15" t="n">
        <v>293</v>
      </c>
      <c r="Z78" s="15" t="n">
        <v>230</v>
      </c>
      <c r="AA78" s="15" t="n">
        <v>245</v>
      </c>
      <c r="AB78" s="15" t="n">
        <v>1</v>
      </c>
      <c r="AC78" s="15" t="n">
        <v>1</v>
      </c>
      <c r="AD78" s="15" t="n">
        <v>17</v>
      </c>
      <c r="AE78" s="15" t="n">
        <v>17</v>
      </c>
      <c r="AF78" s="15" t="n">
        <v>4</v>
      </c>
      <c r="AG78" s="15" t="n">
        <v>4</v>
      </c>
      <c r="AH78" s="15" t="n">
        <v>7</v>
      </c>
      <c r="AI78" s="15" t="n">
        <v>7</v>
      </c>
      <c r="AJ78" s="15" t="n">
        <v>11</v>
      </c>
      <c r="AK78" s="15" t="n">
        <v>11</v>
      </c>
      <c r="AL78" s="15" t="n">
        <v>0</v>
      </c>
      <c r="AM78" s="15" t="n">
        <v>0</v>
      </c>
      <c r="AN78" s="15" t="n">
        <v>0</v>
      </c>
      <c r="AO78" s="15" t="n">
        <v>0</v>
      </c>
      <c r="AP78" s="15" t="s">
        <v>63</v>
      </c>
      <c r="AQ78" s="15" t="s">
        <v>63</v>
      </c>
      <c r="AR78" s="14"/>
      <c r="AS78" s="9" t="s">
        <v>303</v>
      </c>
      <c r="AT78" s="9" t="s">
        <v>304</v>
      </c>
      <c r="AU78" s="15" t="s">
        <v>634</v>
      </c>
      <c r="AV78" s="15" t="n">
        <v>33133013</v>
      </c>
      <c r="AW78" s="15" t="n">
        <v>9.91002550739702E+017</v>
      </c>
      <c r="AX78" s="15" t="n">
        <v>9.91002550739702E+017</v>
      </c>
      <c r="AY78" s="15" t="n">
        <v>2269335930002650</v>
      </c>
      <c r="AZ78" s="15" t="s">
        <v>77</v>
      </c>
      <c r="BA78" s="14"/>
      <c r="BB78" s="17" t="n">
        <v>9780415138628</v>
      </c>
      <c r="BC78" s="17" t="n">
        <v>32285003509600</v>
      </c>
      <c r="BD78" s="15" t="n">
        <v>893262345</v>
      </c>
      <c r="BE78" s="6" t="s">
        <v>306</v>
      </c>
    </row>
    <row r="79" customFormat="false" ht="59.5" hidden="false" customHeight="false" outlineLevel="0" collapsed="false">
      <c r="A79" s="4" t="s">
        <v>57</v>
      </c>
      <c r="B79" s="5" t="s">
        <v>635</v>
      </c>
      <c r="C79" s="5" t="s">
        <v>636</v>
      </c>
      <c r="D79" s="5" t="s">
        <v>637</v>
      </c>
      <c r="E79" s="14"/>
      <c r="F79" s="15" t="s">
        <v>63</v>
      </c>
      <c r="G79" s="15" t="n">
        <v>1</v>
      </c>
      <c r="H79" s="15" t="s">
        <v>63</v>
      </c>
      <c r="I79" s="15" t="s">
        <v>63</v>
      </c>
      <c r="J79" s="15" t="n">
        <v>0</v>
      </c>
      <c r="K79" s="5" t="s">
        <v>638</v>
      </c>
      <c r="L79" s="5" t="s">
        <v>639</v>
      </c>
      <c r="M79" s="15" t="n">
        <v>1986</v>
      </c>
      <c r="N79" s="14"/>
      <c r="O79" s="15" t="s">
        <v>67</v>
      </c>
      <c r="P79" s="15" t="s">
        <v>68</v>
      </c>
      <c r="Q79" s="14"/>
      <c r="R79" s="15" t="s">
        <v>302</v>
      </c>
      <c r="S79" s="15" t="n">
        <v>9</v>
      </c>
      <c r="T79" s="15" t="n">
        <v>9</v>
      </c>
      <c r="U79" s="16" t="n">
        <v>40266</v>
      </c>
      <c r="V79" s="16" t="n">
        <v>40266</v>
      </c>
      <c r="W79" s="16" t="n">
        <v>32930</v>
      </c>
      <c r="X79" s="16" t="n">
        <v>32930</v>
      </c>
      <c r="Y79" s="15" t="n">
        <v>255</v>
      </c>
      <c r="Z79" s="15" t="n">
        <v>206</v>
      </c>
      <c r="AA79" s="15" t="n">
        <v>206</v>
      </c>
      <c r="AB79" s="15" t="n">
        <v>1</v>
      </c>
      <c r="AC79" s="15" t="n">
        <v>1</v>
      </c>
      <c r="AD79" s="15" t="n">
        <v>15</v>
      </c>
      <c r="AE79" s="15" t="n">
        <v>15</v>
      </c>
      <c r="AF79" s="15" t="n">
        <v>5</v>
      </c>
      <c r="AG79" s="15" t="n">
        <v>5</v>
      </c>
      <c r="AH79" s="15" t="n">
        <v>4</v>
      </c>
      <c r="AI79" s="15" t="n">
        <v>4</v>
      </c>
      <c r="AJ79" s="15" t="n">
        <v>10</v>
      </c>
      <c r="AK79" s="15" t="n">
        <v>10</v>
      </c>
      <c r="AL79" s="15" t="n">
        <v>0</v>
      </c>
      <c r="AM79" s="15" t="n">
        <v>0</v>
      </c>
      <c r="AN79" s="15" t="n">
        <v>0</v>
      </c>
      <c r="AO79" s="15" t="n">
        <v>0</v>
      </c>
      <c r="AP79" s="15" t="s">
        <v>63</v>
      </c>
      <c r="AQ79" s="15" t="s">
        <v>63</v>
      </c>
      <c r="AR79" s="14"/>
      <c r="AS79" s="9" t="s">
        <v>303</v>
      </c>
      <c r="AT79" s="9" t="s">
        <v>304</v>
      </c>
      <c r="AU79" s="15" t="s">
        <v>640</v>
      </c>
      <c r="AV79" s="15" t="n">
        <v>12313976</v>
      </c>
      <c r="AW79" s="15" t="n">
        <v>9.91000669979702E+017</v>
      </c>
      <c r="AX79" s="15" t="n">
        <v>9.91000669979702E+017</v>
      </c>
      <c r="AY79" s="15" t="n">
        <v>2271747760002650</v>
      </c>
      <c r="AZ79" s="15" t="s">
        <v>77</v>
      </c>
      <c r="BA79" s="14"/>
      <c r="BB79" s="17" t="n">
        <v>9780883443989</v>
      </c>
      <c r="BC79" s="17" t="n">
        <v>32285000059385</v>
      </c>
      <c r="BD79" s="15" t="n">
        <v>893897108</v>
      </c>
      <c r="BE79" s="6" t="s">
        <v>306</v>
      </c>
    </row>
    <row r="80" customFormat="false" ht="59.5" hidden="false" customHeight="false" outlineLevel="0" collapsed="false">
      <c r="A80" s="4" t="s">
        <v>57</v>
      </c>
      <c r="B80" s="5" t="s">
        <v>641</v>
      </c>
      <c r="C80" s="5" t="s">
        <v>642</v>
      </c>
      <c r="D80" s="5" t="s">
        <v>643</v>
      </c>
      <c r="E80" s="14"/>
      <c r="F80" s="15" t="s">
        <v>63</v>
      </c>
      <c r="G80" s="15" t="n">
        <v>1</v>
      </c>
      <c r="H80" s="15" t="s">
        <v>63</v>
      </c>
      <c r="I80" s="15" t="s">
        <v>63</v>
      </c>
      <c r="J80" s="15" t="n">
        <v>0</v>
      </c>
      <c r="K80" s="14"/>
      <c r="L80" s="5" t="s">
        <v>644</v>
      </c>
      <c r="M80" s="15" t="n">
        <v>1973</v>
      </c>
      <c r="N80" s="14"/>
      <c r="O80" s="15" t="s">
        <v>67</v>
      </c>
      <c r="P80" s="15" t="s">
        <v>367</v>
      </c>
      <c r="Q80" s="14"/>
      <c r="R80" s="15" t="s">
        <v>302</v>
      </c>
      <c r="S80" s="15" t="n">
        <v>8</v>
      </c>
      <c r="T80" s="15" t="n">
        <v>8</v>
      </c>
      <c r="U80" s="16" t="n">
        <v>37175</v>
      </c>
      <c r="V80" s="16" t="n">
        <v>37175</v>
      </c>
      <c r="W80" s="16" t="n">
        <v>33361</v>
      </c>
      <c r="X80" s="16" t="n">
        <v>33361</v>
      </c>
      <c r="Y80" s="15" t="n">
        <v>10</v>
      </c>
      <c r="Z80" s="15" t="n">
        <v>9</v>
      </c>
      <c r="AA80" s="15" t="n">
        <v>214</v>
      </c>
      <c r="AB80" s="15" t="n">
        <v>1</v>
      </c>
      <c r="AC80" s="15" t="n">
        <v>2</v>
      </c>
      <c r="AD80" s="15" t="n">
        <v>0</v>
      </c>
      <c r="AE80" s="15" t="n">
        <v>22</v>
      </c>
      <c r="AF80" s="15" t="n">
        <v>0</v>
      </c>
      <c r="AG80" s="15" t="n">
        <v>10</v>
      </c>
      <c r="AH80" s="15" t="n">
        <v>0</v>
      </c>
      <c r="AI80" s="15" t="n">
        <v>6</v>
      </c>
      <c r="AJ80" s="15" t="n">
        <v>0</v>
      </c>
      <c r="AK80" s="15" t="n">
        <v>12</v>
      </c>
      <c r="AL80" s="15" t="n">
        <v>0</v>
      </c>
      <c r="AM80" s="15" t="n">
        <v>1</v>
      </c>
      <c r="AN80" s="15" t="n">
        <v>0</v>
      </c>
      <c r="AO80" s="15" t="n">
        <v>0</v>
      </c>
      <c r="AP80" s="15" t="s">
        <v>63</v>
      </c>
      <c r="AQ80" s="15" t="s">
        <v>63</v>
      </c>
      <c r="AR80" s="14"/>
      <c r="AS80" s="9" t="s">
        <v>303</v>
      </c>
      <c r="AT80" s="9" t="s">
        <v>304</v>
      </c>
      <c r="AU80" s="15" t="s">
        <v>645</v>
      </c>
      <c r="AV80" s="15" t="n">
        <v>1083681</v>
      </c>
      <c r="AW80" s="15" t="n">
        <v>9.91003521789702E+017</v>
      </c>
      <c r="AX80" s="15" t="n">
        <v>9.91003521789702E+017</v>
      </c>
      <c r="AY80" s="15" t="n">
        <v>2267961830002650</v>
      </c>
      <c r="AZ80" s="15" t="s">
        <v>77</v>
      </c>
      <c r="BA80" s="14"/>
      <c r="BB80" s="17" t="n">
        <v>9780884140009</v>
      </c>
      <c r="BC80" s="17" t="n">
        <v>32285000558048</v>
      </c>
      <c r="BD80" s="15" t="n">
        <v>893627629</v>
      </c>
      <c r="BE80" s="6" t="s">
        <v>306</v>
      </c>
    </row>
    <row r="81" customFormat="false" ht="48" hidden="false" customHeight="false" outlineLevel="0" collapsed="false">
      <c r="A81" s="4" t="s">
        <v>57</v>
      </c>
      <c r="B81" s="5" t="s">
        <v>646</v>
      </c>
      <c r="C81" s="5" t="s">
        <v>647</v>
      </c>
      <c r="D81" s="5" t="s">
        <v>648</v>
      </c>
      <c r="E81" s="14"/>
      <c r="F81" s="15" t="s">
        <v>63</v>
      </c>
      <c r="G81" s="15" t="n">
        <v>1</v>
      </c>
      <c r="H81" s="15" t="s">
        <v>63</v>
      </c>
      <c r="I81" s="15" t="s">
        <v>63</v>
      </c>
      <c r="J81" s="15" t="n">
        <v>0</v>
      </c>
      <c r="K81" s="5" t="s">
        <v>649</v>
      </c>
      <c r="L81" s="5" t="s">
        <v>650</v>
      </c>
      <c r="M81" s="15" t="n">
        <v>1974</v>
      </c>
      <c r="N81" s="14"/>
      <c r="O81" s="15" t="s">
        <v>67</v>
      </c>
      <c r="P81" s="15" t="s">
        <v>384</v>
      </c>
      <c r="Q81" s="5" t="s">
        <v>651</v>
      </c>
      <c r="R81" s="15" t="s">
        <v>302</v>
      </c>
      <c r="S81" s="15" t="n">
        <v>6</v>
      </c>
      <c r="T81" s="15" t="n">
        <v>6</v>
      </c>
      <c r="U81" s="16" t="n">
        <v>39404</v>
      </c>
      <c r="V81" s="16" t="n">
        <v>39404</v>
      </c>
      <c r="W81" s="16" t="n">
        <v>33361</v>
      </c>
      <c r="X81" s="16" t="n">
        <v>33361</v>
      </c>
      <c r="Y81" s="15" t="n">
        <v>507</v>
      </c>
      <c r="Z81" s="15" t="n">
        <v>391</v>
      </c>
      <c r="AA81" s="15" t="n">
        <v>399</v>
      </c>
      <c r="AB81" s="15" t="n">
        <v>4</v>
      </c>
      <c r="AC81" s="15" t="n">
        <v>4</v>
      </c>
      <c r="AD81" s="15" t="n">
        <v>28</v>
      </c>
      <c r="AE81" s="15" t="n">
        <v>28</v>
      </c>
      <c r="AF81" s="15" t="n">
        <v>9</v>
      </c>
      <c r="AG81" s="15" t="n">
        <v>9</v>
      </c>
      <c r="AH81" s="15" t="n">
        <v>5</v>
      </c>
      <c r="AI81" s="15" t="n">
        <v>5</v>
      </c>
      <c r="AJ81" s="15" t="n">
        <v>16</v>
      </c>
      <c r="AK81" s="15" t="n">
        <v>16</v>
      </c>
      <c r="AL81" s="15" t="n">
        <v>3</v>
      </c>
      <c r="AM81" s="15" t="n">
        <v>3</v>
      </c>
      <c r="AN81" s="15" t="n">
        <v>0</v>
      </c>
      <c r="AO81" s="15" t="n">
        <v>0</v>
      </c>
      <c r="AP81" s="15" t="s">
        <v>63</v>
      </c>
      <c r="AQ81" s="15" t="s">
        <v>63</v>
      </c>
      <c r="AR81" s="14"/>
      <c r="AS81" s="9" t="s">
        <v>303</v>
      </c>
      <c r="AT81" s="9" t="s">
        <v>304</v>
      </c>
      <c r="AU81" s="15" t="s">
        <v>652</v>
      </c>
      <c r="AV81" s="15" t="n">
        <v>980076</v>
      </c>
      <c r="AW81" s="15" t="n">
        <v>9.91003444259702E+017</v>
      </c>
      <c r="AX81" s="15" t="n">
        <v>9.91003444259702E+017</v>
      </c>
      <c r="AY81" s="15" t="n">
        <v>2271339520002650</v>
      </c>
      <c r="AZ81" s="15" t="s">
        <v>77</v>
      </c>
      <c r="BA81" s="14"/>
      <c r="BB81" s="17" t="n">
        <v>9780521204149</v>
      </c>
      <c r="BC81" s="17" t="n">
        <v>32285000558089</v>
      </c>
      <c r="BD81" s="15" t="n">
        <v>893524814</v>
      </c>
      <c r="BE81" s="6" t="s">
        <v>306</v>
      </c>
    </row>
    <row r="82" customFormat="false" ht="36.5" hidden="false" customHeight="false" outlineLevel="0" collapsed="false">
      <c r="A82" s="4" t="s">
        <v>57</v>
      </c>
      <c r="B82" s="5" t="s">
        <v>653</v>
      </c>
      <c r="C82" s="5" t="s">
        <v>654</v>
      </c>
      <c r="D82" s="5" t="s">
        <v>655</v>
      </c>
      <c r="E82" s="14"/>
      <c r="F82" s="15" t="s">
        <v>63</v>
      </c>
      <c r="G82" s="15" t="n">
        <v>1</v>
      </c>
      <c r="H82" s="15" t="s">
        <v>63</v>
      </c>
      <c r="I82" s="15" t="s">
        <v>63</v>
      </c>
      <c r="J82" s="15" t="n">
        <v>0</v>
      </c>
      <c r="K82" s="5" t="s">
        <v>656</v>
      </c>
      <c r="L82" s="5" t="s">
        <v>593</v>
      </c>
      <c r="M82" s="15" t="n">
        <v>1982</v>
      </c>
      <c r="N82" s="14"/>
      <c r="O82" s="15" t="s">
        <v>67</v>
      </c>
      <c r="P82" s="15" t="s">
        <v>272</v>
      </c>
      <c r="Q82" s="5" t="s">
        <v>657</v>
      </c>
      <c r="R82" s="15" t="s">
        <v>302</v>
      </c>
      <c r="S82" s="15" t="n">
        <v>6</v>
      </c>
      <c r="T82" s="15" t="n">
        <v>6</v>
      </c>
      <c r="U82" s="16" t="n">
        <v>38793</v>
      </c>
      <c r="V82" s="16" t="n">
        <v>38793</v>
      </c>
      <c r="W82" s="16" t="n">
        <v>32930</v>
      </c>
      <c r="X82" s="16" t="n">
        <v>32930</v>
      </c>
      <c r="Y82" s="15" t="n">
        <v>279</v>
      </c>
      <c r="Z82" s="15" t="n">
        <v>205</v>
      </c>
      <c r="AA82" s="15" t="n">
        <v>212</v>
      </c>
      <c r="AB82" s="15" t="n">
        <v>2</v>
      </c>
      <c r="AC82" s="15" t="n">
        <v>2</v>
      </c>
      <c r="AD82" s="15" t="n">
        <v>15</v>
      </c>
      <c r="AE82" s="15" t="n">
        <v>15</v>
      </c>
      <c r="AF82" s="15" t="n">
        <v>4</v>
      </c>
      <c r="AG82" s="15" t="n">
        <v>4</v>
      </c>
      <c r="AH82" s="15" t="n">
        <v>6</v>
      </c>
      <c r="AI82" s="15" t="n">
        <v>6</v>
      </c>
      <c r="AJ82" s="15" t="n">
        <v>9</v>
      </c>
      <c r="AK82" s="15" t="n">
        <v>9</v>
      </c>
      <c r="AL82" s="15" t="n">
        <v>1</v>
      </c>
      <c r="AM82" s="15" t="n">
        <v>1</v>
      </c>
      <c r="AN82" s="15" t="n">
        <v>0</v>
      </c>
      <c r="AO82" s="15" t="n">
        <v>0</v>
      </c>
      <c r="AP82" s="15" t="s">
        <v>63</v>
      </c>
      <c r="AQ82" s="15" t="s">
        <v>63</v>
      </c>
      <c r="AR82" s="14"/>
      <c r="AS82" s="9" t="s">
        <v>303</v>
      </c>
      <c r="AT82" s="9" t="s">
        <v>304</v>
      </c>
      <c r="AU82" s="15" t="s">
        <v>658</v>
      </c>
      <c r="AV82" s="15" t="n">
        <v>8169451</v>
      </c>
      <c r="AW82" s="15" t="n">
        <v>9.91005211479702E+017</v>
      </c>
      <c r="AX82" s="15" t="n">
        <v>9.91005211479702E+017</v>
      </c>
      <c r="AY82" s="15" t="n">
        <v>2269610710002650</v>
      </c>
      <c r="AZ82" s="15" t="s">
        <v>77</v>
      </c>
      <c r="BA82" s="14"/>
      <c r="BB82" s="17" t="n">
        <v>9780891305644</v>
      </c>
      <c r="BC82" s="17" t="n">
        <v>32285000070366</v>
      </c>
      <c r="BD82" s="15" t="n">
        <v>893625629</v>
      </c>
      <c r="BE82" s="6" t="s">
        <v>306</v>
      </c>
    </row>
    <row r="83" customFormat="false" ht="48" hidden="false" customHeight="false" outlineLevel="0" collapsed="false">
      <c r="A83" s="4" t="s">
        <v>57</v>
      </c>
      <c r="B83" s="5" t="s">
        <v>659</v>
      </c>
      <c r="C83" s="5" t="s">
        <v>660</v>
      </c>
      <c r="D83" s="5" t="s">
        <v>661</v>
      </c>
      <c r="E83" s="14"/>
      <c r="F83" s="15" t="s">
        <v>63</v>
      </c>
      <c r="G83" s="15" t="n">
        <v>1</v>
      </c>
      <c r="H83" s="15" t="s">
        <v>63</v>
      </c>
      <c r="I83" s="15" t="s">
        <v>63</v>
      </c>
      <c r="J83" s="15" t="n">
        <v>0</v>
      </c>
      <c r="K83" s="5" t="s">
        <v>662</v>
      </c>
      <c r="L83" s="5" t="s">
        <v>663</v>
      </c>
      <c r="M83" s="15" t="n">
        <v>1995</v>
      </c>
      <c r="N83" s="14"/>
      <c r="O83" s="15" t="s">
        <v>67</v>
      </c>
      <c r="P83" s="15" t="s">
        <v>415</v>
      </c>
      <c r="Q83" s="5" t="s">
        <v>664</v>
      </c>
      <c r="R83" s="15" t="s">
        <v>302</v>
      </c>
      <c r="S83" s="15" t="n">
        <v>5</v>
      </c>
      <c r="T83" s="15" t="n">
        <v>5</v>
      </c>
      <c r="U83" s="16" t="n">
        <v>38432</v>
      </c>
      <c r="V83" s="16" t="n">
        <v>38432</v>
      </c>
      <c r="W83" s="16" t="n">
        <v>36166</v>
      </c>
      <c r="X83" s="16" t="n">
        <v>36166</v>
      </c>
      <c r="Y83" s="15" t="n">
        <v>209</v>
      </c>
      <c r="Z83" s="15" t="n">
        <v>165</v>
      </c>
      <c r="AA83" s="15" t="n">
        <v>173</v>
      </c>
      <c r="AB83" s="15" t="n">
        <v>2</v>
      </c>
      <c r="AC83" s="15" t="n">
        <v>2</v>
      </c>
      <c r="AD83" s="15" t="n">
        <v>16</v>
      </c>
      <c r="AE83" s="15" t="n">
        <v>16</v>
      </c>
      <c r="AF83" s="15" t="n">
        <v>8</v>
      </c>
      <c r="AG83" s="15" t="n">
        <v>8</v>
      </c>
      <c r="AH83" s="15" t="n">
        <v>5</v>
      </c>
      <c r="AI83" s="15" t="n">
        <v>5</v>
      </c>
      <c r="AJ83" s="15" t="n">
        <v>6</v>
      </c>
      <c r="AK83" s="15" t="n">
        <v>6</v>
      </c>
      <c r="AL83" s="15" t="n">
        <v>1</v>
      </c>
      <c r="AM83" s="15" t="n">
        <v>1</v>
      </c>
      <c r="AN83" s="15" t="n">
        <v>0</v>
      </c>
      <c r="AO83" s="15" t="n">
        <v>0</v>
      </c>
      <c r="AP83" s="15" t="s">
        <v>63</v>
      </c>
      <c r="AQ83" s="15" t="s">
        <v>63</v>
      </c>
      <c r="AR83" s="14"/>
      <c r="AS83" s="9" t="s">
        <v>303</v>
      </c>
      <c r="AT83" s="9" t="s">
        <v>304</v>
      </c>
      <c r="AU83" s="15" t="s">
        <v>665</v>
      </c>
      <c r="AV83" s="15" t="n">
        <v>29520771</v>
      </c>
      <c r="AW83" s="15" t="n">
        <v>9.91002275329702E+017</v>
      </c>
      <c r="AX83" s="15" t="n">
        <v>9.91002275329702E+017</v>
      </c>
      <c r="AY83" s="15" t="n">
        <v>2265549170002650</v>
      </c>
      <c r="AZ83" s="15" t="s">
        <v>77</v>
      </c>
      <c r="BA83" s="14"/>
      <c r="BB83" s="17" t="n">
        <v>9781555409401</v>
      </c>
      <c r="BC83" s="17" t="n">
        <v>32285003509618</v>
      </c>
      <c r="BD83" s="15" t="n">
        <v>893597235</v>
      </c>
      <c r="BE83" s="6" t="s">
        <v>306</v>
      </c>
    </row>
    <row r="84" customFormat="false" ht="36.5" hidden="false" customHeight="false" outlineLevel="0" collapsed="false">
      <c r="A84" s="4" t="s">
        <v>57</v>
      </c>
      <c r="B84" s="5" t="s">
        <v>666</v>
      </c>
      <c r="C84" s="5" t="s">
        <v>667</v>
      </c>
      <c r="D84" s="5" t="s">
        <v>668</v>
      </c>
      <c r="E84" s="14"/>
      <c r="F84" s="15" t="s">
        <v>63</v>
      </c>
      <c r="G84" s="15" t="n">
        <v>1</v>
      </c>
      <c r="H84" s="15" t="s">
        <v>63</v>
      </c>
      <c r="I84" s="15" t="s">
        <v>63</v>
      </c>
      <c r="J84" s="15" t="n">
        <v>0</v>
      </c>
      <c r="K84" s="5" t="s">
        <v>669</v>
      </c>
      <c r="L84" s="5" t="s">
        <v>670</v>
      </c>
      <c r="M84" s="15" t="n">
        <v>1993</v>
      </c>
      <c r="N84" s="14"/>
      <c r="O84" s="15" t="s">
        <v>67</v>
      </c>
      <c r="P84" s="15" t="s">
        <v>671</v>
      </c>
      <c r="Q84" s="5" t="s">
        <v>672</v>
      </c>
      <c r="R84" s="15" t="s">
        <v>302</v>
      </c>
      <c r="S84" s="15" t="n">
        <v>3</v>
      </c>
      <c r="T84" s="15" t="n">
        <v>3</v>
      </c>
      <c r="U84" s="16" t="n">
        <v>40514</v>
      </c>
      <c r="V84" s="16" t="n">
        <v>40514</v>
      </c>
      <c r="W84" s="16" t="n">
        <v>38589</v>
      </c>
      <c r="X84" s="16" t="n">
        <v>38589</v>
      </c>
      <c r="Y84" s="15" t="n">
        <v>96</v>
      </c>
      <c r="Z84" s="15" t="n">
        <v>68</v>
      </c>
      <c r="AA84" s="15" t="n">
        <v>71</v>
      </c>
      <c r="AB84" s="15" t="n">
        <v>1</v>
      </c>
      <c r="AC84" s="15" t="n">
        <v>1</v>
      </c>
      <c r="AD84" s="15" t="n">
        <v>4</v>
      </c>
      <c r="AE84" s="15" t="n">
        <v>4</v>
      </c>
      <c r="AF84" s="15" t="n">
        <v>0</v>
      </c>
      <c r="AG84" s="15" t="n">
        <v>0</v>
      </c>
      <c r="AH84" s="15" t="n">
        <v>1</v>
      </c>
      <c r="AI84" s="15" t="n">
        <v>1</v>
      </c>
      <c r="AJ84" s="15" t="n">
        <v>3</v>
      </c>
      <c r="AK84" s="15" t="n">
        <v>3</v>
      </c>
      <c r="AL84" s="15" t="n">
        <v>0</v>
      </c>
      <c r="AM84" s="15" t="n">
        <v>0</v>
      </c>
      <c r="AN84" s="15" t="n">
        <v>0</v>
      </c>
      <c r="AO84" s="15" t="n">
        <v>0</v>
      </c>
      <c r="AP84" s="15" t="s">
        <v>63</v>
      </c>
      <c r="AQ84" s="15" t="s">
        <v>57</v>
      </c>
      <c r="AR84" s="9" t="s">
        <v>312</v>
      </c>
      <c r="AS84" s="9" t="s">
        <v>303</v>
      </c>
      <c r="AT84" s="9" t="s">
        <v>304</v>
      </c>
      <c r="AU84" s="15" t="s">
        <v>673</v>
      </c>
      <c r="AV84" s="15" t="n">
        <v>28308746</v>
      </c>
      <c r="AW84" s="15" t="n">
        <v>9.91004634919702E+017</v>
      </c>
      <c r="AX84" s="15" t="n">
        <v>9.91004634919702E+017</v>
      </c>
      <c r="AY84" s="15" t="n">
        <v>2270824950002650</v>
      </c>
      <c r="AZ84" s="15" t="s">
        <v>77</v>
      </c>
      <c r="BA84" s="14"/>
      <c r="BB84" s="17" t="n">
        <v>9782850210617</v>
      </c>
      <c r="BC84" s="17" t="n">
        <v>32285001736825</v>
      </c>
      <c r="BD84" s="15" t="n">
        <v>893344060</v>
      </c>
      <c r="BE84" s="6" t="s">
        <v>306</v>
      </c>
    </row>
    <row r="85" customFormat="false" ht="36.5" hidden="false" customHeight="false" outlineLevel="0" collapsed="false">
      <c r="A85" s="4" t="s">
        <v>57</v>
      </c>
      <c r="B85" s="5" t="s">
        <v>674</v>
      </c>
      <c r="C85" s="5" t="s">
        <v>675</v>
      </c>
      <c r="D85" s="5" t="s">
        <v>676</v>
      </c>
      <c r="E85" s="14"/>
      <c r="F85" s="15" t="s">
        <v>63</v>
      </c>
      <c r="G85" s="15" t="n">
        <v>1</v>
      </c>
      <c r="H85" s="15" t="s">
        <v>63</v>
      </c>
      <c r="I85" s="15" t="s">
        <v>63</v>
      </c>
      <c r="J85" s="15" t="n">
        <v>0</v>
      </c>
      <c r="K85" s="5" t="s">
        <v>677</v>
      </c>
      <c r="L85" s="5" t="s">
        <v>678</v>
      </c>
      <c r="M85" s="15" t="n">
        <v>1972</v>
      </c>
      <c r="N85" s="14"/>
      <c r="O85" s="15" t="s">
        <v>67</v>
      </c>
      <c r="P85" s="15" t="s">
        <v>384</v>
      </c>
      <c r="Q85" s="14"/>
      <c r="R85" s="15" t="s">
        <v>302</v>
      </c>
      <c r="S85" s="15" t="n">
        <v>9</v>
      </c>
      <c r="T85" s="15" t="n">
        <v>9</v>
      </c>
      <c r="U85" s="16" t="n">
        <v>36612</v>
      </c>
      <c r="V85" s="16" t="n">
        <v>36612</v>
      </c>
      <c r="W85" s="16" t="n">
        <v>33365</v>
      </c>
      <c r="X85" s="16" t="n">
        <v>33365</v>
      </c>
      <c r="Y85" s="15" t="n">
        <v>358</v>
      </c>
      <c r="Z85" s="15" t="n">
        <v>242</v>
      </c>
      <c r="AA85" s="15" t="n">
        <v>243</v>
      </c>
      <c r="AB85" s="15" t="n">
        <v>3</v>
      </c>
      <c r="AC85" s="15" t="n">
        <v>3</v>
      </c>
      <c r="AD85" s="15" t="n">
        <v>19</v>
      </c>
      <c r="AE85" s="15" t="n">
        <v>19</v>
      </c>
      <c r="AF85" s="15" t="n">
        <v>6</v>
      </c>
      <c r="AG85" s="15" t="n">
        <v>6</v>
      </c>
      <c r="AH85" s="15" t="n">
        <v>5</v>
      </c>
      <c r="AI85" s="15" t="n">
        <v>5</v>
      </c>
      <c r="AJ85" s="15" t="n">
        <v>12</v>
      </c>
      <c r="AK85" s="15" t="n">
        <v>12</v>
      </c>
      <c r="AL85" s="15" t="n">
        <v>1</v>
      </c>
      <c r="AM85" s="15" t="n">
        <v>1</v>
      </c>
      <c r="AN85" s="15" t="n">
        <v>0</v>
      </c>
      <c r="AO85" s="15" t="n">
        <v>0</v>
      </c>
      <c r="AP85" s="15" t="s">
        <v>63</v>
      </c>
      <c r="AQ85" s="15" t="s">
        <v>63</v>
      </c>
      <c r="AR85" s="14"/>
      <c r="AS85" s="9" t="s">
        <v>303</v>
      </c>
      <c r="AT85" s="9" t="s">
        <v>304</v>
      </c>
      <c r="AU85" s="15" t="s">
        <v>679</v>
      </c>
      <c r="AV85" s="15" t="n">
        <v>495676</v>
      </c>
      <c r="AW85" s="15" t="n">
        <v>9.91002865829702E+017</v>
      </c>
      <c r="AX85" s="15" t="n">
        <v>9.91002865829702E+017</v>
      </c>
      <c r="AY85" s="15" t="n">
        <v>2256776960002650</v>
      </c>
      <c r="AZ85" s="15" t="s">
        <v>77</v>
      </c>
      <c r="BA85" s="14"/>
      <c r="BB85" s="17" t="n">
        <v>9780225661019</v>
      </c>
      <c r="BC85" s="17" t="n">
        <v>32285000559350</v>
      </c>
      <c r="BD85" s="15" t="n">
        <v>893257818</v>
      </c>
      <c r="BE85" s="6" t="s">
        <v>306</v>
      </c>
    </row>
    <row r="86" customFormat="false" ht="48" hidden="false" customHeight="false" outlineLevel="0" collapsed="false">
      <c r="A86" s="4" t="s">
        <v>57</v>
      </c>
      <c r="B86" s="5" t="s">
        <v>680</v>
      </c>
      <c r="C86" s="5" t="s">
        <v>681</v>
      </c>
      <c r="D86" s="5" t="s">
        <v>682</v>
      </c>
      <c r="E86" s="14"/>
      <c r="F86" s="15" t="s">
        <v>63</v>
      </c>
      <c r="G86" s="15" t="n">
        <v>1</v>
      </c>
      <c r="H86" s="15" t="s">
        <v>63</v>
      </c>
      <c r="I86" s="15" t="s">
        <v>63</v>
      </c>
      <c r="J86" s="15" t="n">
        <v>0</v>
      </c>
      <c r="K86" s="5" t="s">
        <v>683</v>
      </c>
      <c r="L86" s="5" t="s">
        <v>684</v>
      </c>
      <c r="M86" s="15" t="n">
        <v>1977</v>
      </c>
      <c r="N86" s="14"/>
      <c r="O86" s="15" t="s">
        <v>67</v>
      </c>
      <c r="P86" s="15" t="s">
        <v>68</v>
      </c>
      <c r="Q86" s="14"/>
      <c r="R86" s="15" t="s">
        <v>302</v>
      </c>
      <c r="S86" s="15" t="n">
        <v>3</v>
      </c>
      <c r="T86" s="15" t="n">
        <v>3</v>
      </c>
      <c r="U86" s="16" t="n">
        <v>39919</v>
      </c>
      <c r="V86" s="16" t="n">
        <v>39919</v>
      </c>
      <c r="W86" s="16" t="n">
        <v>33365</v>
      </c>
      <c r="X86" s="16" t="n">
        <v>33365</v>
      </c>
      <c r="Y86" s="15" t="n">
        <v>451</v>
      </c>
      <c r="Z86" s="15" t="n">
        <v>365</v>
      </c>
      <c r="AA86" s="15" t="n">
        <v>369</v>
      </c>
      <c r="AB86" s="15" t="n">
        <v>4</v>
      </c>
      <c r="AC86" s="15" t="n">
        <v>4</v>
      </c>
      <c r="AD86" s="15" t="n">
        <v>27</v>
      </c>
      <c r="AE86" s="15" t="n">
        <v>27</v>
      </c>
      <c r="AF86" s="15" t="n">
        <v>8</v>
      </c>
      <c r="AG86" s="15" t="n">
        <v>8</v>
      </c>
      <c r="AH86" s="15" t="n">
        <v>6</v>
      </c>
      <c r="AI86" s="15" t="n">
        <v>6</v>
      </c>
      <c r="AJ86" s="15" t="n">
        <v>18</v>
      </c>
      <c r="AK86" s="15" t="n">
        <v>18</v>
      </c>
      <c r="AL86" s="15" t="n">
        <v>2</v>
      </c>
      <c r="AM86" s="15" t="n">
        <v>2</v>
      </c>
      <c r="AN86" s="15" t="n">
        <v>0</v>
      </c>
      <c r="AO86" s="15" t="n">
        <v>0</v>
      </c>
      <c r="AP86" s="15" t="s">
        <v>63</v>
      </c>
      <c r="AQ86" s="15" t="s">
        <v>57</v>
      </c>
      <c r="AR86" s="9" t="s">
        <v>312</v>
      </c>
      <c r="AS86" s="9" t="s">
        <v>303</v>
      </c>
      <c r="AT86" s="9" t="s">
        <v>304</v>
      </c>
      <c r="AU86" s="15" t="s">
        <v>685</v>
      </c>
      <c r="AV86" s="15" t="n">
        <v>2873344</v>
      </c>
      <c r="AW86" s="15" t="n">
        <v>9.91004267699702E+017</v>
      </c>
      <c r="AX86" s="15" t="n">
        <v>9.91004267699702E+017</v>
      </c>
      <c r="AY86" s="15" t="n">
        <v>2259403150002650</v>
      </c>
      <c r="AZ86" s="15" t="s">
        <v>77</v>
      </c>
      <c r="BA86" s="14"/>
      <c r="BB86" s="17" t="n">
        <v>9780883440278</v>
      </c>
      <c r="BC86" s="17" t="n">
        <v>32285000559459</v>
      </c>
      <c r="BD86" s="15" t="n">
        <v>893782046</v>
      </c>
      <c r="BE86" s="6" t="s">
        <v>306</v>
      </c>
    </row>
    <row r="87" customFormat="false" ht="36.5" hidden="false" customHeight="false" outlineLevel="0" collapsed="false">
      <c r="A87" s="4" t="s">
        <v>57</v>
      </c>
      <c r="B87" s="5" t="s">
        <v>686</v>
      </c>
      <c r="C87" s="5" t="s">
        <v>687</v>
      </c>
      <c r="D87" s="5" t="s">
        <v>688</v>
      </c>
      <c r="E87" s="14"/>
      <c r="F87" s="15" t="s">
        <v>63</v>
      </c>
      <c r="G87" s="15" t="n">
        <v>1</v>
      </c>
      <c r="H87" s="15" t="s">
        <v>63</v>
      </c>
      <c r="I87" s="15" t="s">
        <v>63</v>
      </c>
      <c r="J87" s="15" t="n">
        <v>0</v>
      </c>
      <c r="K87" s="5" t="s">
        <v>689</v>
      </c>
      <c r="L87" s="5" t="s">
        <v>690</v>
      </c>
      <c r="M87" s="15" t="n">
        <v>1938</v>
      </c>
      <c r="N87" s="14"/>
      <c r="O87" s="15" t="s">
        <v>67</v>
      </c>
      <c r="P87" s="15" t="s">
        <v>384</v>
      </c>
      <c r="Q87" s="14"/>
      <c r="R87" s="15" t="s">
        <v>302</v>
      </c>
      <c r="S87" s="15" t="n">
        <v>9</v>
      </c>
      <c r="T87" s="15" t="n">
        <v>9</v>
      </c>
      <c r="U87" s="16" t="n">
        <v>37188</v>
      </c>
      <c r="V87" s="16" t="n">
        <v>37188</v>
      </c>
      <c r="W87" s="16" t="n">
        <v>33365</v>
      </c>
      <c r="X87" s="16" t="n">
        <v>33365</v>
      </c>
      <c r="Y87" s="15" t="n">
        <v>228</v>
      </c>
      <c r="Z87" s="15" t="n">
        <v>178</v>
      </c>
      <c r="AA87" s="15" t="n">
        <v>183</v>
      </c>
      <c r="AB87" s="15" t="n">
        <v>1</v>
      </c>
      <c r="AC87" s="15" t="n">
        <v>1</v>
      </c>
      <c r="AD87" s="15" t="n">
        <v>10</v>
      </c>
      <c r="AE87" s="15" t="n">
        <v>10</v>
      </c>
      <c r="AF87" s="15" t="n">
        <v>3</v>
      </c>
      <c r="AG87" s="15" t="n">
        <v>3</v>
      </c>
      <c r="AH87" s="15" t="n">
        <v>3</v>
      </c>
      <c r="AI87" s="15" t="n">
        <v>3</v>
      </c>
      <c r="AJ87" s="15" t="n">
        <v>6</v>
      </c>
      <c r="AK87" s="15" t="n">
        <v>6</v>
      </c>
      <c r="AL87" s="15" t="n">
        <v>0</v>
      </c>
      <c r="AM87" s="15" t="n">
        <v>0</v>
      </c>
      <c r="AN87" s="15" t="n">
        <v>0</v>
      </c>
      <c r="AO87" s="15" t="n">
        <v>0</v>
      </c>
      <c r="AP87" s="15" t="s">
        <v>63</v>
      </c>
      <c r="AQ87" s="15" t="s">
        <v>63</v>
      </c>
      <c r="AR87" s="14"/>
      <c r="AS87" s="9" t="s">
        <v>303</v>
      </c>
      <c r="AT87" s="9" t="s">
        <v>304</v>
      </c>
      <c r="AU87" s="15" t="s">
        <v>691</v>
      </c>
      <c r="AV87" s="15" t="n">
        <v>2414944</v>
      </c>
      <c r="AW87" s="15" t="n">
        <v>9.91004116579702E+017</v>
      </c>
      <c r="AX87" s="15" t="n">
        <v>9.91004116579702E+017</v>
      </c>
      <c r="AY87" s="15" t="n">
        <v>2268100360002650</v>
      </c>
      <c r="AZ87" s="15" t="s">
        <v>77</v>
      </c>
      <c r="BA87" s="14"/>
      <c r="BB87" s="19"/>
      <c r="BC87" s="17" t="n">
        <v>32285000559533</v>
      </c>
      <c r="BD87" s="15" t="n">
        <v>893806667</v>
      </c>
      <c r="BE87" s="6" t="s">
        <v>306</v>
      </c>
    </row>
    <row r="88" customFormat="false" ht="36.5" hidden="false" customHeight="false" outlineLevel="0" collapsed="false">
      <c r="A88" s="4" t="s">
        <v>57</v>
      </c>
      <c r="B88" s="5" t="s">
        <v>692</v>
      </c>
      <c r="C88" s="5" t="s">
        <v>693</v>
      </c>
      <c r="D88" s="5" t="s">
        <v>694</v>
      </c>
      <c r="E88" s="14"/>
      <c r="F88" s="15" t="s">
        <v>63</v>
      </c>
      <c r="G88" s="15" t="n">
        <v>1</v>
      </c>
      <c r="H88" s="15" t="s">
        <v>63</v>
      </c>
      <c r="I88" s="15" t="s">
        <v>63</v>
      </c>
      <c r="J88" s="15" t="n">
        <v>0</v>
      </c>
      <c r="K88" s="5" t="s">
        <v>695</v>
      </c>
      <c r="L88" s="5" t="s">
        <v>696</v>
      </c>
      <c r="M88" s="15" t="n">
        <v>1957</v>
      </c>
      <c r="N88" s="14"/>
      <c r="O88" s="15" t="s">
        <v>67</v>
      </c>
      <c r="P88" s="15" t="s">
        <v>123</v>
      </c>
      <c r="Q88" s="5" t="s">
        <v>697</v>
      </c>
      <c r="R88" s="15" t="s">
        <v>302</v>
      </c>
      <c r="S88" s="15" t="n">
        <v>4</v>
      </c>
      <c r="T88" s="15" t="n">
        <v>4</v>
      </c>
      <c r="U88" s="16" t="n">
        <v>37166</v>
      </c>
      <c r="V88" s="16" t="n">
        <v>37166</v>
      </c>
      <c r="W88" s="16" t="n">
        <v>33366</v>
      </c>
      <c r="X88" s="16" t="n">
        <v>33366</v>
      </c>
      <c r="Y88" s="15" t="n">
        <v>104</v>
      </c>
      <c r="Z88" s="15" t="n">
        <v>96</v>
      </c>
      <c r="AA88" s="15" t="n">
        <v>105</v>
      </c>
      <c r="AB88" s="15" t="n">
        <v>2</v>
      </c>
      <c r="AC88" s="15" t="n">
        <v>2</v>
      </c>
      <c r="AD88" s="15" t="n">
        <v>18</v>
      </c>
      <c r="AE88" s="15" t="n">
        <v>18</v>
      </c>
      <c r="AF88" s="15" t="n">
        <v>3</v>
      </c>
      <c r="AG88" s="15" t="n">
        <v>3</v>
      </c>
      <c r="AH88" s="15" t="n">
        <v>7</v>
      </c>
      <c r="AI88" s="15" t="n">
        <v>7</v>
      </c>
      <c r="AJ88" s="15" t="n">
        <v>15</v>
      </c>
      <c r="AK88" s="15" t="n">
        <v>15</v>
      </c>
      <c r="AL88" s="15" t="n">
        <v>0</v>
      </c>
      <c r="AM88" s="15" t="n">
        <v>0</v>
      </c>
      <c r="AN88" s="15" t="n">
        <v>0</v>
      </c>
      <c r="AO88" s="15" t="n">
        <v>0</v>
      </c>
      <c r="AP88" s="15" t="s">
        <v>63</v>
      </c>
      <c r="AQ88" s="15" t="s">
        <v>63</v>
      </c>
      <c r="AR88" s="9" t="s">
        <v>312</v>
      </c>
      <c r="AS88" s="9" t="s">
        <v>303</v>
      </c>
      <c r="AT88" s="9" t="s">
        <v>304</v>
      </c>
      <c r="AU88" s="15" t="s">
        <v>698</v>
      </c>
      <c r="AV88" s="15" t="n">
        <v>3101386</v>
      </c>
      <c r="AW88" s="15" t="n">
        <v>9.91004345469702E+017</v>
      </c>
      <c r="AX88" s="15" t="n">
        <v>9.91004345469702E+017</v>
      </c>
      <c r="AY88" s="15" t="n">
        <v>2262759230002650</v>
      </c>
      <c r="AZ88" s="15" t="s">
        <v>77</v>
      </c>
      <c r="BA88" s="14"/>
      <c r="BB88" s="19"/>
      <c r="BC88" s="17" t="n">
        <v>32285000559608</v>
      </c>
      <c r="BD88" s="15" t="n">
        <v>893235369</v>
      </c>
      <c r="BE88" s="6" t="s">
        <v>306</v>
      </c>
    </row>
    <row r="89" customFormat="false" ht="36.5" hidden="false" customHeight="false" outlineLevel="0" collapsed="false">
      <c r="A89" s="4" t="s">
        <v>57</v>
      </c>
      <c r="B89" s="5" t="s">
        <v>699</v>
      </c>
      <c r="C89" s="5" t="s">
        <v>700</v>
      </c>
      <c r="D89" s="5" t="s">
        <v>701</v>
      </c>
      <c r="E89" s="14"/>
      <c r="F89" s="15" t="s">
        <v>63</v>
      </c>
      <c r="G89" s="15" t="n">
        <v>1</v>
      </c>
      <c r="H89" s="15" t="s">
        <v>63</v>
      </c>
      <c r="I89" s="15" t="s">
        <v>63</v>
      </c>
      <c r="J89" s="15" t="n">
        <v>0</v>
      </c>
      <c r="K89" s="5" t="s">
        <v>702</v>
      </c>
      <c r="L89" s="5" t="s">
        <v>703</v>
      </c>
      <c r="M89" s="15" t="n">
        <v>1976</v>
      </c>
      <c r="N89" s="14"/>
      <c r="O89" s="15" t="s">
        <v>67</v>
      </c>
      <c r="P89" s="15" t="s">
        <v>401</v>
      </c>
      <c r="Q89" s="14"/>
      <c r="R89" s="15" t="s">
        <v>302</v>
      </c>
      <c r="S89" s="15" t="n">
        <v>7</v>
      </c>
      <c r="T89" s="15" t="n">
        <v>7</v>
      </c>
      <c r="U89" s="16" t="n">
        <v>37179</v>
      </c>
      <c r="V89" s="16" t="n">
        <v>37179</v>
      </c>
      <c r="W89" s="16" t="n">
        <v>33366</v>
      </c>
      <c r="X89" s="16" t="n">
        <v>33366</v>
      </c>
      <c r="Y89" s="15" t="n">
        <v>475</v>
      </c>
      <c r="Z89" s="15" t="n">
        <v>445</v>
      </c>
      <c r="AA89" s="15" t="n">
        <v>447</v>
      </c>
      <c r="AB89" s="15" t="n">
        <v>3</v>
      </c>
      <c r="AC89" s="15" t="n">
        <v>3</v>
      </c>
      <c r="AD89" s="15" t="n">
        <v>22</v>
      </c>
      <c r="AE89" s="15" t="n">
        <v>22</v>
      </c>
      <c r="AF89" s="15" t="n">
        <v>9</v>
      </c>
      <c r="AG89" s="15" t="n">
        <v>9</v>
      </c>
      <c r="AH89" s="15" t="n">
        <v>6</v>
      </c>
      <c r="AI89" s="15" t="n">
        <v>6</v>
      </c>
      <c r="AJ89" s="15" t="n">
        <v>11</v>
      </c>
      <c r="AK89" s="15" t="n">
        <v>11</v>
      </c>
      <c r="AL89" s="15" t="n">
        <v>1</v>
      </c>
      <c r="AM89" s="15" t="n">
        <v>1</v>
      </c>
      <c r="AN89" s="15" t="n">
        <v>0</v>
      </c>
      <c r="AO89" s="15" t="n">
        <v>0</v>
      </c>
      <c r="AP89" s="15" t="s">
        <v>63</v>
      </c>
      <c r="AQ89" s="15" t="s">
        <v>57</v>
      </c>
      <c r="AR89" s="9" t="s">
        <v>312</v>
      </c>
      <c r="AS89" s="9" t="s">
        <v>303</v>
      </c>
      <c r="AT89" s="9" t="s">
        <v>304</v>
      </c>
      <c r="AU89" s="15" t="s">
        <v>704</v>
      </c>
      <c r="AV89" s="15" t="n">
        <v>1958301</v>
      </c>
      <c r="AW89" s="15" t="n">
        <v>9.91003951669702E+017</v>
      </c>
      <c r="AX89" s="15" t="n">
        <v>9.91003951669702E+017</v>
      </c>
      <c r="AY89" s="15" t="n">
        <v>2265561970002650</v>
      </c>
      <c r="AZ89" s="15" t="s">
        <v>77</v>
      </c>
      <c r="BA89" s="14"/>
      <c r="BB89" s="17" t="n">
        <v>9780664247713</v>
      </c>
      <c r="BC89" s="17" t="n">
        <v>32285000559707</v>
      </c>
      <c r="BD89" s="15" t="n">
        <v>893788106</v>
      </c>
      <c r="BE89" s="6" t="s">
        <v>306</v>
      </c>
    </row>
    <row r="90" customFormat="false" ht="48" hidden="false" customHeight="false" outlineLevel="0" collapsed="false">
      <c r="A90" s="4" t="s">
        <v>57</v>
      </c>
      <c r="B90" s="5" t="s">
        <v>705</v>
      </c>
      <c r="C90" s="5" t="s">
        <v>706</v>
      </c>
      <c r="D90" s="5" t="s">
        <v>707</v>
      </c>
      <c r="E90" s="14"/>
      <c r="F90" s="15" t="s">
        <v>63</v>
      </c>
      <c r="G90" s="15" t="n">
        <v>1</v>
      </c>
      <c r="H90" s="15" t="s">
        <v>63</v>
      </c>
      <c r="I90" s="15" t="s">
        <v>63</v>
      </c>
      <c r="J90" s="15" t="n">
        <v>0</v>
      </c>
      <c r="K90" s="5" t="s">
        <v>708</v>
      </c>
      <c r="L90" s="5" t="s">
        <v>414</v>
      </c>
      <c r="M90" s="15" t="n">
        <v>1988</v>
      </c>
      <c r="N90" s="14"/>
      <c r="O90" s="15" t="s">
        <v>67</v>
      </c>
      <c r="P90" s="15" t="s">
        <v>415</v>
      </c>
      <c r="Q90" s="5" t="s">
        <v>709</v>
      </c>
      <c r="R90" s="15" t="s">
        <v>302</v>
      </c>
      <c r="S90" s="15" t="n">
        <v>6</v>
      </c>
      <c r="T90" s="15" t="n">
        <v>6</v>
      </c>
      <c r="U90" s="16" t="n">
        <v>37033</v>
      </c>
      <c r="V90" s="16" t="n">
        <v>37033</v>
      </c>
      <c r="W90" s="16" t="n">
        <v>32849</v>
      </c>
      <c r="X90" s="16" t="n">
        <v>32849</v>
      </c>
      <c r="Y90" s="15" t="n">
        <v>281</v>
      </c>
      <c r="Z90" s="15" t="n">
        <v>208</v>
      </c>
      <c r="AA90" s="15" t="n">
        <v>213</v>
      </c>
      <c r="AB90" s="15" t="n">
        <v>2</v>
      </c>
      <c r="AC90" s="15" t="n">
        <v>2</v>
      </c>
      <c r="AD90" s="15" t="n">
        <v>15</v>
      </c>
      <c r="AE90" s="15" t="n">
        <v>15</v>
      </c>
      <c r="AF90" s="15" t="n">
        <v>4</v>
      </c>
      <c r="AG90" s="15" t="n">
        <v>4</v>
      </c>
      <c r="AH90" s="15" t="n">
        <v>4</v>
      </c>
      <c r="AI90" s="15" t="n">
        <v>4</v>
      </c>
      <c r="AJ90" s="15" t="n">
        <v>8</v>
      </c>
      <c r="AK90" s="15" t="n">
        <v>8</v>
      </c>
      <c r="AL90" s="15" t="n">
        <v>1</v>
      </c>
      <c r="AM90" s="15" t="n">
        <v>1</v>
      </c>
      <c r="AN90" s="15" t="n">
        <v>0</v>
      </c>
      <c r="AO90" s="15" t="n">
        <v>0</v>
      </c>
      <c r="AP90" s="15" t="s">
        <v>63</v>
      </c>
      <c r="AQ90" s="15" t="s">
        <v>63</v>
      </c>
      <c r="AR90" s="14"/>
      <c r="AS90" s="9" t="s">
        <v>303</v>
      </c>
      <c r="AT90" s="9" t="s">
        <v>304</v>
      </c>
      <c r="AU90" s="15" t="s">
        <v>710</v>
      </c>
      <c r="AV90" s="15" t="n">
        <v>17549979</v>
      </c>
      <c r="AW90" s="15" t="n">
        <v>9.91001234799702E+017</v>
      </c>
      <c r="AX90" s="15" t="n">
        <v>9.91001234799702E+017</v>
      </c>
      <c r="AY90" s="15" t="n">
        <v>2270858540002650</v>
      </c>
      <c r="AZ90" s="15" t="s">
        <v>77</v>
      </c>
      <c r="BA90" s="14"/>
      <c r="BB90" s="17" t="n">
        <v>9781555402211</v>
      </c>
      <c r="BC90" s="17" t="n">
        <v>32285000017797</v>
      </c>
      <c r="BD90" s="15" t="n">
        <v>893590133</v>
      </c>
      <c r="BE90" s="6" t="s">
        <v>306</v>
      </c>
    </row>
    <row r="91" customFormat="false" ht="71" hidden="false" customHeight="false" outlineLevel="0" collapsed="false">
      <c r="A91" s="4" t="s">
        <v>57</v>
      </c>
      <c r="B91" s="5" t="s">
        <v>711</v>
      </c>
      <c r="C91" s="5" t="s">
        <v>712</v>
      </c>
      <c r="D91" s="5" t="s">
        <v>713</v>
      </c>
      <c r="E91" s="14"/>
      <c r="F91" s="15" t="s">
        <v>63</v>
      </c>
      <c r="G91" s="15" t="n">
        <v>1</v>
      </c>
      <c r="H91" s="15" t="s">
        <v>63</v>
      </c>
      <c r="I91" s="15" t="s">
        <v>63</v>
      </c>
      <c r="J91" s="15" t="n">
        <v>0</v>
      </c>
      <c r="K91" s="5" t="s">
        <v>714</v>
      </c>
      <c r="L91" s="5" t="s">
        <v>715</v>
      </c>
      <c r="M91" s="15" t="n">
        <v>1996</v>
      </c>
      <c r="N91" s="14"/>
      <c r="O91" s="15" t="s">
        <v>67</v>
      </c>
      <c r="P91" s="15" t="s">
        <v>68</v>
      </c>
      <c r="Q91" s="5" t="s">
        <v>716</v>
      </c>
      <c r="R91" s="15" t="s">
        <v>302</v>
      </c>
      <c r="S91" s="15" t="n">
        <v>4</v>
      </c>
      <c r="T91" s="15" t="n">
        <v>4</v>
      </c>
      <c r="U91" s="16" t="n">
        <v>38320</v>
      </c>
      <c r="V91" s="16" t="n">
        <v>38320</v>
      </c>
      <c r="W91" s="16" t="n">
        <v>35401</v>
      </c>
      <c r="X91" s="16" t="n">
        <v>35401</v>
      </c>
      <c r="Y91" s="15" t="n">
        <v>108</v>
      </c>
      <c r="Z91" s="15" t="n">
        <v>84</v>
      </c>
      <c r="AA91" s="15" t="n">
        <v>84</v>
      </c>
      <c r="AB91" s="15" t="n">
        <v>1</v>
      </c>
      <c r="AC91" s="15" t="n">
        <v>1</v>
      </c>
      <c r="AD91" s="15" t="n">
        <v>6</v>
      </c>
      <c r="AE91" s="15" t="n">
        <v>6</v>
      </c>
      <c r="AF91" s="15" t="n">
        <v>0</v>
      </c>
      <c r="AG91" s="15" t="n">
        <v>0</v>
      </c>
      <c r="AH91" s="15" t="n">
        <v>3</v>
      </c>
      <c r="AI91" s="15" t="n">
        <v>3</v>
      </c>
      <c r="AJ91" s="15" t="n">
        <v>4</v>
      </c>
      <c r="AK91" s="15" t="n">
        <v>4</v>
      </c>
      <c r="AL91" s="15" t="n">
        <v>0</v>
      </c>
      <c r="AM91" s="15" t="n">
        <v>0</v>
      </c>
      <c r="AN91" s="15" t="n">
        <v>0</v>
      </c>
      <c r="AO91" s="15" t="n">
        <v>0</v>
      </c>
      <c r="AP91" s="15" t="s">
        <v>63</v>
      </c>
      <c r="AQ91" s="15" t="s">
        <v>63</v>
      </c>
      <c r="AR91" s="14"/>
      <c r="AS91" s="9" t="s">
        <v>303</v>
      </c>
      <c r="AT91" s="9" t="s">
        <v>304</v>
      </c>
      <c r="AU91" s="15" t="s">
        <v>717</v>
      </c>
      <c r="AV91" s="15" t="n">
        <v>33443684</v>
      </c>
      <c r="AW91" s="15" t="n">
        <v>9.91002574559702E+017</v>
      </c>
      <c r="AX91" s="15" t="n">
        <v>9.91002574559702E+017</v>
      </c>
      <c r="AY91" s="15" t="n">
        <v>2268284990002650</v>
      </c>
      <c r="AZ91" s="15" t="s">
        <v>77</v>
      </c>
      <c r="BA91" s="14"/>
      <c r="BB91" s="17" t="n">
        <v>9780820424743</v>
      </c>
      <c r="BC91" s="17" t="n">
        <v>32285002387073</v>
      </c>
      <c r="BD91" s="15" t="n">
        <v>893597621</v>
      </c>
      <c r="BE91" s="6" t="s">
        <v>306</v>
      </c>
    </row>
    <row r="92" customFormat="false" ht="48" hidden="false" customHeight="false" outlineLevel="0" collapsed="false">
      <c r="A92" s="4" t="s">
        <v>57</v>
      </c>
      <c r="B92" s="5" t="s">
        <v>718</v>
      </c>
      <c r="C92" s="5" t="s">
        <v>719</v>
      </c>
      <c r="D92" s="5" t="s">
        <v>720</v>
      </c>
      <c r="E92" s="14"/>
      <c r="F92" s="15" t="s">
        <v>63</v>
      </c>
      <c r="G92" s="15" t="n">
        <v>1</v>
      </c>
      <c r="H92" s="15" t="s">
        <v>63</v>
      </c>
      <c r="I92" s="15" t="s">
        <v>63</v>
      </c>
      <c r="J92" s="15" t="n">
        <v>0</v>
      </c>
      <c r="K92" s="5" t="s">
        <v>721</v>
      </c>
      <c r="L92" s="5" t="s">
        <v>722</v>
      </c>
      <c r="M92" s="15" t="n">
        <v>1975</v>
      </c>
      <c r="N92" s="14"/>
      <c r="O92" s="15" t="s">
        <v>67</v>
      </c>
      <c r="P92" s="15" t="s">
        <v>401</v>
      </c>
      <c r="Q92" s="5" t="s">
        <v>723</v>
      </c>
      <c r="R92" s="15" t="s">
        <v>302</v>
      </c>
      <c r="S92" s="15" t="n">
        <v>7</v>
      </c>
      <c r="T92" s="15" t="n">
        <v>7</v>
      </c>
      <c r="U92" s="16" t="n">
        <v>37221</v>
      </c>
      <c r="V92" s="16" t="n">
        <v>37221</v>
      </c>
      <c r="W92" s="16" t="n">
        <v>33366</v>
      </c>
      <c r="X92" s="16" t="n">
        <v>33366</v>
      </c>
      <c r="Y92" s="15" t="n">
        <v>301</v>
      </c>
      <c r="Z92" s="15" t="n">
        <v>219</v>
      </c>
      <c r="AA92" s="15" t="n">
        <v>223</v>
      </c>
      <c r="AB92" s="15" t="n">
        <v>2</v>
      </c>
      <c r="AC92" s="15" t="n">
        <v>2</v>
      </c>
      <c r="AD92" s="15" t="n">
        <v>12</v>
      </c>
      <c r="AE92" s="15" t="n">
        <v>12</v>
      </c>
      <c r="AF92" s="15" t="n">
        <v>3</v>
      </c>
      <c r="AG92" s="15" t="n">
        <v>3</v>
      </c>
      <c r="AH92" s="15" t="n">
        <v>5</v>
      </c>
      <c r="AI92" s="15" t="n">
        <v>5</v>
      </c>
      <c r="AJ92" s="15" t="n">
        <v>7</v>
      </c>
      <c r="AK92" s="15" t="n">
        <v>7</v>
      </c>
      <c r="AL92" s="15" t="n">
        <v>1</v>
      </c>
      <c r="AM92" s="15" t="n">
        <v>1</v>
      </c>
      <c r="AN92" s="15" t="n">
        <v>0</v>
      </c>
      <c r="AO92" s="15" t="n">
        <v>0</v>
      </c>
      <c r="AP92" s="15" t="s">
        <v>63</v>
      </c>
      <c r="AQ92" s="15" t="s">
        <v>57</v>
      </c>
      <c r="AR92" s="9" t="s">
        <v>312</v>
      </c>
      <c r="AS92" s="9" t="s">
        <v>303</v>
      </c>
      <c r="AT92" s="9" t="s">
        <v>304</v>
      </c>
      <c r="AU92" s="15" t="s">
        <v>724</v>
      </c>
      <c r="AV92" s="15" t="n">
        <v>1959556</v>
      </c>
      <c r="AW92" s="15" t="n">
        <v>9.91003953399702E+017</v>
      </c>
      <c r="AX92" s="15" t="n">
        <v>9.91003953399702E+017</v>
      </c>
      <c r="AY92" s="15" t="n">
        <v>2266105970002650</v>
      </c>
      <c r="AZ92" s="15" t="s">
        <v>77</v>
      </c>
      <c r="BA92" s="14"/>
      <c r="BB92" s="17" t="n">
        <v>9780915138104</v>
      </c>
      <c r="BC92" s="17" t="n">
        <v>32285000559772</v>
      </c>
      <c r="BD92" s="15" t="n">
        <v>893718277</v>
      </c>
      <c r="BE92" s="6" t="s">
        <v>306</v>
      </c>
    </row>
    <row r="93" customFormat="false" ht="48" hidden="false" customHeight="false" outlineLevel="0" collapsed="false">
      <c r="A93" s="4" t="s">
        <v>57</v>
      </c>
      <c r="B93" s="5" t="s">
        <v>725</v>
      </c>
      <c r="C93" s="5" t="s">
        <v>726</v>
      </c>
      <c r="D93" s="5" t="s">
        <v>727</v>
      </c>
      <c r="E93" s="14"/>
      <c r="F93" s="15" t="s">
        <v>63</v>
      </c>
      <c r="G93" s="15" t="n">
        <v>1</v>
      </c>
      <c r="H93" s="15" t="s">
        <v>63</v>
      </c>
      <c r="I93" s="15" t="s">
        <v>63</v>
      </c>
      <c r="J93" s="15" t="n">
        <v>0</v>
      </c>
      <c r="K93" s="5" t="s">
        <v>728</v>
      </c>
      <c r="L93" s="5" t="s">
        <v>729</v>
      </c>
      <c r="M93" s="15" t="n">
        <v>1971</v>
      </c>
      <c r="N93" s="14"/>
      <c r="O93" s="15" t="s">
        <v>67</v>
      </c>
      <c r="P93" s="15" t="s">
        <v>68</v>
      </c>
      <c r="Q93" s="14"/>
      <c r="R93" s="15" t="s">
        <v>302</v>
      </c>
      <c r="S93" s="15" t="n">
        <v>7</v>
      </c>
      <c r="T93" s="15" t="n">
        <v>7</v>
      </c>
      <c r="U93" s="16" t="n">
        <v>38298</v>
      </c>
      <c r="V93" s="16" t="n">
        <v>38298</v>
      </c>
      <c r="W93" s="16" t="n">
        <v>33366</v>
      </c>
      <c r="X93" s="16" t="n">
        <v>33366</v>
      </c>
      <c r="Y93" s="15" t="n">
        <v>237</v>
      </c>
      <c r="Z93" s="15" t="n">
        <v>206</v>
      </c>
      <c r="AA93" s="15" t="n">
        <v>206</v>
      </c>
      <c r="AB93" s="15" t="n">
        <v>4</v>
      </c>
      <c r="AC93" s="15" t="n">
        <v>4</v>
      </c>
      <c r="AD93" s="15" t="n">
        <v>26</v>
      </c>
      <c r="AE93" s="15" t="n">
        <v>26</v>
      </c>
      <c r="AF93" s="15" t="n">
        <v>7</v>
      </c>
      <c r="AG93" s="15" t="n">
        <v>7</v>
      </c>
      <c r="AH93" s="15" t="n">
        <v>7</v>
      </c>
      <c r="AI93" s="15" t="n">
        <v>7</v>
      </c>
      <c r="AJ93" s="15" t="n">
        <v>16</v>
      </c>
      <c r="AK93" s="15" t="n">
        <v>16</v>
      </c>
      <c r="AL93" s="15" t="n">
        <v>3</v>
      </c>
      <c r="AM93" s="15" t="n">
        <v>3</v>
      </c>
      <c r="AN93" s="15" t="n">
        <v>0</v>
      </c>
      <c r="AO93" s="15" t="n">
        <v>0</v>
      </c>
      <c r="AP93" s="15" t="s">
        <v>63</v>
      </c>
      <c r="AQ93" s="15" t="s">
        <v>63</v>
      </c>
      <c r="AR93" s="14"/>
      <c r="AS93" s="9" t="s">
        <v>303</v>
      </c>
      <c r="AT93" s="9" t="s">
        <v>304</v>
      </c>
      <c r="AU93" s="15" t="s">
        <v>730</v>
      </c>
      <c r="AV93" s="15" t="n">
        <v>142958</v>
      </c>
      <c r="AW93" s="15" t="n">
        <v>9.91000816929702E+017</v>
      </c>
      <c r="AX93" s="15" t="n">
        <v>9.91000816929702E+017</v>
      </c>
      <c r="AY93" s="15" t="n">
        <v>2254791670002650</v>
      </c>
      <c r="AZ93" s="15" t="s">
        <v>77</v>
      </c>
      <c r="BA93" s="14"/>
      <c r="BB93" s="19"/>
      <c r="BC93" s="17" t="n">
        <v>32285000559822</v>
      </c>
      <c r="BD93" s="15" t="n">
        <v>893528412</v>
      </c>
      <c r="BE93" s="6" t="s">
        <v>306</v>
      </c>
    </row>
    <row r="94" customFormat="false" ht="48" hidden="false" customHeight="false" outlineLevel="0" collapsed="false">
      <c r="A94" s="4" t="s">
        <v>57</v>
      </c>
      <c r="B94" s="5" t="s">
        <v>731</v>
      </c>
      <c r="C94" s="5" t="s">
        <v>732</v>
      </c>
      <c r="D94" s="5" t="s">
        <v>733</v>
      </c>
      <c r="E94" s="14"/>
      <c r="F94" s="15" t="s">
        <v>63</v>
      </c>
      <c r="G94" s="15" t="n">
        <v>1</v>
      </c>
      <c r="H94" s="15" t="s">
        <v>63</v>
      </c>
      <c r="I94" s="15" t="s">
        <v>63</v>
      </c>
      <c r="J94" s="15" t="n">
        <v>0</v>
      </c>
      <c r="K94" s="5" t="s">
        <v>734</v>
      </c>
      <c r="L94" s="5" t="s">
        <v>735</v>
      </c>
      <c r="M94" s="15" t="n">
        <v>1969</v>
      </c>
      <c r="N94" s="14"/>
      <c r="O94" s="15" t="s">
        <v>67</v>
      </c>
      <c r="P94" s="15" t="s">
        <v>384</v>
      </c>
      <c r="Q94" s="14"/>
      <c r="R94" s="15" t="s">
        <v>302</v>
      </c>
      <c r="S94" s="15" t="n">
        <v>2</v>
      </c>
      <c r="T94" s="15" t="n">
        <v>2</v>
      </c>
      <c r="U94" s="16" t="n">
        <v>37192</v>
      </c>
      <c r="V94" s="16" t="n">
        <v>37192</v>
      </c>
      <c r="W94" s="16" t="n">
        <v>33366</v>
      </c>
      <c r="X94" s="16" t="n">
        <v>33366</v>
      </c>
      <c r="Y94" s="15" t="n">
        <v>215</v>
      </c>
      <c r="Z94" s="15" t="n">
        <v>129</v>
      </c>
      <c r="AA94" s="15" t="n">
        <v>226</v>
      </c>
      <c r="AB94" s="15" t="n">
        <v>1</v>
      </c>
      <c r="AC94" s="15" t="n">
        <v>2</v>
      </c>
      <c r="AD94" s="15" t="n">
        <v>12</v>
      </c>
      <c r="AE94" s="15" t="n">
        <v>21</v>
      </c>
      <c r="AF94" s="15" t="n">
        <v>4</v>
      </c>
      <c r="AG94" s="15" t="n">
        <v>7</v>
      </c>
      <c r="AH94" s="15" t="n">
        <v>4</v>
      </c>
      <c r="AI94" s="15" t="n">
        <v>5</v>
      </c>
      <c r="AJ94" s="15" t="n">
        <v>10</v>
      </c>
      <c r="AK94" s="15" t="n">
        <v>15</v>
      </c>
      <c r="AL94" s="15" t="n">
        <v>0</v>
      </c>
      <c r="AM94" s="15" t="n">
        <v>1</v>
      </c>
      <c r="AN94" s="15" t="n">
        <v>0</v>
      </c>
      <c r="AO94" s="15" t="n">
        <v>0</v>
      </c>
      <c r="AP94" s="15" t="s">
        <v>63</v>
      </c>
      <c r="AQ94" s="15" t="s">
        <v>63</v>
      </c>
      <c r="AR94" s="14"/>
      <c r="AS94" s="9" t="s">
        <v>303</v>
      </c>
      <c r="AT94" s="9" t="s">
        <v>304</v>
      </c>
      <c r="AU94" s="15" t="s">
        <v>736</v>
      </c>
      <c r="AV94" s="15" t="n">
        <v>21570</v>
      </c>
      <c r="AW94" s="15" t="n">
        <v>9.91000039829702E+017</v>
      </c>
      <c r="AX94" s="15" t="n">
        <v>9.91000039829702E+017</v>
      </c>
      <c r="AY94" s="15" t="n">
        <v>2261486540002650</v>
      </c>
      <c r="AZ94" s="15" t="s">
        <v>77</v>
      </c>
      <c r="BA94" s="14"/>
      <c r="BB94" s="17" t="n">
        <v>9780631113300</v>
      </c>
      <c r="BC94" s="17" t="n">
        <v>32285000559830</v>
      </c>
      <c r="BD94" s="15" t="n">
        <v>893508445</v>
      </c>
      <c r="BE94" s="6" t="s">
        <v>306</v>
      </c>
    </row>
    <row r="95" customFormat="false" ht="48" hidden="false" customHeight="false" outlineLevel="0" collapsed="false">
      <c r="A95" s="4" t="s">
        <v>57</v>
      </c>
      <c r="B95" s="5" t="s">
        <v>737</v>
      </c>
      <c r="C95" s="5" t="s">
        <v>738</v>
      </c>
      <c r="D95" s="5" t="s">
        <v>739</v>
      </c>
      <c r="E95" s="14"/>
      <c r="F95" s="15" t="s">
        <v>63</v>
      </c>
      <c r="G95" s="15" t="n">
        <v>1</v>
      </c>
      <c r="H95" s="15" t="s">
        <v>63</v>
      </c>
      <c r="I95" s="15" t="s">
        <v>63</v>
      </c>
      <c r="J95" s="15" t="n">
        <v>0</v>
      </c>
      <c r="K95" s="5" t="s">
        <v>740</v>
      </c>
      <c r="L95" s="5" t="s">
        <v>741</v>
      </c>
      <c r="M95" s="15" t="n">
        <v>1996</v>
      </c>
      <c r="N95" s="14"/>
      <c r="O95" s="15" t="s">
        <v>67</v>
      </c>
      <c r="P95" s="15" t="s">
        <v>68</v>
      </c>
      <c r="Q95" s="14"/>
      <c r="R95" s="15" t="s">
        <v>302</v>
      </c>
      <c r="S95" s="15" t="n">
        <v>4</v>
      </c>
      <c r="T95" s="15" t="n">
        <v>4</v>
      </c>
      <c r="U95" s="16" t="n">
        <v>38324</v>
      </c>
      <c r="V95" s="16" t="n">
        <v>38324</v>
      </c>
      <c r="W95" s="16" t="n">
        <v>35418</v>
      </c>
      <c r="X95" s="16" t="n">
        <v>35418</v>
      </c>
      <c r="Y95" s="15" t="n">
        <v>331</v>
      </c>
      <c r="Z95" s="15" t="n">
        <v>277</v>
      </c>
      <c r="AA95" s="15" t="n">
        <v>460</v>
      </c>
      <c r="AB95" s="15" t="n">
        <v>4</v>
      </c>
      <c r="AC95" s="15" t="n">
        <v>4</v>
      </c>
      <c r="AD95" s="15" t="n">
        <v>22</v>
      </c>
      <c r="AE95" s="15" t="n">
        <v>29</v>
      </c>
      <c r="AF95" s="15" t="n">
        <v>6</v>
      </c>
      <c r="AG95" s="15" t="n">
        <v>11</v>
      </c>
      <c r="AH95" s="15" t="n">
        <v>6</v>
      </c>
      <c r="AI95" s="15" t="n">
        <v>8</v>
      </c>
      <c r="AJ95" s="15" t="n">
        <v>13</v>
      </c>
      <c r="AK95" s="15" t="n">
        <v>16</v>
      </c>
      <c r="AL95" s="15" t="n">
        <v>3</v>
      </c>
      <c r="AM95" s="15" t="n">
        <v>3</v>
      </c>
      <c r="AN95" s="15" t="n">
        <v>0</v>
      </c>
      <c r="AO95" s="15" t="n">
        <v>0</v>
      </c>
      <c r="AP95" s="15" t="s">
        <v>63</v>
      </c>
      <c r="AQ95" s="15" t="s">
        <v>57</v>
      </c>
      <c r="AR95" s="9" t="s">
        <v>312</v>
      </c>
      <c r="AS95" s="9" t="s">
        <v>303</v>
      </c>
      <c r="AT95" s="9" t="s">
        <v>304</v>
      </c>
      <c r="AU95" s="15" t="s">
        <v>742</v>
      </c>
      <c r="AV95" s="15" t="n">
        <v>34244461</v>
      </c>
      <c r="AW95" s="15" t="n">
        <v>9.91002612749702E+017</v>
      </c>
      <c r="AX95" s="15" t="n">
        <v>9.91002612749702E+017</v>
      </c>
      <c r="AY95" s="15" t="n">
        <v>2272099540002650</v>
      </c>
      <c r="AZ95" s="15" t="s">
        <v>77</v>
      </c>
      <c r="BA95" s="14"/>
      <c r="BB95" s="17" t="n">
        <v>9780801432613</v>
      </c>
      <c r="BC95" s="17" t="n">
        <v>32285002400587</v>
      </c>
      <c r="BD95" s="15" t="n">
        <v>893627213</v>
      </c>
      <c r="BE95" s="6" t="s">
        <v>306</v>
      </c>
    </row>
    <row r="96" customFormat="false" ht="36.5" hidden="false" customHeight="false" outlineLevel="0" collapsed="false">
      <c r="A96" s="4" t="s">
        <v>57</v>
      </c>
      <c r="B96" s="5" t="s">
        <v>743</v>
      </c>
      <c r="C96" s="5" t="s">
        <v>744</v>
      </c>
      <c r="D96" s="5" t="s">
        <v>745</v>
      </c>
      <c r="E96" s="14"/>
      <c r="F96" s="15" t="s">
        <v>63</v>
      </c>
      <c r="G96" s="15" t="n">
        <v>1</v>
      </c>
      <c r="H96" s="15" t="s">
        <v>63</v>
      </c>
      <c r="I96" s="15" t="s">
        <v>63</v>
      </c>
      <c r="J96" s="15" t="n">
        <v>0</v>
      </c>
      <c r="K96" s="5" t="s">
        <v>746</v>
      </c>
      <c r="L96" s="5" t="s">
        <v>747</v>
      </c>
      <c r="M96" s="15" t="n">
        <v>1990</v>
      </c>
      <c r="N96" s="14"/>
      <c r="O96" s="15" t="s">
        <v>67</v>
      </c>
      <c r="P96" s="15" t="s">
        <v>748</v>
      </c>
      <c r="Q96" s="5" t="s">
        <v>749</v>
      </c>
      <c r="R96" s="15" t="s">
        <v>302</v>
      </c>
      <c r="S96" s="15" t="n">
        <v>8</v>
      </c>
      <c r="T96" s="15" t="n">
        <v>8</v>
      </c>
      <c r="U96" s="16" t="n">
        <v>38324</v>
      </c>
      <c r="V96" s="16" t="n">
        <v>38324</v>
      </c>
      <c r="W96" s="16" t="n">
        <v>33323</v>
      </c>
      <c r="X96" s="16" t="n">
        <v>33323</v>
      </c>
      <c r="Y96" s="15" t="n">
        <v>314</v>
      </c>
      <c r="Z96" s="15" t="n">
        <v>230</v>
      </c>
      <c r="AA96" s="15" t="n">
        <v>270</v>
      </c>
      <c r="AB96" s="15" t="n">
        <v>2</v>
      </c>
      <c r="AC96" s="15" t="n">
        <v>3</v>
      </c>
      <c r="AD96" s="15" t="n">
        <v>18</v>
      </c>
      <c r="AE96" s="15" t="n">
        <v>21</v>
      </c>
      <c r="AF96" s="15" t="n">
        <v>9</v>
      </c>
      <c r="AG96" s="15" t="n">
        <v>9</v>
      </c>
      <c r="AH96" s="15" t="n">
        <v>3</v>
      </c>
      <c r="AI96" s="15" t="n">
        <v>4</v>
      </c>
      <c r="AJ96" s="15" t="n">
        <v>10</v>
      </c>
      <c r="AK96" s="15" t="n">
        <v>12</v>
      </c>
      <c r="AL96" s="15" t="n">
        <v>1</v>
      </c>
      <c r="AM96" s="15" t="n">
        <v>2</v>
      </c>
      <c r="AN96" s="15" t="n">
        <v>0</v>
      </c>
      <c r="AO96" s="15" t="n">
        <v>0</v>
      </c>
      <c r="AP96" s="15" t="s">
        <v>63</v>
      </c>
      <c r="AQ96" s="15" t="s">
        <v>57</v>
      </c>
      <c r="AR96" s="9" t="s">
        <v>312</v>
      </c>
      <c r="AS96" s="9" t="s">
        <v>303</v>
      </c>
      <c r="AT96" s="9" t="s">
        <v>304</v>
      </c>
      <c r="AU96" s="15" t="s">
        <v>750</v>
      </c>
      <c r="AV96" s="15" t="n">
        <v>23183211</v>
      </c>
      <c r="AW96" s="15" t="n">
        <v>9.91001847879702E+017</v>
      </c>
      <c r="AX96" s="15" t="n">
        <v>9.91001847879702E+017</v>
      </c>
      <c r="AY96" s="15" t="n">
        <v>2261106670002650</v>
      </c>
      <c r="AZ96" s="15" t="s">
        <v>77</v>
      </c>
      <c r="BA96" s="14"/>
      <c r="BB96" s="17" t="n">
        <v>9789068312096</v>
      </c>
      <c r="BC96" s="17" t="n">
        <v>32285000513621</v>
      </c>
      <c r="BD96" s="15" t="n">
        <v>893703377</v>
      </c>
      <c r="BE96" s="6" t="s">
        <v>306</v>
      </c>
    </row>
    <row r="97" customFormat="false" ht="36.5" hidden="false" customHeight="false" outlineLevel="0" collapsed="false">
      <c r="A97" s="4" t="s">
        <v>57</v>
      </c>
      <c r="B97" s="5" t="s">
        <v>751</v>
      </c>
      <c r="C97" s="5" t="s">
        <v>752</v>
      </c>
      <c r="D97" s="5" t="s">
        <v>753</v>
      </c>
      <c r="E97" s="14"/>
      <c r="F97" s="15" t="s">
        <v>63</v>
      </c>
      <c r="G97" s="15" t="n">
        <v>1</v>
      </c>
      <c r="H97" s="15" t="s">
        <v>63</v>
      </c>
      <c r="I97" s="15" t="s">
        <v>63</v>
      </c>
      <c r="J97" s="15" t="n">
        <v>0</v>
      </c>
      <c r="K97" s="5" t="s">
        <v>754</v>
      </c>
      <c r="L97" s="5" t="s">
        <v>755</v>
      </c>
      <c r="M97" s="15" t="n">
        <v>1987</v>
      </c>
      <c r="N97" s="14"/>
      <c r="O97" s="15" t="s">
        <v>67</v>
      </c>
      <c r="P97" s="15" t="s">
        <v>401</v>
      </c>
      <c r="Q97" s="14"/>
      <c r="R97" s="15" t="s">
        <v>302</v>
      </c>
      <c r="S97" s="15" t="n">
        <v>7</v>
      </c>
      <c r="T97" s="15" t="n">
        <v>7</v>
      </c>
      <c r="U97" s="16" t="n">
        <v>39629</v>
      </c>
      <c r="V97" s="16" t="n">
        <v>39629</v>
      </c>
      <c r="W97" s="16" t="n">
        <v>32986</v>
      </c>
      <c r="X97" s="16" t="n">
        <v>32986</v>
      </c>
      <c r="Y97" s="15" t="n">
        <v>246</v>
      </c>
      <c r="Z97" s="15" t="n">
        <v>204</v>
      </c>
      <c r="AA97" s="15" t="n">
        <v>293</v>
      </c>
      <c r="AB97" s="15" t="n">
        <v>1</v>
      </c>
      <c r="AC97" s="15" t="n">
        <v>1</v>
      </c>
      <c r="AD97" s="15" t="n">
        <v>10</v>
      </c>
      <c r="AE97" s="15" t="n">
        <v>21</v>
      </c>
      <c r="AF97" s="15" t="n">
        <v>5</v>
      </c>
      <c r="AG97" s="15" t="n">
        <v>11</v>
      </c>
      <c r="AH97" s="15" t="n">
        <v>0</v>
      </c>
      <c r="AI97" s="15" t="n">
        <v>3</v>
      </c>
      <c r="AJ97" s="15" t="n">
        <v>6</v>
      </c>
      <c r="AK97" s="15" t="n">
        <v>14</v>
      </c>
      <c r="AL97" s="15" t="n">
        <v>0</v>
      </c>
      <c r="AM97" s="15" t="n">
        <v>0</v>
      </c>
      <c r="AN97" s="15" t="n">
        <v>0</v>
      </c>
      <c r="AO97" s="15" t="n">
        <v>0</v>
      </c>
      <c r="AP97" s="15" t="s">
        <v>63</v>
      </c>
      <c r="AQ97" s="15" t="s">
        <v>57</v>
      </c>
      <c r="AR97" s="9" t="s">
        <v>312</v>
      </c>
      <c r="AS97" s="9" t="s">
        <v>303</v>
      </c>
      <c r="AT97" s="9" t="s">
        <v>304</v>
      </c>
      <c r="AU97" s="15" t="s">
        <v>756</v>
      </c>
      <c r="AV97" s="15" t="n">
        <v>15084048</v>
      </c>
      <c r="AW97" s="15" t="n">
        <v>9.91000987999702E+017</v>
      </c>
      <c r="AX97" s="15" t="n">
        <v>9.91000987999702E+017</v>
      </c>
      <c r="AY97" s="15" t="n">
        <v>2254720290002650</v>
      </c>
      <c r="AZ97" s="15" t="s">
        <v>77</v>
      </c>
      <c r="BA97" s="14"/>
      <c r="BB97" s="17" t="n">
        <v>9780800619497</v>
      </c>
      <c r="BC97" s="17" t="n">
        <v>32285000130657</v>
      </c>
      <c r="BD97" s="15" t="n">
        <v>893426231</v>
      </c>
      <c r="BE97" s="6" t="s">
        <v>306</v>
      </c>
    </row>
    <row r="98" customFormat="false" ht="48" hidden="false" customHeight="false" outlineLevel="0" collapsed="false">
      <c r="A98" s="4" t="s">
        <v>57</v>
      </c>
      <c r="B98" s="5" t="s">
        <v>757</v>
      </c>
      <c r="C98" s="5" t="s">
        <v>758</v>
      </c>
      <c r="D98" s="5" t="s">
        <v>759</v>
      </c>
      <c r="E98" s="14"/>
      <c r="F98" s="15" t="s">
        <v>63</v>
      </c>
      <c r="G98" s="15" t="n">
        <v>1</v>
      </c>
      <c r="H98" s="15" t="s">
        <v>63</v>
      </c>
      <c r="I98" s="15" t="s">
        <v>63</v>
      </c>
      <c r="J98" s="15" t="n">
        <v>0</v>
      </c>
      <c r="K98" s="5" t="s">
        <v>760</v>
      </c>
      <c r="L98" s="5" t="s">
        <v>761</v>
      </c>
      <c r="M98" s="15" t="n">
        <v>1965</v>
      </c>
      <c r="N98" s="14"/>
      <c r="O98" s="15" t="s">
        <v>67</v>
      </c>
      <c r="P98" s="15" t="s">
        <v>367</v>
      </c>
      <c r="Q98" s="5" t="s">
        <v>762</v>
      </c>
      <c r="R98" s="15" t="s">
        <v>302</v>
      </c>
      <c r="S98" s="15" t="n">
        <v>5</v>
      </c>
      <c r="T98" s="15" t="n">
        <v>5</v>
      </c>
      <c r="U98" s="16" t="n">
        <v>40403</v>
      </c>
      <c r="V98" s="16" t="n">
        <v>40403</v>
      </c>
      <c r="W98" s="16" t="n">
        <v>33366</v>
      </c>
      <c r="X98" s="16" t="n">
        <v>33366</v>
      </c>
      <c r="Y98" s="15" t="n">
        <v>378</v>
      </c>
      <c r="Z98" s="15" t="n">
        <v>274</v>
      </c>
      <c r="AA98" s="15" t="n">
        <v>292</v>
      </c>
      <c r="AB98" s="15" t="n">
        <v>1</v>
      </c>
      <c r="AC98" s="15" t="n">
        <v>1</v>
      </c>
      <c r="AD98" s="15" t="n">
        <v>23</v>
      </c>
      <c r="AE98" s="15" t="n">
        <v>24</v>
      </c>
      <c r="AF98" s="15" t="n">
        <v>5</v>
      </c>
      <c r="AG98" s="15" t="n">
        <v>6</v>
      </c>
      <c r="AH98" s="15" t="n">
        <v>6</v>
      </c>
      <c r="AI98" s="15" t="n">
        <v>7</v>
      </c>
      <c r="AJ98" s="15" t="n">
        <v>15</v>
      </c>
      <c r="AK98" s="15" t="n">
        <v>15</v>
      </c>
      <c r="AL98" s="15" t="n">
        <v>0</v>
      </c>
      <c r="AM98" s="15" t="n">
        <v>0</v>
      </c>
      <c r="AN98" s="15" t="n">
        <v>0</v>
      </c>
      <c r="AO98" s="15" t="n">
        <v>0</v>
      </c>
      <c r="AP98" s="15" t="s">
        <v>63</v>
      </c>
      <c r="AQ98" s="15" t="s">
        <v>63</v>
      </c>
      <c r="AR98" s="14"/>
      <c r="AS98" s="9" t="s">
        <v>303</v>
      </c>
      <c r="AT98" s="9" t="s">
        <v>304</v>
      </c>
      <c r="AU98" s="15" t="s">
        <v>763</v>
      </c>
      <c r="AV98" s="15" t="n">
        <v>384177</v>
      </c>
      <c r="AW98" s="15" t="n">
        <v>9.91002640609702E+017</v>
      </c>
      <c r="AX98" s="15" t="n">
        <v>9.91002640609702E+017</v>
      </c>
      <c r="AY98" s="15" t="n">
        <v>2256346380002650</v>
      </c>
      <c r="AZ98" s="15" t="s">
        <v>77</v>
      </c>
      <c r="BA98" s="14"/>
      <c r="BB98" s="19"/>
      <c r="BC98" s="17" t="n">
        <v>32285000559913</v>
      </c>
      <c r="BD98" s="15" t="n">
        <v>893409360</v>
      </c>
      <c r="BE98" s="6" t="s">
        <v>306</v>
      </c>
    </row>
    <row r="99" customFormat="false" ht="36.5" hidden="false" customHeight="false" outlineLevel="0" collapsed="false">
      <c r="A99" s="4" t="s">
        <v>57</v>
      </c>
      <c r="B99" s="5" t="s">
        <v>764</v>
      </c>
      <c r="C99" s="5" t="s">
        <v>765</v>
      </c>
      <c r="D99" s="5" t="s">
        <v>766</v>
      </c>
      <c r="E99" s="14"/>
      <c r="F99" s="15" t="s">
        <v>63</v>
      </c>
      <c r="G99" s="15" t="n">
        <v>1</v>
      </c>
      <c r="H99" s="15" t="s">
        <v>63</v>
      </c>
      <c r="I99" s="15" t="s">
        <v>63</v>
      </c>
      <c r="J99" s="15" t="n">
        <v>0</v>
      </c>
      <c r="K99" s="5" t="s">
        <v>767</v>
      </c>
      <c r="L99" s="5" t="s">
        <v>768</v>
      </c>
      <c r="M99" s="15" t="n">
        <v>1972</v>
      </c>
      <c r="N99" s="14"/>
      <c r="O99" s="15" t="s">
        <v>67</v>
      </c>
      <c r="P99" s="15" t="s">
        <v>68</v>
      </c>
      <c r="Q99" s="14"/>
      <c r="R99" s="15" t="s">
        <v>302</v>
      </c>
      <c r="S99" s="15" t="n">
        <v>6</v>
      </c>
      <c r="T99" s="15" t="n">
        <v>6</v>
      </c>
      <c r="U99" s="16" t="n">
        <v>39385</v>
      </c>
      <c r="V99" s="16" t="n">
        <v>39385</v>
      </c>
      <c r="W99" s="16" t="n">
        <v>33366</v>
      </c>
      <c r="X99" s="16" t="n">
        <v>33366</v>
      </c>
      <c r="Y99" s="15" t="n">
        <v>489</v>
      </c>
      <c r="Z99" s="15" t="n">
        <v>425</v>
      </c>
      <c r="AA99" s="15" t="n">
        <v>426</v>
      </c>
      <c r="AB99" s="15" t="n">
        <v>2</v>
      </c>
      <c r="AC99" s="15" t="n">
        <v>2</v>
      </c>
      <c r="AD99" s="15" t="n">
        <v>27</v>
      </c>
      <c r="AE99" s="15" t="n">
        <v>27</v>
      </c>
      <c r="AF99" s="15" t="n">
        <v>8</v>
      </c>
      <c r="AG99" s="15" t="n">
        <v>8</v>
      </c>
      <c r="AH99" s="15" t="n">
        <v>7</v>
      </c>
      <c r="AI99" s="15" t="n">
        <v>7</v>
      </c>
      <c r="AJ99" s="15" t="n">
        <v>19</v>
      </c>
      <c r="AK99" s="15" t="n">
        <v>19</v>
      </c>
      <c r="AL99" s="15" t="n">
        <v>1</v>
      </c>
      <c r="AM99" s="15" t="n">
        <v>1</v>
      </c>
      <c r="AN99" s="15" t="n">
        <v>0</v>
      </c>
      <c r="AO99" s="15" t="n">
        <v>0</v>
      </c>
      <c r="AP99" s="15" t="s">
        <v>63</v>
      </c>
      <c r="AQ99" s="15" t="s">
        <v>63</v>
      </c>
      <c r="AR99" s="14"/>
      <c r="AS99" s="9" t="s">
        <v>303</v>
      </c>
      <c r="AT99" s="9" t="s">
        <v>304</v>
      </c>
      <c r="AU99" s="15" t="s">
        <v>769</v>
      </c>
      <c r="AV99" s="15" t="n">
        <v>508327</v>
      </c>
      <c r="AW99" s="15" t="n">
        <v>9.91002885899702E+017</v>
      </c>
      <c r="AX99" s="15" t="n">
        <v>9.91002885899702E+017</v>
      </c>
      <c r="AY99" s="15" t="n">
        <v>2261026970002650</v>
      </c>
      <c r="AZ99" s="15" t="s">
        <v>77</v>
      </c>
      <c r="BA99" s="14"/>
      <c r="BB99" s="17" t="n">
        <v>9780816402410</v>
      </c>
      <c r="BC99" s="17" t="n">
        <v>32285000559962</v>
      </c>
      <c r="BD99" s="15" t="n">
        <v>893710797</v>
      </c>
      <c r="BE99" s="6" t="s">
        <v>306</v>
      </c>
    </row>
    <row r="100" customFormat="false" ht="71" hidden="false" customHeight="false" outlineLevel="0" collapsed="false">
      <c r="A100" s="4" t="s">
        <v>57</v>
      </c>
      <c r="B100" s="5" t="s">
        <v>770</v>
      </c>
      <c r="C100" s="5" t="s">
        <v>771</v>
      </c>
      <c r="D100" s="5" t="s">
        <v>772</v>
      </c>
      <c r="E100" s="14"/>
      <c r="F100" s="15" t="s">
        <v>63</v>
      </c>
      <c r="G100" s="15" t="n">
        <v>1</v>
      </c>
      <c r="H100" s="15" t="s">
        <v>63</v>
      </c>
      <c r="I100" s="15" t="s">
        <v>63</v>
      </c>
      <c r="J100" s="15" t="n">
        <v>0</v>
      </c>
      <c r="K100" s="5" t="s">
        <v>773</v>
      </c>
      <c r="L100" s="5" t="s">
        <v>774</v>
      </c>
      <c r="M100" s="15" t="n">
        <v>1977</v>
      </c>
      <c r="N100" s="14"/>
      <c r="O100" s="15" t="s">
        <v>67</v>
      </c>
      <c r="P100" s="15" t="s">
        <v>775</v>
      </c>
      <c r="Q100" s="5" t="s">
        <v>776</v>
      </c>
      <c r="R100" s="15" t="s">
        <v>302</v>
      </c>
      <c r="S100" s="15" t="n">
        <v>5</v>
      </c>
      <c r="T100" s="15" t="n">
        <v>5</v>
      </c>
      <c r="U100" s="16" t="n">
        <v>36783</v>
      </c>
      <c r="V100" s="16" t="n">
        <v>36783</v>
      </c>
      <c r="W100" s="16" t="n">
        <v>33366</v>
      </c>
      <c r="X100" s="16" t="n">
        <v>33366</v>
      </c>
      <c r="Y100" s="15" t="n">
        <v>297</v>
      </c>
      <c r="Z100" s="15" t="n">
        <v>223</v>
      </c>
      <c r="AA100" s="15" t="n">
        <v>224</v>
      </c>
      <c r="AB100" s="15" t="n">
        <v>1</v>
      </c>
      <c r="AC100" s="15" t="n">
        <v>1</v>
      </c>
      <c r="AD100" s="15" t="n">
        <v>14</v>
      </c>
      <c r="AE100" s="15" t="n">
        <v>15</v>
      </c>
      <c r="AF100" s="15" t="n">
        <v>4</v>
      </c>
      <c r="AG100" s="15" t="n">
        <v>4</v>
      </c>
      <c r="AH100" s="15" t="n">
        <v>5</v>
      </c>
      <c r="AI100" s="15" t="n">
        <v>5</v>
      </c>
      <c r="AJ100" s="15" t="n">
        <v>9</v>
      </c>
      <c r="AK100" s="15" t="n">
        <v>10</v>
      </c>
      <c r="AL100" s="15" t="n">
        <v>0</v>
      </c>
      <c r="AM100" s="15" t="n">
        <v>0</v>
      </c>
      <c r="AN100" s="15" t="n">
        <v>0</v>
      </c>
      <c r="AO100" s="15" t="n">
        <v>0</v>
      </c>
      <c r="AP100" s="15" t="s">
        <v>63</v>
      </c>
      <c r="AQ100" s="15" t="s">
        <v>63</v>
      </c>
      <c r="AR100" s="14"/>
      <c r="AS100" s="9" t="s">
        <v>303</v>
      </c>
      <c r="AT100" s="9" t="s">
        <v>304</v>
      </c>
      <c r="AU100" s="15" t="s">
        <v>777</v>
      </c>
      <c r="AV100" s="15" t="n">
        <v>3072432</v>
      </c>
      <c r="AW100" s="15" t="n">
        <v>9.91004335129702E+017</v>
      </c>
      <c r="AX100" s="15" t="n">
        <v>9.91004335129702E+017</v>
      </c>
      <c r="AY100" s="15" t="n">
        <v>2265316240002650</v>
      </c>
      <c r="AZ100" s="15" t="s">
        <v>77</v>
      </c>
      <c r="BA100" s="14"/>
      <c r="BB100" s="17" t="n">
        <v>9780891301349</v>
      </c>
      <c r="BC100" s="17" t="n">
        <v>32285000560002</v>
      </c>
      <c r="BD100" s="15" t="n">
        <v>893800867</v>
      </c>
      <c r="BE100" s="6" t="s">
        <v>306</v>
      </c>
    </row>
    <row r="101" customFormat="false" ht="59.5" hidden="false" customHeight="false" outlineLevel="0" collapsed="false">
      <c r="A101" s="4" t="s">
        <v>57</v>
      </c>
      <c r="B101" s="5" t="s">
        <v>778</v>
      </c>
      <c r="C101" s="5" t="s">
        <v>779</v>
      </c>
      <c r="D101" s="5" t="s">
        <v>780</v>
      </c>
      <c r="E101" s="14"/>
      <c r="F101" s="15" t="s">
        <v>63</v>
      </c>
      <c r="G101" s="15" t="n">
        <v>1</v>
      </c>
      <c r="H101" s="15" t="s">
        <v>63</v>
      </c>
      <c r="I101" s="15" t="s">
        <v>63</v>
      </c>
      <c r="J101" s="15" t="n">
        <v>0</v>
      </c>
      <c r="K101" s="5" t="s">
        <v>781</v>
      </c>
      <c r="L101" s="5" t="s">
        <v>782</v>
      </c>
      <c r="M101" s="15" t="n">
        <v>1976</v>
      </c>
      <c r="N101" s="14"/>
      <c r="O101" s="15" t="s">
        <v>67</v>
      </c>
      <c r="P101" s="15" t="s">
        <v>318</v>
      </c>
      <c r="Q101" s="14"/>
      <c r="R101" s="15" t="s">
        <v>302</v>
      </c>
      <c r="S101" s="15" t="n">
        <v>4</v>
      </c>
      <c r="T101" s="15" t="n">
        <v>4</v>
      </c>
      <c r="U101" s="16" t="n">
        <v>37189</v>
      </c>
      <c r="V101" s="16" t="n">
        <v>37189</v>
      </c>
      <c r="W101" s="16" t="n">
        <v>33371</v>
      </c>
      <c r="X101" s="16" t="n">
        <v>33371</v>
      </c>
      <c r="Y101" s="15" t="n">
        <v>9</v>
      </c>
      <c r="Z101" s="15" t="n">
        <v>8</v>
      </c>
      <c r="AA101" s="15" t="n">
        <v>538</v>
      </c>
      <c r="AB101" s="15" t="n">
        <v>1</v>
      </c>
      <c r="AC101" s="15" t="n">
        <v>5</v>
      </c>
      <c r="AD101" s="15" t="n">
        <v>0</v>
      </c>
      <c r="AE101" s="15" t="n">
        <v>43</v>
      </c>
      <c r="AF101" s="15" t="n">
        <v>0</v>
      </c>
      <c r="AG101" s="15" t="n">
        <v>20</v>
      </c>
      <c r="AH101" s="15" t="n">
        <v>0</v>
      </c>
      <c r="AI101" s="15" t="n">
        <v>8</v>
      </c>
      <c r="AJ101" s="15" t="n">
        <v>0</v>
      </c>
      <c r="AK101" s="15" t="n">
        <v>24</v>
      </c>
      <c r="AL101" s="15" t="n">
        <v>0</v>
      </c>
      <c r="AM101" s="15" t="n">
        <v>4</v>
      </c>
      <c r="AN101" s="15" t="n">
        <v>0</v>
      </c>
      <c r="AO101" s="15" t="n">
        <v>0</v>
      </c>
      <c r="AP101" s="15" t="s">
        <v>63</v>
      </c>
      <c r="AQ101" s="15" t="s">
        <v>63</v>
      </c>
      <c r="AR101" s="14"/>
      <c r="AS101" s="9" t="s">
        <v>303</v>
      </c>
      <c r="AT101" s="9" t="s">
        <v>304</v>
      </c>
      <c r="AU101" s="15" t="s">
        <v>783</v>
      </c>
      <c r="AV101" s="15" t="n">
        <v>4579316</v>
      </c>
      <c r="AW101" s="15" t="n">
        <v>9.91004683049702E+017</v>
      </c>
      <c r="AX101" s="15" t="n">
        <v>9.91004683049702E+017</v>
      </c>
      <c r="AY101" s="15" t="n">
        <v>2260884560002650</v>
      </c>
      <c r="AZ101" s="15" t="s">
        <v>77</v>
      </c>
      <c r="BA101" s="14"/>
      <c r="BB101" s="19"/>
      <c r="BC101" s="17" t="n">
        <v>32285000625011</v>
      </c>
      <c r="BD101" s="15" t="n">
        <v>893719224</v>
      </c>
      <c r="BE101" s="6" t="s">
        <v>306</v>
      </c>
    </row>
    <row r="102" customFormat="false" ht="48" hidden="false" customHeight="false" outlineLevel="0" collapsed="false">
      <c r="A102" s="4" t="s">
        <v>57</v>
      </c>
      <c r="B102" s="5" t="s">
        <v>784</v>
      </c>
      <c r="C102" s="5" t="s">
        <v>785</v>
      </c>
      <c r="D102" s="5" t="s">
        <v>786</v>
      </c>
      <c r="E102" s="14"/>
      <c r="F102" s="15" t="s">
        <v>63</v>
      </c>
      <c r="G102" s="15" t="n">
        <v>1</v>
      </c>
      <c r="H102" s="15" t="s">
        <v>63</v>
      </c>
      <c r="I102" s="15" t="s">
        <v>63</v>
      </c>
      <c r="J102" s="15" t="n">
        <v>0</v>
      </c>
      <c r="K102" s="5" t="s">
        <v>787</v>
      </c>
      <c r="L102" s="5" t="s">
        <v>788</v>
      </c>
      <c r="M102" s="15" t="n">
        <v>1975</v>
      </c>
      <c r="N102" s="14"/>
      <c r="O102" s="15" t="s">
        <v>67</v>
      </c>
      <c r="P102" s="15" t="s">
        <v>300</v>
      </c>
      <c r="Q102" s="14"/>
      <c r="R102" s="15" t="s">
        <v>302</v>
      </c>
      <c r="S102" s="15" t="n">
        <v>5</v>
      </c>
      <c r="T102" s="15" t="n">
        <v>5</v>
      </c>
      <c r="U102" s="16" t="n">
        <v>38809</v>
      </c>
      <c r="V102" s="16" t="n">
        <v>38809</v>
      </c>
      <c r="W102" s="16" t="n">
        <v>33371</v>
      </c>
      <c r="X102" s="16" t="n">
        <v>33371</v>
      </c>
      <c r="Y102" s="15" t="n">
        <v>531</v>
      </c>
      <c r="Z102" s="15" t="n">
        <v>424</v>
      </c>
      <c r="AA102" s="15" t="n">
        <v>427</v>
      </c>
      <c r="AB102" s="15" t="n">
        <v>5</v>
      </c>
      <c r="AC102" s="15" t="n">
        <v>5</v>
      </c>
      <c r="AD102" s="15" t="n">
        <v>35</v>
      </c>
      <c r="AE102" s="15" t="n">
        <v>35</v>
      </c>
      <c r="AF102" s="15" t="n">
        <v>12</v>
      </c>
      <c r="AG102" s="15" t="n">
        <v>12</v>
      </c>
      <c r="AH102" s="15" t="n">
        <v>7</v>
      </c>
      <c r="AI102" s="15" t="n">
        <v>7</v>
      </c>
      <c r="AJ102" s="15" t="n">
        <v>20</v>
      </c>
      <c r="AK102" s="15" t="n">
        <v>20</v>
      </c>
      <c r="AL102" s="15" t="n">
        <v>4</v>
      </c>
      <c r="AM102" s="15" t="n">
        <v>4</v>
      </c>
      <c r="AN102" s="15" t="n">
        <v>0</v>
      </c>
      <c r="AO102" s="15" t="n">
        <v>0</v>
      </c>
      <c r="AP102" s="15" t="s">
        <v>63</v>
      </c>
      <c r="AQ102" s="15" t="s">
        <v>57</v>
      </c>
      <c r="AR102" s="9" t="s">
        <v>312</v>
      </c>
      <c r="AS102" s="9" t="s">
        <v>303</v>
      </c>
      <c r="AT102" s="9" t="s">
        <v>304</v>
      </c>
      <c r="AU102" s="15" t="s">
        <v>789</v>
      </c>
      <c r="AV102" s="15" t="n">
        <v>1863373</v>
      </c>
      <c r="AW102" s="15" t="n">
        <v>9.91003917359702E+017</v>
      </c>
      <c r="AX102" s="15" t="n">
        <v>9.91003917359702E+017</v>
      </c>
      <c r="AY102" s="15" t="n">
        <v>2263217820002650</v>
      </c>
      <c r="AZ102" s="15" t="s">
        <v>77</v>
      </c>
      <c r="BA102" s="14"/>
      <c r="BB102" s="17" t="n">
        <v>9780806615042</v>
      </c>
      <c r="BC102" s="17" t="n">
        <v>32285000625029</v>
      </c>
      <c r="BD102" s="15" t="n">
        <v>893693315</v>
      </c>
      <c r="BE102" s="6" t="s">
        <v>306</v>
      </c>
    </row>
    <row r="103" customFormat="false" ht="82.5" hidden="false" customHeight="false" outlineLevel="0" collapsed="false">
      <c r="A103" s="4" t="s">
        <v>57</v>
      </c>
      <c r="B103" s="5" t="s">
        <v>790</v>
      </c>
      <c r="C103" s="5" t="s">
        <v>791</v>
      </c>
      <c r="D103" s="5" t="s">
        <v>792</v>
      </c>
      <c r="E103" s="14"/>
      <c r="F103" s="15" t="s">
        <v>63</v>
      </c>
      <c r="G103" s="15" t="n">
        <v>1</v>
      </c>
      <c r="H103" s="15" t="s">
        <v>63</v>
      </c>
      <c r="I103" s="15" t="s">
        <v>63</v>
      </c>
      <c r="J103" s="15" t="n">
        <v>0</v>
      </c>
      <c r="K103" s="5" t="s">
        <v>793</v>
      </c>
      <c r="L103" s="5" t="s">
        <v>794</v>
      </c>
      <c r="M103" s="15" t="n">
        <v>1985</v>
      </c>
      <c r="N103" s="14"/>
      <c r="O103" s="15" t="s">
        <v>67</v>
      </c>
      <c r="P103" s="15" t="s">
        <v>272</v>
      </c>
      <c r="Q103" s="5" t="s">
        <v>795</v>
      </c>
      <c r="R103" s="15" t="s">
        <v>302</v>
      </c>
      <c r="S103" s="15" t="n">
        <v>7</v>
      </c>
      <c r="T103" s="15" t="n">
        <v>7</v>
      </c>
      <c r="U103" s="16" t="n">
        <v>36321</v>
      </c>
      <c r="V103" s="16" t="n">
        <v>36321</v>
      </c>
      <c r="W103" s="16" t="n">
        <v>33371</v>
      </c>
      <c r="X103" s="16" t="n">
        <v>33371</v>
      </c>
      <c r="Y103" s="15" t="n">
        <v>116</v>
      </c>
      <c r="Z103" s="15" t="n">
        <v>96</v>
      </c>
      <c r="AA103" s="15" t="n">
        <v>99</v>
      </c>
      <c r="AB103" s="15" t="n">
        <v>1</v>
      </c>
      <c r="AC103" s="15" t="n">
        <v>1</v>
      </c>
      <c r="AD103" s="15" t="n">
        <v>4</v>
      </c>
      <c r="AE103" s="15" t="n">
        <v>4</v>
      </c>
      <c r="AF103" s="15" t="n">
        <v>2</v>
      </c>
      <c r="AG103" s="15" t="n">
        <v>2</v>
      </c>
      <c r="AH103" s="15" t="n">
        <v>2</v>
      </c>
      <c r="AI103" s="15" t="n">
        <v>2</v>
      </c>
      <c r="AJ103" s="15" t="n">
        <v>4</v>
      </c>
      <c r="AK103" s="15" t="n">
        <v>4</v>
      </c>
      <c r="AL103" s="15" t="n">
        <v>0</v>
      </c>
      <c r="AM103" s="15" t="n">
        <v>0</v>
      </c>
      <c r="AN103" s="15" t="n">
        <v>0</v>
      </c>
      <c r="AO103" s="15" t="n">
        <v>0</v>
      </c>
      <c r="AP103" s="15" t="s">
        <v>63</v>
      </c>
      <c r="AQ103" s="15" t="s">
        <v>63</v>
      </c>
      <c r="AR103" s="14"/>
      <c r="AS103" s="9" t="s">
        <v>303</v>
      </c>
      <c r="AT103" s="9" t="s">
        <v>304</v>
      </c>
      <c r="AU103" s="15" t="s">
        <v>796</v>
      </c>
      <c r="AV103" s="15" t="n">
        <v>12341983</v>
      </c>
      <c r="AW103" s="15" t="n">
        <v>9.91000673239702E+017</v>
      </c>
      <c r="AX103" s="15" t="n">
        <v>9.91000673239702E+017</v>
      </c>
      <c r="AY103" s="15" t="n">
        <v>2266730380002650</v>
      </c>
      <c r="AZ103" s="15" t="s">
        <v>77</v>
      </c>
      <c r="BA103" s="14"/>
      <c r="BB103" s="17" t="n">
        <v>9780892420483</v>
      </c>
      <c r="BC103" s="17" t="n">
        <v>32285000625094</v>
      </c>
      <c r="BD103" s="15" t="n">
        <v>893515499</v>
      </c>
      <c r="BE103" s="6" t="s">
        <v>306</v>
      </c>
    </row>
    <row r="104" customFormat="false" ht="48" hidden="false" customHeight="false" outlineLevel="0" collapsed="false">
      <c r="A104" s="4" t="s">
        <v>57</v>
      </c>
      <c r="B104" s="5" t="s">
        <v>797</v>
      </c>
      <c r="C104" s="5" t="s">
        <v>798</v>
      </c>
      <c r="D104" s="5" t="s">
        <v>799</v>
      </c>
      <c r="E104" s="14"/>
      <c r="F104" s="15" t="s">
        <v>63</v>
      </c>
      <c r="G104" s="15" t="n">
        <v>1</v>
      </c>
      <c r="H104" s="15" t="s">
        <v>63</v>
      </c>
      <c r="I104" s="15" t="s">
        <v>63</v>
      </c>
      <c r="J104" s="15" t="n">
        <v>0</v>
      </c>
      <c r="K104" s="5" t="s">
        <v>800</v>
      </c>
      <c r="L104" s="5" t="s">
        <v>801</v>
      </c>
      <c r="M104" s="15" t="n">
        <v>1967</v>
      </c>
      <c r="N104" s="14"/>
      <c r="O104" s="15" t="s">
        <v>67</v>
      </c>
      <c r="P104" s="15" t="s">
        <v>802</v>
      </c>
      <c r="Q104" s="5" t="s">
        <v>803</v>
      </c>
      <c r="R104" s="15" t="s">
        <v>302</v>
      </c>
      <c r="S104" s="15" t="n">
        <v>4</v>
      </c>
      <c r="T104" s="15" t="n">
        <v>4</v>
      </c>
      <c r="U104" s="16" t="n">
        <v>40098</v>
      </c>
      <c r="V104" s="16" t="n">
        <v>40098</v>
      </c>
      <c r="W104" s="16" t="n">
        <v>33371</v>
      </c>
      <c r="X104" s="16" t="n">
        <v>33371</v>
      </c>
      <c r="Y104" s="15" t="n">
        <v>377</v>
      </c>
      <c r="Z104" s="15" t="n">
        <v>284</v>
      </c>
      <c r="AA104" s="15" t="n">
        <v>307</v>
      </c>
      <c r="AB104" s="15" t="n">
        <v>2</v>
      </c>
      <c r="AC104" s="15" t="n">
        <v>2</v>
      </c>
      <c r="AD104" s="15" t="n">
        <v>26</v>
      </c>
      <c r="AE104" s="15" t="n">
        <v>26</v>
      </c>
      <c r="AF104" s="15" t="n">
        <v>8</v>
      </c>
      <c r="AG104" s="15" t="n">
        <v>8</v>
      </c>
      <c r="AH104" s="15" t="n">
        <v>7</v>
      </c>
      <c r="AI104" s="15" t="n">
        <v>7</v>
      </c>
      <c r="AJ104" s="15" t="n">
        <v>16</v>
      </c>
      <c r="AK104" s="15" t="n">
        <v>16</v>
      </c>
      <c r="AL104" s="15" t="n">
        <v>1</v>
      </c>
      <c r="AM104" s="15" t="n">
        <v>1</v>
      </c>
      <c r="AN104" s="15" t="n">
        <v>0</v>
      </c>
      <c r="AO104" s="15" t="n">
        <v>0</v>
      </c>
      <c r="AP104" s="15" t="s">
        <v>63</v>
      </c>
      <c r="AQ104" s="15" t="s">
        <v>63</v>
      </c>
      <c r="AR104" s="14"/>
      <c r="AS104" s="9" t="s">
        <v>303</v>
      </c>
      <c r="AT104" s="9" t="s">
        <v>304</v>
      </c>
      <c r="AU104" s="15" t="s">
        <v>804</v>
      </c>
      <c r="AV104" s="15" t="n">
        <v>179833</v>
      </c>
      <c r="AW104" s="15" t="n">
        <v>9.91001084659702E+017</v>
      </c>
      <c r="AX104" s="15" t="n">
        <v>9.91001084659702E+017</v>
      </c>
      <c r="AY104" s="15" t="n">
        <v>2264866810002650</v>
      </c>
      <c r="AZ104" s="15" t="s">
        <v>77</v>
      </c>
      <c r="BA104" s="14"/>
      <c r="BB104" s="19"/>
      <c r="BC104" s="17" t="n">
        <v>32285000625136</v>
      </c>
      <c r="BD104" s="15" t="n">
        <v>893231691</v>
      </c>
      <c r="BE104" s="6" t="s">
        <v>306</v>
      </c>
    </row>
    <row r="105" customFormat="false" ht="48" hidden="false" customHeight="false" outlineLevel="0" collapsed="false">
      <c r="A105" s="4" t="s">
        <v>57</v>
      </c>
      <c r="B105" s="5" t="s">
        <v>805</v>
      </c>
      <c r="C105" s="5" t="s">
        <v>806</v>
      </c>
      <c r="D105" s="5" t="s">
        <v>807</v>
      </c>
      <c r="E105" s="14"/>
      <c r="F105" s="15" t="s">
        <v>63</v>
      </c>
      <c r="G105" s="15" t="n">
        <v>1</v>
      </c>
      <c r="H105" s="15" t="s">
        <v>63</v>
      </c>
      <c r="I105" s="15" t="s">
        <v>63</v>
      </c>
      <c r="J105" s="15" t="n">
        <v>0</v>
      </c>
      <c r="K105" s="5" t="s">
        <v>808</v>
      </c>
      <c r="L105" s="5" t="s">
        <v>809</v>
      </c>
      <c r="M105" s="15" t="n">
        <v>1981</v>
      </c>
      <c r="N105" s="14"/>
      <c r="O105" s="15" t="s">
        <v>67</v>
      </c>
      <c r="P105" s="15" t="s">
        <v>810</v>
      </c>
      <c r="Q105" s="14"/>
      <c r="R105" s="15" t="s">
        <v>302</v>
      </c>
      <c r="S105" s="15" t="n">
        <v>2</v>
      </c>
      <c r="T105" s="15" t="n">
        <v>2</v>
      </c>
      <c r="U105" s="16" t="n">
        <v>36714</v>
      </c>
      <c r="V105" s="16" t="n">
        <v>36714</v>
      </c>
      <c r="W105" s="16" t="n">
        <v>32993</v>
      </c>
      <c r="X105" s="16" t="n">
        <v>32993</v>
      </c>
      <c r="Y105" s="15" t="n">
        <v>29</v>
      </c>
      <c r="Z105" s="15" t="n">
        <v>15</v>
      </c>
      <c r="AA105" s="15" t="n">
        <v>15</v>
      </c>
      <c r="AB105" s="15" t="n">
        <v>1</v>
      </c>
      <c r="AC105" s="15" t="n">
        <v>1</v>
      </c>
      <c r="AD105" s="15" t="n">
        <v>7</v>
      </c>
      <c r="AE105" s="15" t="n">
        <v>7</v>
      </c>
      <c r="AF105" s="15" t="n">
        <v>2</v>
      </c>
      <c r="AG105" s="15" t="n">
        <v>2</v>
      </c>
      <c r="AH105" s="15" t="n">
        <v>0</v>
      </c>
      <c r="AI105" s="15" t="n">
        <v>0</v>
      </c>
      <c r="AJ105" s="15" t="n">
        <v>7</v>
      </c>
      <c r="AK105" s="15" t="n">
        <v>7</v>
      </c>
      <c r="AL105" s="15" t="n">
        <v>0</v>
      </c>
      <c r="AM105" s="15" t="n">
        <v>0</v>
      </c>
      <c r="AN105" s="15" t="n">
        <v>0</v>
      </c>
      <c r="AO105" s="15" t="n">
        <v>0</v>
      </c>
      <c r="AP105" s="15" t="s">
        <v>63</v>
      </c>
      <c r="AQ105" s="15" t="s">
        <v>63</v>
      </c>
      <c r="AR105" s="14"/>
      <c r="AS105" s="9" t="s">
        <v>303</v>
      </c>
      <c r="AT105" s="9" t="s">
        <v>304</v>
      </c>
      <c r="AU105" s="15" t="s">
        <v>811</v>
      </c>
      <c r="AV105" s="15" t="n">
        <v>9176689</v>
      </c>
      <c r="AW105" s="15" t="n">
        <v>9.91000143279702E+017</v>
      </c>
      <c r="AX105" s="15" t="n">
        <v>9.91000143279702E+017</v>
      </c>
      <c r="AY105" s="15" t="n">
        <v>2263809850002650</v>
      </c>
      <c r="AZ105" s="15" t="s">
        <v>77</v>
      </c>
      <c r="BA105" s="14"/>
      <c r="BB105" s="19"/>
      <c r="BC105" s="17" t="n">
        <v>32285000128107</v>
      </c>
      <c r="BD105" s="15" t="n">
        <v>893495959</v>
      </c>
      <c r="BE105" s="6" t="s">
        <v>306</v>
      </c>
    </row>
    <row r="106" customFormat="false" ht="25" hidden="false" customHeight="false" outlineLevel="0" collapsed="false">
      <c r="A106" s="4" t="s">
        <v>57</v>
      </c>
      <c r="B106" s="5" t="s">
        <v>812</v>
      </c>
      <c r="C106" s="5" t="s">
        <v>813</v>
      </c>
      <c r="D106" s="5" t="s">
        <v>814</v>
      </c>
      <c r="E106" s="14"/>
      <c r="F106" s="15" t="s">
        <v>63</v>
      </c>
      <c r="G106" s="15" t="n">
        <v>1</v>
      </c>
      <c r="H106" s="15" t="s">
        <v>63</v>
      </c>
      <c r="I106" s="15" t="s">
        <v>63</v>
      </c>
      <c r="J106" s="15" t="n">
        <v>0</v>
      </c>
      <c r="K106" s="5" t="s">
        <v>815</v>
      </c>
      <c r="L106" s="5" t="s">
        <v>816</v>
      </c>
      <c r="M106" s="15" t="n">
        <v>1964</v>
      </c>
      <c r="N106" s="5" t="s">
        <v>255</v>
      </c>
      <c r="O106" s="15" t="s">
        <v>67</v>
      </c>
      <c r="P106" s="15" t="s">
        <v>367</v>
      </c>
      <c r="Q106" s="14"/>
      <c r="R106" s="15" t="s">
        <v>302</v>
      </c>
      <c r="S106" s="15" t="n">
        <v>0</v>
      </c>
      <c r="T106" s="15" t="n">
        <v>0</v>
      </c>
      <c r="U106" s="16" t="n">
        <v>40095</v>
      </c>
      <c r="V106" s="16" t="n">
        <v>40095</v>
      </c>
      <c r="W106" s="16" t="n">
        <v>33371</v>
      </c>
      <c r="X106" s="16" t="n">
        <v>33371</v>
      </c>
      <c r="Y106" s="15" t="n">
        <v>196</v>
      </c>
      <c r="Z106" s="15" t="n">
        <v>119</v>
      </c>
      <c r="AA106" s="15" t="n">
        <v>119</v>
      </c>
      <c r="AB106" s="15" t="n">
        <v>1</v>
      </c>
      <c r="AC106" s="15" t="n">
        <v>1</v>
      </c>
      <c r="AD106" s="15" t="n">
        <v>6</v>
      </c>
      <c r="AE106" s="15" t="n">
        <v>6</v>
      </c>
      <c r="AF106" s="15" t="n">
        <v>2</v>
      </c>
      <c r="AG106" s="15" t="n">
        <v>2</v>
      </c>
      <c r="AH106" s="15" t="n">
        <v>1</v>
      </c>
      <c r="AI106" s="15" t="n">
        <v>1</v>
      </c>
      <c r="AJ106" s="15" t="n">
        <v>3</v>
      </c>
      <c r="AK106" s="15" t="n">
        <v>3</v>
      </c>
      <c r="AL106" s="15" t="n">
        <v>0</v>
      </c>
      <c r="AM106" s="15" t="n">
        <v>0</v>
      </c>
      <c r="AN106" s="15" t="n">
        <v>0</v>
      </c>
      <c r="AO106" s="15" t="n">
        <v>0</v>
      </c>
      <c r="AP106" s="15" t="s">
        <v>63</v>
      </c>
      <c r="AQ106" s="15" t="s">
        <v>57</v>
      </c>
      <c r="AR106" s="9" t="s">
        <v>312</v>
      </c>
      <c r="AS106" s="9" t="s">
        <v>303</v>
      </c>
      <c r="AT106" s="9" t="s">
        <v>304</v>
      </c>
      <c r="AU106" s="15" t="s">
        <v>817</v>
      </c>
      <c r="AV106" s="15" t="n">
        <v>832513</v>
      </c>
      <c r="AW106" s="15" t="n">
        <v>9.91003308909702E+017</v>
      </c>
      <c r="AX106" s="15" t="n">
        <v>9.91003308909702E+017</v>
      </c>
      <c r="AY106" s="15" t="n">
        <v>2272515070002650</v>
      </c>
      <c r="AZ106" s="15" t="s">
        <v>77</v>
      </c>
      <c r="BA106" s="14"/>
      <c r="BB106" s="19"/>
      <c r="BC106" s="17" t="n">
        <v>32285000625151</v>
      </c>
      <c r="BD106" s="15" t="n">
        <v>893227925</v>
      </c>
      <c r="BE106" s="6" t="s">
        <v>306</v>
      </c>
    </row>
    <row r="107" customFormat="false" ht="36.5" hidden="false" customHeight="false" outlineLevel="0" collapsed="false">
      <c r="A107" s="4" t="s">
        <v>57</v>
      </c>
      <c r="B107" s="5" t="s">
        <v>818</v>
      </c>
      <c r="C107" s="5" t="s">
        <v>819</v>
      </c>
      <c r="D107" s="5" t="s">
        <v>820</v>
      </c>
      <c r="E107" s="14"/>
      <c r="F107" s="15" t="s">
        <v>63</v>
      </c>
      <c r="G107" s="15" t="n">
        <v>1</v>
      </c>
      <c r="H107" s="15" t="s">
        <v>63</v>
      </c>
      <c r="I107" s="15" t="s">
        <v>63</v>
      </c>
      <c r="J107" s="15" t="n">
        <v>0</v>
      </c>
      <c r="K107" s="5" t="s">
        <v>821</v>
      </c>
      <c r="L107" s="5" t="s">
        <v>822</v>
      </c>
      <c r="M107" s="15" t="n">
        <v>1969</v>
      </c>
      <c r="N107" s="14"/>
      <c r="O107" s="15" t="s">
        <v>67</v>
      </c>
      <c r="P107" s="15" t="s">
        <v>318</v>
      </c>
      <c r="Q107" s="14"/>
      <c r="R107" s="15" t="s">
        <v>302</v>
      </c>
      <c r="S107" s="15" t="n">
        <v>7</v>
      </c>
      <c r="T107" s="15" t="n">
        <v>7</v>
      </c>
      <c r="U107" s="16" t="n">
        <v>37175</v>
      </c>
      <c r="V107" s="16" t="n">
        <v>37175</v>
      </c>
      <c r="W107" s="16" t="n">
        <v>33371</v>
      </c>
      <c r="X107" s="16" t="n">
        <v>33371</v>
      </c>
      <c r="Y107" s="15" t="n">
        <v>478</v>
      </c>
      <c r="Z107" s="15" t="n">
        <v>431</v>
      </c>
      <c r="AA107" s="15" t="n">
        <v>462</v>
      </c>
      <c r="AB107" s="15" t="n">
        <v>4</v>
      </c>
      <c r="AC107" s="15" t="n">
        <v>4</v>
      </c>
      <c r="AD107" s="15" t="n">
        <v>24</v>
      </c>
      <c r="AE107" s="15" t="n">
        <v>25</v>
      </c>
      <c r="AF107" s="15" t="n">
        <v>10</v>
      </c>
      <c r="AG107" s="15" t="n">
        <v>11</v>
      </c>
      <c r="AH107" s="15" t="n">
        <v>4</v>
      </c>
      <c r="AI107" s="15" t="n">
        <v>4</v>
      </c>
      <c r="AJ107" s="15" t="n">
        <v>13</v>
      </c>
      <c r="AK107" s="15" t="n">
        <v>14</v>
      </c>
      <c r="AL107" s="15" t="n">
        <v>3</v>
      </c>
      <c r="AM107" s="15" t="n">
        <v>3</v>
      </c>
      <c r="AN107" s="15" t="n">
        <v>0</v>
      </c>
      <c r="AO107" s="15" t="n">
        <v>0</v>
      </c>
      <c r="AP107" s="15" t="s">
        <v>63</v>
      </c>
      <c r="AQ107" s="15" t="s">
        <v>57</v>
      </c>
      <c r="AR107" s="9" t="s">
        <v>312</v>
      </c>
      <c r="AS107" s="9" t="s">
        <v>303</v>
      </c>
      <c r="AT107" s="9" t="s">
        <v>304</v>
      </c>
      <c r="AU107" s="15" t="s">
        <v>823</v>
      </c>
      <c r="AV107" s="15" t="n">
        <v>21321</v>
      </c>
      <c r="AW107" s="15" t="n">
        <v>9.91000038709702E+017</v>
      </c>
      <c r="AX107" s="15" t="n">
        <v>9.91000038709702E+017</v>
      </c>
      <c r="AY107" s="15" t="n">
        <v>2261540790002650</v>
      </c>
      <c r="AZ107" s="15" t="s">
        <v>77</v>
      </c>
      <c r="BA107" s="14"/>
      <c r="BB107" s="19"/>
      <c r="BC107" s="17" t="n">
        <v>32285000625169</v>
      </c>
      <c r="BD107" s="15" t="n">
        <v>893320759</v>
      </c>
      <c r="BE107" s="6" t="s">
        <v>306</v>
      </c>
    </row>
    <row r="108" customFormat="false" ht="36.5" hidden="false" customHeight="false" outlineLevel="0" collapsed="false">
      <c r="A108" s="4" t="s">
        <v>57</v>
      </c>
      <c r="B108" s="5" t="s">
        <v>824</v>
      </c>
      <c r="C108" s="5" t="s">
        <v>825</v>
      </c>
      <c r="D108" s="5" t="s">
        <v>826</v>
      </c>
      <c r="E108" s="14"/>
      <c r="F108" s="15" t="s">
        <v>63</v>
      </c>
      <c r="G108" s="15" t="n">
        <v>1</v>
      </c>
      <c r="H108" s="15" t="s">
        <v>63</v>
      </c>
      <c r="I108" s="15" t="s">
        <v>63</v>
      </c>
      <c r="J108" s="15" t="n">
        <v>0</v>
      </c>
      <c r="K108" s="5" t="s">
        <v>827</v>
      </c>
      <c r="L108" s="5" t="s">
        <v>828</v>
      </c>
      <c r="M108" s="15" t="n">
        <v>1983</v>
      </c>
      <c r="N108" s="14"/>
      <c r="O108" s="15" t="s">
        <v>67</v>
      </c>
      <c r="P108" s="15" t="s">
        <v>272</v>
      </c>
      <c r="Q108" s="5" t="s">
        <v>829</v>
      </c>
      <c r="R108" s="15" t="s">
        <v>302</v>
      </c>
      <c r="S108" s="15" t="n">
        <v>4</v>
      </c>
      <c r="T108" s="15" t="n">
        <v>4</v>
      </c>
      <c r="U108" s="16" t="n">
        <v>38320</v>
      </c>
      <c r="V108" s="16" t="n">
        <v>38320</v>
      </c>
      <c r="W108" s="16" t="n">
        <v>32912</v>
      </c>
      <c r="X108" s="16" t="n">
        <v>32912</v>
      </c>
      <c r="Y108" s="15" t="n">
        <v>311</v>
      </c>
      <c r="Z108" s="15" t="n">
        <v>219</v>
      </c>
      <c r="AA108" s="15" t="n">
        <v>221</v>
      </c>
      <c r="AB108" s="15" t="n">
        <v>2</v>
      </c>
      <c r="AC108" s="15" t="n">
        <v>2</v>
      </c>
      <c r="AD108" s="15" t="n">
        <v>13</v>
      </c>
      <c r="AE108" s="15" t="n">
        <v>13</v>
      </c>
      <c r="AF108" s="15" t="n">
        <v>5</v>
      </c>
      <c r="AG108" s="15" t="n">
        <v>5</v>
      </c>
      <c r="AH108" s="15" t="n">
        <v>4</v>
      </c>
      <c r="AI108" s="15" t="n">
        <v>4</v>
      </c>
      <c r="AJ108" s="15" t="n">
        <v>7</v>
      </c>
      <c r="AK108" s="15" t="n">
        <v>7</v>
      </c>
      <c r="AL108" s="15" t="n">
        <v>1</v>
      </c>
      <c r="AM108" s="15" t="n">
        <v>1</v>
      </c>
      <c r="AN108" s="15" t="n">
        <v>0</v>
      </c>
      <c r="AO108" s="15" t="n">
        <v>0</v>
      </c>
      <c r="AP108" s="15" t="s">
        <v>63</v>
      </c>
      <c r="AQ108" s="15" t="s">
        <v>57</v>
      </c>
      <c r="AR108" s="9" t="s">
        <v>312</v>
      </c>
      <c r="AS108" s="9" t="s">
        <v>303</v>
      </c>
      <c r="AT108" s="9" t="s">
        <v>304</v>
      </c>
      <c r="AU108" s="15" t="s">
        <v>830</v>
      </c>
      <c r="AV108" s="15" t="n">
        <v>7924281</v>
      </c>
      <c r="AW108" s="15" t="n">
        <v>9.91005176959702E+017</v>
      </c>
      <c r="AX108" s="15" t="n">
        <v>9.91005176959702E+017</v>
      </c>
      <c r="AY108" s="15" t="n">
        <v>2269301230002650</v>
      </c>
      <c r="AZ108" s="15" t="s">
        <v>77</v>
      </c>
      <c r="BA108" s="14"/>
      <c r="BB108" s="17" t="n">
        <v>9780891305552</v>
      </c>
      <c r="BC108" s="17" t="n">
        <v>32285000034396</v>
      </c>
      <c r="BD108" s="15" t="n">
        <v>893353745</v>
      </c>
      <c r="BE108" s="6" t="s">
        <v>306</v>
      </c>
    </row>
    <row r="109" customFormat="false" ht="36.5" hidden="false" customHeight="false" outlineLevel="0" collapsed="false">
      <c r="A109" s="4" t="s">
        <v>57</v>
      </c>
      <c r="B109" s="5" t="s">
        <v>831</v>
      </c>
      <c r="C109" s="5" t="s">
        <v>832</v>
      </c>
      <c r="D109" s="5" t="s">
        <v>833</v>
      </c>
      <c r="E109" s="14"/>
      <c r="F109" s="15" t="s">
        <v>63</v>
      </c>
      <c r="G109" s="15" t="n">
        <v>1</v>
      </c>
      <c r="H109" s="15" t="s">
        <v>63</v>
      </c>
      <c r="I109" s="15" t="s">
        <v>63</v>
      </c>
      <c r="J109" s="15" t="n">
        <v>0</v>
      </c>
      <c r="K109" s="5" t="s">
        <v>834</v>
      </c>
      <c r="L109" s="5" t="s">
        <v>567</v>
      </c>
      <c r="M109" s="15" t="n">
        <v>1986</v>
      </c>
      <c r="N109" s="14"/>
      <c r="O109" s="15" t="s">
        <v>67</v>
      </c>
      <c r="P109" s="15" t="s">
        <v>401</v>
      </c>
      <c r="Q109" s="14"/>
      <c r="R109" s="15" t="s">
        <v>302</v>
      </c>
      <c r="S109" s="15" t="n">
        <v>9</v>
      </c>
      <c r="T109" s="15" t="n">
        <v>9</v>
      </c>
      <c r="U109" s="16" t="n">
        <v>38315</v>
      </c>
      <c r="V109" s="16" t="n">
        <v>38315</v>
      </c>
      <c r="W109" s="16" t="n">
        <v>33000</v>
      </c>
      <c r="X109" s="16" t="n">
        <v>33000</v>
      </c>
      <c r="Y109" s="15" t="n">
        <v>360</v>
      </c>
      <c r="Z109" s="15" t="n">
        <v>274</v>
      </c>
      <c r="AA109" s="15" t="n">
        <v>280</v>
      </c>
      <c r="AB109" s="15" t="n">
        <v>1</v>
      </c>
      <c r="AC109" s="15" t="n">
        <v>1</v>
      </c>
      <c r="AD109" s="15" t="n">
        <v>24</v>
      </c>
      <c r="AE109" s="15" t="n">
        <v>24</v>
      </c>
      <c r="AF109" s="15" t="n">
        <v>11</v>
      </c>
      <c r="AG109" s="15" t="n">
        <v>11</v>
      </c>
      <c r="AH109" s="15" t="n">
        <v>6</v>
      </c>
      <c r="AI109" s="15" t="n">
        <v>6</v>
      </c>
      <c r="AJ109" s="15" t="n">
        <v>14</v>
      </c>
      <c r="AK109" s="15" t="n">
        <v>14</v>
      </c>
      <c r="AL109" s="15" t="n">
        <v>0</v>
      </c>
      <c r="AM109" s="15" t="n">
        <v>0</v>
      </c>
      <c r="AN109" s="15" t="n">
        <v>0</v>
      </c>
      <c r="AO109" s="15" t="n">
        <v>0</v>
      </c>
      <c r="AP109" s="15" t="s">
        <v>63</v>
      </c>
      <c r="AQ109" s="15" t="s">
        <v>63</v>
      </c>
      <c r="AR109" s="14"/>
      <c r="AS109" s="9" t="s">
        <v>303</v>
      </c>
      <c r="AT109" s="9" t="s">
        <v>304</v>
      </c>
      <c r="AU109" s="15" t="s">
        <v>835</v>
      </c>
      <c r="AV109" s="15" t="n">
        <v>13423470</v>
      </c>
      <c r="AW109" s="15" t="n">
        <v>9.91000826169702E+017</v>
      </c>
      <c r="AX109" s="15" t="n">
        <v>9.91000826169702E+017</v>
      </c>
      <c r="AY109" s="15" t="n">
        <v>2266085060002650</v>
      </c>
      <c r="AZ109" s="15" t="s">
        <v>77</v>
      </c>
      <c r="BA109" s="14"/>
      <c r="BB109" s="17" t="n">
        <v>9780800619336</v>
      </c>
      <c r="BC109" s="17" t="n">
        <v>32285000150416</v>
      </c>
      <c r="BD109" s="15" t="n">
        <v>893339926</v>
      </c>
      <c r="BE109" s="6" t="s">
        <v>306</v>
      </c>
    </row>
    <row r="110" customFormat="false" ht="48" hidden="false" customHeight="false" outlineLevel="0" collapsed="false">
      <c r="A110" s="4" t="s">
        <v>57</v>
      </c>
      <c r="B110" s="5" t="s">
        <v>836</v>
      </c>
      <c r="C110" s="5" t="s">
        <v>837</v>
      </c>
      <c r="D110" s="5" t="s">
        <v>838</v>
      </c>
      <c r="E110" s="14"/>
      <c r="F110" s="15" t="s">
        <v>63</v>
      </c>
      <c r="G110" s="15" t="n">
        <v>1</v>
      </c>
      <c r="H110" s="15" t="s">
        <v>63</v>
      </c>
      <c r="I110" s="15" t="s">
        <v>63</v>
      </c>
      <c r="J110" s="15" t="n">
        <v>0</v>
      </c>
      <c r="K110" s="5" t="s">
        <v>839</v>
      </c>
      <c r="L110" s="5" t="s">
        <v>840</v>
      </c>
      <c r="M110" s="15" t="n">
        <v>1989</v>
      </c>
      <c r="N110" s="14"/>
      <c r="O110" s="15" t="s">
        <v>67</v>
      </c>
      <c r="P110" s="15" t="s">
        <v>384</v>
      </c>
      <c r="Q110" s="14"/>
      <c r="R110" s="15" t="s">
        <v>302</v>
      </c>
      <c r="S110" s="15" t="n">
        <v>7</v>
      </c>
      <c r="T110" s="15" t="n">
        <v>7</v>
      </c>
      <c r="U110" s="16" t="n">
        <v>37789</v>
      </c>
      <c r="V110" s="16" t="n">
        <v>37789</v>
      </c>
      <c r="W110" s="16" t="n">
        <v>32891</v>
      </c>
      <c r="X110" s="16" t="n">
        <v>32891</v>
      </c>
      <c r="Y110" s="15" t="n">
        <v>44</v>
      </c>
      <c r="Z110" s="15" t="n">
        <v>30</v>
      </c>
      <c r="AA110" s="15" t="n">
        <v>30</v>
      </c>
      <c r="AB110" s="15" t="n">
        <v>1</v>
      </c>
      <c r="AC110" s="15" t="n">
        <v>1</v>
      </c>
      <c r="AD110" s="15" t="n">
        <v>4</v>
      </c>
      <c r="AE110" s="15" t="n">
        <v>4</v>
      </c>
      <c r="AF110" s="15" t="n">
        <v>1</v>
      </c>
      <c r="AG110" s="15" t="n">
        <v>1</v>
      </c>
      <c r="AH110" s="15" t="n">
        <v>1</v>
      </c>
      <c r="AI110" s="15" t="n">
        <v>1</v>
      </c>
      <c r="AJ110" s="15" t="n">
        <v>4</v>
      </c>
      <c r="AK110" s="15" t="n">
        <v>4</v>
      </c>
      <c r="AL110" s="15" t="n">
        <v>0</v>
      </c>
      <c r="AM110" s="15" t="n">
        <v>0</v>
      </c>
      <c r="AN110" s="15" t="n">
        <v>0</v>
      </c>
      <c r="AO110" s="15" t="n">
        <v>0</v>
      </c>
      <c r="AP110" s="15" t="s">
        <v>63</v>
      </c>
      <c r="AQ110" s="15" t="s">
        <v>63</v>
      </c>
      <c r="AR110" s="14"/>
      <c r="AS110" s="9" t="s">
        <v>303</v>
      </c>
      <c r="AT110" s="9" t="s">
        <v>304</v>
      </c>
      <c r="AU110" s="15" t="s">
        <v>841</v>
      </c>
      <c r="AV110" s="15" t="n">
        <v>20272200</v>
      </c>
      <c r="AW110" s="15" t="n">
        <v>9.91001556879702E+017</v>
      </c>
      <c r="AX110" s="15" t="n">
        <v>9.91001556879702E+017</v>
      </c>
      <c r="AY110" s="15" t="n">
        <v>2260416360002650</v>
      </c>
      <c r="AZ110" s="15" t="s">
        <v>77</v>
      </c>
      <c r="BA110" s="14"/>
      <c r="BB110" s="17" t="n">
        <v>9780854392858</v>
      </c>
      <c r="BC110" s="17" t="n">
        <v>32285000029446</v>
      </c>
      <c r="BD110" s="15" t="n">
        <v>893866309</v>
      </c>
      <c r="BE110" s="6" t="s">
        <v>306</v>
      </c>
    </row>
    <row r="111" customFormat="false" ht="36.5" hidden="false" customHeight="false" outlineLevel="0" collapsed="false">
      <c r="A111" s="4" t="s">
        <v>57</v>
      </c>
      <c r="B111" s="5" t="s">
        <v>842</v>
      </c>
      <c r="C111" s="5" t="s">
        <v>843</v>
      </c>
      <c r="D111" s="5" t="s">
        <v>844</v>
      </c>
      <c r="E111" s="14"/>
      <c r="F111" s="15" t="s">
        <v>63</v>
      </c>
      <c r="G111" s="15" t="n">
        <v>1</v>
      </c>
      <c r="H111" s="15" t="s">
        <v>63</v>
      </c>
      <c r="I111" s="15" t="s">
        <v>63</v>
      </c>
      <c r="J111" s="15" t="n">
        <v>0</v>
      </c>
      <c r="K111" s="5" t="s">
        <v>845</v>
      </c>
      <c r="L111" s="5" t="s">
        <v>846</v>
      </c>
      <c r="M111" s="15" t="n">
        <v>1988</v>
      </c>
      <c r="N111" s="5" t="s">
        <v>327</v>
      </c>
      <c r="O111" s="15" t="s">
        <v>67</v>
      </c>
      <c r="P111" s="15" t="s">
        <v>401</v>
      </c>
      <c r="Q111" s="14"/>
      <c r="R111" s="15" t="s">
        <v>302</v>
      </c>
      <c r="S111" s="15" t="n">
        <v>5</v>
      </c>
      <c r="T111" s="15" t="n">
        <v>5</v>
      </c>
      <c r="U111" s="16" t="n">
        <v>39224</v>
      </c>
      <c r="V111" s="16" t="n">
        <v>39224</v>
      </c>
      <c r="W111" s="16" t="n">
        <v>33371</v>
      </c>
      <c r="X111" s="16" t="n">
        <v>33371</v>
      </c>
      <c r="Y111" s="15" t="n">
        <v>454</v>
      </c>
      <c r="Z111" s="15" t="n">
        <v>370</v>
      </c>
      <c r="AA111" s="15" t="n">
        <v>371</v>
      </c>
      <c r="AB111" s="15" t="n">
        <v>3</v>
      </c>
      <c r="AC111" s="15" t="n">
        <v>3</v>
      </c>
      <c r="AD111" s="15" t="n">
        <v>27</v>
      </c>
      <c r="AE111" s="15" t="n">
        <v>27</v>
      </c>
      <c r="AF111" s="15" t="n">
        <v>11</v>
      </c>
      <c r="AG111" s="15" t="n">
        <v>11</v>
      </c>
      <c r="AH111" s="15" t="n">
        <v>6</v>
      </c>
      <c r="AI111" s="15" t="n">
        <v>6</v>
      </c>
      <c r="AJ111" s="15" t="n">
        <v>17</v>
      </c>
      <c r="AK111" s="15" t="n">
        <v>17</v>
      </c>
      <c r="AL111" s="15" t="n">
        <v>2</v>
      </c>
      <c r="AM111" s="15" t="n">
        <v>2</v>
      </c>
      <c r="AN111" s="15" t="n">
        <v>0</v>
      </c>
      <c r="AO111" s="15" t="n">
        <v>0</v>
      </c>
      <c r="AP111" s="15" t="s">
        <v>63</v>
      </c>
      <c r="AQ111" s="15" t="s">
        <v>63</v>
      </c>
      <c r="AR111" s="14"/>
      <c r="AS111" s="9" t="s">
        <v>303</v>
      </c>
      <c r="AT111" s="9" t="s">
        <v>304</v>
      </c>
      <c r="AU111" s="15" t="s">
        <v>847</v>
      </c>
      <c r="AV111" s="15" t="n">
        <v>17805573</v>
      </c>
      <c r="AW111" s="15" t="n">
        <v>9.91001265829702E+017</v>
      </c>
      <c r="AX111" s="15" t="n">
        <v>9.91001265829702E+017</v>
      </c>
      <c r="AY111" s="15" t="n">
        <v>2266029810002650</v>
      </c>
      <c r="AZ111" s="15" t="s">
        <v>77</v>
      </c>
      <c r="BA111" s="14"/>
      <c r="BB111" s="17" t="n">
        <v>9780664250416</v>
      </c>
      <c r="BC111" s="17" t="n">
        <v>32285000625250</v>
      </c>
      <c r="BD111" s="15" t="n">
        <v>893231849</v>
      </c>
      <c r="BE111" s="6" t="s">
        <v>306</v>
      </c>
    </row>
    <row r="112" customFormat="false" ht="59.5" hidden="false" customHeight="false" outlineLevel="0" collapsed="false">
      <c r="A112" s="4" t="s">
        <v>57</v>
      </c>
      <c r="B112" s="5" t="s">
        <v>848</v>
      </c>
      <c r="C112" s="5" t="s">
        <v>849</v>
      </c>
      <c r="D112" s="5" t="s">
        <v>850</v>
      </c>
      <c r="E112" s="14"/>
      <c r="F112" s="15" t="s">
        <v>63</v>
      </c>
      <c r="G112" s="15" t="n">
        <v>1</v>
      </c>
      <c r="H112" s="15" t="s">
        <v>63</v>
      </c>
      <c r="I112" s="15" t="s">
        <v>63</v>
      </c>
      <c r="J112" s="15" t="n">
        <v>0</v>
      </c>
      <c r="K112" s="5" t="s">
        <v>851</v>
      </c>
      <c r="L112" s="5" t="s">
        <v>852</v>
      </c>
      <c r="M112" s="15" t="n">
        <v>1992</v>
      </c>
      <c r="N112" s="14"/>
      <c r="O112" s="15" t="s">
        <v>67</v>
      </c>
      <c r="P112" s="15" t="s">
        <v>415</v>
      </c>
      <c r="Q112" s="5" t="s">
        <v>853</v>
      </c>
      <c r="R112" s="15" t="s">
        <v>302</v>
      </c>
      <c r="S112" s="15" t="n">
        <v>7</v>
      </c>
      <c r="T112" s="15" t="n">
        <v>7</v>
      </c>
      <c r="U112" s="16" t="n">
        <v>35889</v>
      </c>
      <c r="V112" s="16" t="n">
        <v>35889</v>
      </c>
      <c r="W112" s="16" t="n">
        <v>34568</v>
      </c>
      <c r="X112" s="16" t="n">
        <v>34568</v>
      </c>
      <c r="Y112" s="15" t="n">
        <v>218</v>
      </c>
      <c r="Z112" s="15" t="n">
        <v>154</v>
      </c>
      <c r="AA112" s="15" t="n">
        <v>156</v>
      </c>
      <c r="AB112" s="15" t="n">
        <v>1</v>
      </c>
      <c r="AC112" s="15" t="n">
        <v>1</v>
      </c>
      <c r="AD112" s="15" t="n">
        <v>10</v>
      </c>
      <c r="AE112" s="15" t="n">
        <v>10</v>
      </c>
      <c r="AF112" s="15" t="n">
        <v>3</v>
      </c>
      <c r="AG112" s="15" t="n">
        <v>3</v>
      </c>
      <c r="AH112" s="15" t="n">
        <v>3</v>
      </c>
      <c r="AI112" s="15" t="n">
        <v>3</v>
      </c>
      <c r="AJ112" s="15" t="n">
        <v>6</v>
      </c>
      <c r="AK112" s="15" t="n">
        <v>6</v>
      </c>
      <c r="AL112" s="15" t="n">
        <v>0</v>
      </c>
      <c r="AM112" s="15" t="n">
        <v>0</v>
      </c>
      <c r="AN112" s="15" t="n">
        <v>0</v>
      </c>
      <c r="AO112" s="15" t="n">
        <v>0</v>
      </c>
      <c r="AP112" s="15" t="s">
        <v>63</v>
      </c>
      <c r="AQ112" s="15" t="s">
        <v>63</v>
      </c>
      <c r="AR112" s="14"/>
      <c r="AS112" s="9" t="s">
        <v>303</v>
      </c>
      <c r="AT112" s="9" t="s">
        <v>304</v>
      </c>
      <c r="AU112" s="15" t="s">
        <v>854</v>
      </c>
      <c r="AV112" s="15" t="n">
        <v>26632380</v>
      </c>
      <c r="AW112" s="15" t="n">
        <v>9.91002076649702E+017</v>
      </c>
      <c r="AX112" s="15" t="n">
        <v>9.91002076649702E+017</v>
      </c>
      <c r="AY112" s="15" t="n">
        <v>2255127640002650</v>
      </c>
      <c r="AZ112" s="15" t="s">
        <v>77</v>
      </c>
      <c r="BA112" s="14"/>
      <c r="BB112" s="17" t="n">
        <v>9781555407117</v>
      </c>
      <c r="BC112" s="17" t="n">
        <v>32285001943389</v>
      </c>
      <c r="BD112" s="15" t="n">
        <v>893879475</v>
      </c>
      <c r="BE112" s="6" t="s">
        <v>306</v>
      </c>
    </row>
    <row r="113" customFormat="false" ht="36.5" hidden="false" customHeight="false" outlineLevel="0" collapsed="false">
      <c r="A113" s="4" t="s">
        <v>57</v>
      </c>
      <c r="B113" s="5" t="s">
        <v>855</v>
      </c>
      <c r="C113" s="5" t="s">
        <v>856</v>
      </c>
      <c r="D113" s="5" t="s">
        <v>857</v>
      </c>
      <c r="E113" s="14"/>
      <c r="F113" s="15" t="s">
        <v>63</v>
      </c>
      <c r="G113" s="15" t="n">
        <v>1</v>
      </c>
      <c r="H113" s="15" t="s">
        <v>63</v>
      </c>
      <c r="I113" s="15" t="s">
        <v>63</v>
      </c>
      <c r="J113" s="15" t="n">
        <v>0</v>
      </c>
      <c r="K113" s="5" t="s">
        <v>592</v>
      </c>
      <c r="L113" s="5" t="s">
        <v>858</v>
      </c>
      <c r="M113" s="15" t="n">
        <v>1991</v>
      </c>
      <c r="N113" s="14"/>
      <c r="O113" s="15" t="s">
        <v>67</v>
      </c>
      <c r="P113" s="15" t="s">
        <v>300</v>
      </c>
      <c r="Q113" s="14"/>
      <c r="R113" s="15" t="s">
        <v>302</v>
      </c>
      <c r="S113" s="15" t="n">
        <v>4</v>
      </c>
      <c r="T113" s="15" t="n">
        <v>4</v>
      </c>
      <c r="U113" s="16" t="n">
        <v>39195</v>
      </c>
      <c r="V113" s="16" t="n">
        <v>39195</v>
      </c>
      <c r="W113" s="16" t="n">
        <v>34319</v>
      </c>
      <c r="X113" s="16" t="n">
        <v>34319</v>
      </c>
      <c r="Y113" s="15" t="n">
        <v>297</v>
      </c>
      <c r="Z113" s="15" t="n">
        <v>229</v>
      </c>
      <c r="AA113" s="15" t="n">
        <v>232</v>
      </c>
      <c r="AB113" s="15" t="n">
        <v>2</v>
      </c>
      <c r="AC113" s="15" t="n">
        <v>2</v>
      </c>
      <c r="AD113" s="15" t="n">
        <v>19</v>
      </c>
      <c r="AE113" s="15" t="n">
        <v>19</v>
      </c>
      <c r="AF113" s="15" t="n">
        <v>9</v>
      </c>
      <c r="AG113" s="15" t="n">
        <v>9</v>
      </c>
      <c r="AH113" s="15" t="n">
        <v>4</v>
      </c>
      <c r="AI113" s="15" t="n">
        <v>4</v>
      </c>
      <c r="AJ113" s="15" t="n">
        <v>12</v>
      </c>
      <c r="AK113" s="15" t="n">
        <v>12</v>
      </c>
      <c r="AL113" s="15" t="n">
        <v>1</v>
      </c>
      <c r="AM113" s="15" t="n">
        <v>1</v>
      </c>
      <c r="AN113" s="15" t="n">
        <v>0</v>
      </c>
      <c r="AO113" s="15" t="n">
        <v>0</v>
      </c>
      <c r="AP113" s="15" t="s">
        <v>63</v>
      </c>
      <c r="AQ113" s="15" t="s">
        <v>57</v>
      </c>
      <c r="AR113" s="9" t="s">
        <v>312</v>
      </c>
      <c r="AS113" s="9" t="s">
        <v>303</v>
      </c>
      <c r="AT113" s="9" t="s">
        <v>304</v>
      </c>
      <c r="AU113" s="15" t="s">
        <v>859</v>
      </c>
      <c r="AV113" s="15" t="n">
        <v>24173840</v>
      </c>
      <c r="AW113" s="15" t="n">
        <v>9.91001914269702E+017</v>
      </c>
      <c r="AX113" s="15" t="n">
        <v>9.91001914269702E+017</v>
      </c>
      <c r="AY113" s="15" t="n">
        <v>2268936360002650</v>
      </c>
      <c r="AZ113" s="15" t="s">
        <v>77</v>
      </c>
      <c r="BA113" s="14"/>
      <c r="BB113" s="17" t="n">
        <v>9780800624866</v>
      </c>
      <c r="BC113" s="17" t="n">
        <v>32285001816361</v>
      </c>
      <c r="BD113" s="15" t="n">
        <v>893408465</v>
      </c>
      <c r="BE113" s="6" t="s">
        <v>306</v>
      </c>
    </row>
    <row r="114" customFormat="false" ht="36.5" hidden="false" customHeight="false" outlineLevel="0" collapsed="false">
      <c r="A114" s="4" t="s">
        <v>57</v>
      </c>
      <c r="B114" s="5" t="s">
        <v>860</v>
      </c>
      <c r="C114" s="5" t="s">
        <v>861</v>
      </c>
      <c r="D114" s="5" t="s">
        <v>862</v>
      </c>
      <c r="E114" s="14"/>
      <c r="F114" s="15" t="s">
        <v>63</v>
      </c>
      <c r="G114" s="15" t="n">
        <v>1</v>
      </c>
      <c r="H114" s="15" t="s">
        <v>63</v>
      </c>
      <c r="I114" s="15" t="s">
        <v>63</v>
      </c>
      <c r="J114" s="15" t="n">
        <v>0</v>
      </c>
      <c r="K114" s="5" t="s">
        <v>863</v>
      </c>
      <c r="L114" s="5" t="s">
        <v>864</v>
      </c>
      <c r="M114" s="15" t="n">
        <v>1978</v>
      </c>
      <c r="N114" s="14"/>
      <c r="O114" s="15" t="s">
        <v>67</v>
      </c>
      <c r="P114" s="15" t="s">
        <v>384</v>
      </c>
      <c r="Q114" s="14"/>
      <c r="R114" s="15" t="s">
        <v>302</v>
      </c>
      <c r="S114" s="15" t="n">
        <v>8</v>
      </c>
      <c r="T114" s="15" t="n">
        <v>8</v>
      </c>
      <c r="U114" s="16" t="n">
        <v>35906</v>
      </c>
      <c r="V114" s="16" t="n">
        <v>35906</v>
      </c>
      <c r="W114" s="16" t="n">
        <v>33371</v>
      </c>
      <c r="X114" s="16" t="n">
        <v>33371</v>
      </c>
      <c r="Y114" s="15" t="n">
        <v>297</v>
      </c>
      <c r="Z114" s="15" t="n">
        <v>175</v>
      </c>
      <c r="AA114" s="15" t="n">
        <v>303</v>
      </c>
      <c r="AB114" s="15" t="n">
        <v>2</v>
      </c>
      <c r="AC114" s="15" t="n">
        <v>3</v>
      </c>
      <c r="AD114" s="15" t="n">
        <v>10</v>
      </c>
      <c r="AE114" s="15" t="n">
        <v>19</v>
      </c>
      <c r="AF114" s="15" t="n">
        <v>4</v>
      </c>
      <c r="AG114" s="15" t="n">
        <v>8</v>
      </c>
      <c r="AH114" s="15" t="n">
        <v>1</v>
      </c>
      <c r="AI114" s="15" t="n">
        <v>4</v>
      </c>
      <c r="AJ114" s="15" t="n">
        <v>7</v>
      </c>
      <c r="AK114" s="15" t="n">
        <v>11</v>
      </c>
      <c r="AL114" s="15" t="n">
        <v>1</v>
      </c>
      <c r="AM114" s="15" t="n">
        <v>2</v>
      </c>
      <c r="AN114" s="15" t="n">
        <v>0</v>
      </c>
      <c r="AO114" s="15" t="n">
        <v>0</v>
      </c>
      <c r="AP114" s="15" t="s">
        <v>63</v>
      </c>
      <c r="AQ114" s="15" t="s">
        <v>63</v>
      </c>
      <c r="AR114" s="14"/>
      <c r="AS114" s="9" t="s">
        <v>303</v>
      </c>
      <c r="AT114" s="9" t="s">
        <v>304</v>
      </c>
      <c r="AU114" s="15" t="s">
        <v>865</v>
      </c>
      <c r="AV114" s="15" t="n">
        <v>4034870</v>
      </c>
      <c r="AW114" s="15" t="n">
        <v>9.91004571469702E+017</v>
      </c>
      <c r="AX114" s="15" t="n">
        <v>9.91004571469702E+017</v>
      </c>
      <c r="AY114" s="15" t="n">
        <v>2270049840002650</v>
      </c>
      <c r="AZ114" s="15" t="s">
        <v>77</v>
      </c>
      <c r="BA114" s="14"/>
      <c r="BB114" s="17" t="n">
        <v>9780853642145</v>
      </c>
      <c r="BC114" s="17" t="n">
        <v>32285000625268</v>
      </c>
      <c r="BD114" s="15" t="n">
        <v>893532545</v>
      </c>
      <c r="BE114" s="6" t="s">
        <v>306</v>
      </c>
    </row>
    <row r="115" customFormat="false" ht="36.5" hidden="false" customHeight="false" outlineLevel="0" collapsed="false">
      <c r="A115" s="4" t="s">
        <v>57</v>
      </c>
      <c r="B115" s="5" t="s">
        <v>866</v>
      </c>
      <c r="C115" s="5" t="s">
        <v>867</v>
      </c>
      <c r="D115" s="5" t="s">
        <v>868</v>
      </c>
      <c r="E115" s="14"/>
      <c r="F115" s="15" t="s">
        <v>63</v>
      </c>
      <c r="G115" s="15" t="n">
        <v>1</v>
      </c>
      <c r="H115" s="15" t="s">
        <v>63</v>
      </c>
      <c r="I115" s="15" t="s">
        <v>63</v>
      </c>
      <c r="J115" s="15" t="n">
        <v>0</v>
      </c>
      <c r="K115" s="5" t="s">
        <v>618</v>
      </c>
      <c r="L115" s="5" t="s">
        <v>869</v>
      </c>
      <c r="M115" s="15" t="n">
        <v>1965</v>
      </c>
      <c r="N115" s="14"/>
      <c r="O115" s="15" t="s">
        <v>67</v>
      </c>
      <c r="P115" s="15" t="s">
        <v>367</v>
      </c>
      <c r="Q115" s="5" t="s">
        <v>870</v>
      </c>
      <c r="R115" s="15" t="s">
        <v>302</v>
      </c>
      <c r="S115" s="15" t="n">
        <v>9</v>
      </c>
      <c r="T115" s="15" t="n">
        <v>9</v>
      </c>
      <c r="U115" s="16" t="n">
        <v>37374</v>
      </c>
      <c r="V115" s="16" t="n">
        <v>37374</v>
      </c>
      <c r="W115" s="16" t="n">
        <v>33371</v>
      </c>
      <c r="X115" s="16" t="n">
        <v>33371</v>
      </c>
      <c r="Y115" s="15" t="n">
        <v>495</v>
      </c>
      <c r="Z115" s="15" t="n">
        <v>416</v>
      </c>
      <c r="AA115" s="15" t="n">
        <v>423</v>
      </c>
      <c r="AB115" s="15" t="n">
        <v>3</v>
      </c>
      <c r="AC115" s="15" t="n">
        <v>3</v>
      </c>
      <c r="AD115" s="15" t="n">
        <v>29</v>
      </c>
      <c r="AE115" s="15" t="n">
        <v>29</v>
      </c>
      <c r="AF115" s="15" t="n">
        <v>12</v>
      </c>
      <c r="AG115" s="15" t="n">
        <v>12</v>
      </c>
      <c r="AH115" s="15" t="n">
        <v>7</v>
      </c>
      <c r="AI115" s="15" t="n">
        <v>7</v>
      </c>
      <c r="AJ115" s="15" t="n">
        <v>17</v>
      </c>
      <c r="AK115" s="15" t="n">
        <v>17</v>
      </c>
      <c r="AL115" s="15" t="n">
        <v>2</v>
      </c>
      <c r="AM115" s="15" t="n">
        <v>2</v>
      </c>
      <c r="AN115" s="15" t="n">
        <v>0</v>
      </c>
      <c r="AO115" s="15" t="n">
        <v>0</v>
      </c>
      <c r="AP115" s="15" t="s">
        <v>63</v>
      </c>
      <c r="AQ115" s="15" t="s">
        <v>63</v>
      </c>
      <c r="AR115" s="14"/>
      <c r="AS115" s="9" t="s">
        <v>303</v>
      </c>
      <c r="AT115" s="9" t="s">
        <v>304</v>
      </c>
      <c r="AU115" s="15" t="s">
        <v>871</v>
      </c>
      <c r="AV115" s="15" t="n">
        <v>394272</v>
      </c>
      <c r="AW115" s="15" t="n">
        <v>9.91002668269702E+017</v>
      </c>
      <c r="AX115" s="15" t="n">
        <v>9.91002668269702E+017</v>
      </c>
      <c r="AY115" s="15" t="n">
        <v>2260103730002650</v>
      </c>
      <c r="AZ115" s="15" t="s">
        <v>77</v>
      </c>
      <c r="BA115" s="14"/>
      <c r="BB115" s="19"/>
      <c r="BC115" s="17" t="n">
        <v>32285000625276</v>
      </c>
      <c r="BD115" s="15" t="n">
        <v>893335563</v>
      </c>
      <c r="BE115" s="6" t="s">
        <v>306</v>
      </c>
    </row>
    <row r="116" customFormat="false" ht="36.5" hidden="false" customHeight="false" outlineLevel="0" collapsed="false">
      <c r="A116" s="4" t="s">
        <v>57</v>
      </c>
      <c r="B116" s="5" t="s">
        <v>872</v>
      </c>
      <c r="C116" s="5" t="s">
        <v>873</v>
      </c>
      <c r="D116" s="5" t="s">
        <v>874</v>
      </c>
      <c r="E116" s="14"/>
      <c r="F116" s="15" t="s">
        <v>63</v>
      </c>
      <c r="G116" s="15" t="n">
        <v>1</v>
      </c>
      <c r="H116" s="15" t="s">
        <v>63</v>
      </c>
      <c r="I116" s="15" t="s">
        <v>57</v>
      </c>
      <c r="J116" s="15" t="n">
        <v>0</v>
      </c>
      <c r="K116" s="5" t="s">
        <v>618</v>
      </c>
      <c r="L116" s="5" t="s">
        <v>875</v>
      </c>
      <c r="M116" s="15" t="n">
        <v>1986</v>
      </c>
      <c r="N116" s="5" t="s">
        <v>876</v>
      </c>
      <c r="O116" s="15" t="s">
        <v>67</v>
      </c>
      <c r="P116" s="15" t="s">
        <v>401</v>
      </c>
      <c r="Q116" s="5" t="s">
        <v>877</v>
      </c>
      <c r="R116" s="15" t="s">
        <v>302</v>
      </c>
      <c r="S116" s="15" t="n">
        <v>7</v>
      </c>
      <c r="T116" s="15" t="n">
        <v>7</v>
      </c>
      <c r="U116" s="16" t="n">
        <v>37221</v>
      </c>
      <c r="V116" s="16" t="n">
        <v>37221</v>
      </c>
      <c r="W116" s="16" t="n">
        <v>34724</v>
      </c>
      <c r="X116" s="16" t="n">
        <v>34724</v>
      </c>
      <c r="Y116" s="15" t="n">
        <v>281</v>
      </c>
      <c r="Z116" s="15" t="n">
        <v>237</v>
      </c>
      <c r="AA116" s="15" t="n">
        <v>596</v>
      </c>
      <c r="AB116" s="15" t="n">
        <v>4</v>
      </c>
      <c r="AC116" s="15" t="n">
        <v>8</v>
      </c>
      <c r="AD116" s="15" t="n">
        <v>18</v>
      </c>
      <c r="AE116" s="15" t="n">
        <v>38</v>
      </c>
      <c r="AF116" s="15" t="n">
        <v>8</v>
      </c>
      <c r="AG116" s="15" t="n">
        <v>14</v>
      </c>
      <c r="AH116" s="15" t="n">
        <v>4</v>
      </c>
      <c r="AI116" s="15" t="n">
        <v>5</v>
      </c>
      <c r="AJ116" s="15" t="n">
        <v>8</v>
      </c>
      <c r="AK116" s="15" t="n">
        <v>20</v>
      </c>
      <c r="AL116" s="15" t="n">
        <v>2</v>
      </c>
      <c r="AM116" s="15" t="n">
        <v>6</v>
      </c>
      <c r="AN116" s="15" t="n">
        <v>0</v>
      </c>
      <c r="AO116" s="15" t="n">
        <v>1</v>
      </c>
      <c r="AP116" s="15" t="s">
        <v>63</v>
      </c>
      <c r="AQ116" s="15" t="s">
        <v>63</v>
      </c>
      <c r="AR116" s="14"/>
      <c r="AS116" s="9" t="s">
        <v>303</v>
      </c>
      <c r="AT116" s="9" t="s">
        <v>304</v>
      </c>
      <c r="AU116" s="15" t="s">
        <v>878</v>
      </c>
      <c r="AV116" s="15" t="n">
        <v>13092633</v>
      </c>
      <c r="AW116" s="15" t="n">
        <v>9.91000777979702E+017</v>
      </c>
      <c r="AX116" s="15" t="n">
        <v>9.91000777979702E+017</v>
      </c>
      <c r="AY116" s="15" t="n">
        <v>2271275600002650</v>
      </c>
      <c r="AZ116" s="15" t="s">
        <v>77</v>
      </c>
      <c r="BA116" s="14"/>
      <c r="BB116" s="17" t="n">
        <v>9780800619176</v>
      </c>
      <c r="BC116" s="17" t="n">
        <v>32285001779072</v>
      </c>
      <c r="BD116" s="15" t="n">
        <v>893345968</v>
      </c>
      <c r="BE116" s="6" t="s">
        <v>306</v>
      </c>
    </row>
    <row r="117" customFormat="false" ht="48" hidden="false" customHeight="false" outlineLevel="0" collapsed="false">
      <c r="A117" s="4" t="s">
        <v>57</v>
      </c>
      <c r="B117" s="5" t="s">
        <v>879</v>
      </c>
      <c r="C117" s="5" t="s">
        <v>880</v>
      </c>
      <c r="D117" s="5" t="s">
        <v>881</v>
      </c>
      <c r="E117" s="14"/>
      <c r="F117" s="15" t="s">
        <v>63</v>
      </c>
      <c r="G117" s="15" t="n">
        <v>1</v>
      </c>
      <c r="H117" s="15" t="s">
        <v>63</v>
      </c>
      <c r="I117" s="15" t="s">
        <v>63</v>
      </c>
      <c r="J117" s="15" t="n">
        <v>0</v>
      </c>
      <c r="K117" s="5" t="s">
        <v>882</v>
      </c>
      <c r="L117" s="5" t="s">
        <v>414</v>
      </c>
      <c r="M117" s="15" t="n">
        <v>1988</v>
      </c>
      <c r="N117" s="14"/>
      <c r="O117" s="15" t="s">
        <v>67</v>
      </c>
      <c r="P117" s="15" t="s">
        <v>415</v>
      </c>
      <c r="Q117" s="5" t="s">
        <v>883</v>
      </c>
      <c r="R117" s="15" t="s">
        <v>302</v>
      </c>
      <c r="S117" s="15" t="n">
        <v>1</v>
      </c>
      <c r="T117" s="15" t="n">
        <v>1</v>
      </c>
      <c r="U117" s="16" t="n">
        <v>33893</v>
      </c>
      <c r="V117" s="16" t="n">
        <v>33893</v>
      </c>
      <c r="W117" s="16" t="n">
        <v>33263</v>
      </c>
      <c r="X117" s="16" t="n">
        <v>33263</v>
      </c>
      <c r="Y117" s="15" t="n">
        <v>280</v>
      </c>
      <c r="Z117" s="15" t="n">
        <v>201</v>
      </c>
      <c r="AA117" s="15" t="n">
        <v>204</v>
      </c>
      <c r="AB117" s="15" t="n">
        <v>2</v>
      </c>
      <c r="AC117" s="15" t="n">
        <v>2</v>
      </c>
      <c r="AD117" s="15" t="n">
        <v>14</v>
      </c>
      <c r="AE117" s="15" t="n">
        <v>14</v>
      </c>
      <c r="AF117" s="15" t="n">
        <v>6</v>
      </c>
      <c r="AG117" s="15" t="n">
        <v>6</v>
      </c>
      <c r="AH117" s="15" t="n">
        <v>2</v>
      </c>
      <c r="AI117" s="15" t="n">
        <v>2</v>
      </c>
      <c r="AJ117" s="15" t="n">
        <v>7</v>
      </c>
      <c r="AK117" s="15" t="n">
        <v>7</v>
      </c>
      <c r="AL117" s="15" t="n">
        <v>1</v>
      </c>
      <c r="AM117" s="15" t="n">
        <v>1</v>
      </c>
      <c r="AN117" s="15" t="n">
        <v>0</v>
      </c>
      <c r="AO117" s="15" t="n">
        <v>0</v>
      </c>
      <c r="AP117" s="15" t="s">
        <v>63</v>
      </c>
      <c r="AQ117" s="15" t="s">
        <v>63</v>
      </c>
      <c r="AR117" s="14"/>
      <c r="AS117" s="9" t="s">
        <v>303</v>
      </c>
      <c r="AT117" s="9" t="s">
        <v>304</v>
      </c>
      <c r="AU117" s="15" t="s">
        <v>884</v>
      </c>
      <c r="AV117" s="15" t="n">
        <v>12946909</v>
      </c>
      <c r="AW117" s="15" t="n">
        <v>9.91000755559702E+017</v>
      </c>
      <c r="AX117" s="15" t="n">
        <v>9.91000755559702E+017</v>
      </c>
      <c r="AY117" s="15" t="n">
        <v>2271088780002650</v>
      </c>
      <c r="AZ117" s="15" t="s">
        <v>77</v>
      </c>
      <c r="BA117" s="14"/>
      <c r="BB117" s="17" t="n">
        <v>9780891309475</v>
      </c>
      <c r="BC117" s="17" t="n">
        <v>32285000460955</v>
      </c>
      <c r="BD117" s="15" t="n">
        <v>893243545</v>
      </c>
      <c r="BE117" s="6" t="s">
        <v>306</v>
      </c>
    </row>
    <row r="118" customFormat="false" ht="25" hidden="false" customHeight="false" outlineLevel="0" collapsed="false">
      <c r="A118" s="4" t="s">
        <v>57</v>
      </c>
      <c r="B118" s="5" t="s">
        <v>885</v>
      </c>
      <c r="C118" s="5" t="s">
        <v>886</v>
      </c>
      <c r="D118" s="5" t="s">
        <v>887</v>
      </c>
      <c r="E118" s="14"/>
      <c r="F118" s="15" t="s">
        <v>63</v>
      </c>
      <c r="G118" s="15" t="n">
        <v>1</v>
      </c>
      <c r="H118" s="15" t="s">
        <v>63</v>
      </c>
      <c r="I118" s="15" t="s">
        <v>57</v>
      </c>
      <c r="J118" s="15" t="n">
        <v>0</v>
      </c>
      <c r="K118" s="5" t="s">
        <v>787</v>
      </c>
      <c r="L118" s="5" t="s">
        <v>888</v>
      </c>
      <c r="M118" s="15" t="n">
        <v>1976</v>
      </c>
      <c r="N118" s="14"/>
      <c r="O118" s="15" t="s">
        <v>67</v>
      </c>
      <c r="P118" s="15" t="s">
        <v>415</v>
      </c>
      <c r="Q118" s="14"/>
      <c r="R118" s="15" t="s">
        <v>302</v>
      </c>
      <c r="S118" s="15" t="n">
        <v>5</v>
      </c>
      <c r="T118" s="15" t="n">
        <v>5</v>
      </c>
      <c r="U118" s="16" t="n">
        <v>39028</v>
      </c>
      <c r="V118" s="16" t="n">
        <v>39028</v>
      </c>
      <c r="W118" s="16" t="n">
        <v>33372</v>
      </c>
      <c r="X118" s="16" t="n">
        <v>33372</v>
      </c>
      <c r="Y118" s="15" t="n">
        <v>591</v>
      </c>
      <c r="Z118" s="15" t="n">
        <v>514</v>
      </c>
      <c r="AA118" s="15" t="n">
        <v>934</v>
      </c>
      <c r="AB118" s="15" t="n">
        <v>8</v>
      </c>
      <c r="AC118" s="15" t="n">
        <v>8</v>
      </c>
      <c r="AD118" s="15" t="n">
        <v>31</v>
      </c>
      <c r="AE118" s="15" t="n">
        <v>44</v>
      </c>
      <c r="AF118" s="15" t="n">
        <v>13</v>
      </c>
      <c r="AG118" s="15" t="n">
        <v>19</v>
      </c>
      <c r="AH118" s="15" t="n">
        <v>3</v>
      </c>
      <c r="AI118" s="15" t="n">
        <v>8</v>
      </c>
      <c r="AJ118" s="15" t="n">
        <v>17</v>
      </c>
      <c r="AK118" s="15" t="n">
        <v>23</v>
      </c>
      <c r="AL118" s="15" t="n">
        <v>6</v>
      </c>
      <c r="AM118" s="15" t="n">
        <v>6</v>
      </c>
      <c r="AN118" s="15" t="n">
        <v>0</v>
      </c>
      <c r="AO118" s="15" t="n">
        <v>0</v>
      </c>
      <c r="AP118" s="15" t="s">
        <v>63</v>
      </c>
      <c r="AQ118" s="15" t="s">
        <v>57</v>
      </c>
      <c r="AR118" s="9" t="s">
        <v>312</v>
      </c>
      <c r="AS118" s="9" t="s">
        <v>303</v>
      </c>
      <c r="AT118" s="9" t="s">
        <v>304</v>
      </c>
      <c r="AU118" s="15" t="s">
        <v>889</v>
      </c>
      <c r="AV118" s="15" t="n">
        <v>2424454</v>
      </c>
      <c r="AW118" s="15" t="n">
        <v>9.91004119789702E+017</v>
      </c>
      <c r="AX118" s="15" t="n">
        <v>9.91004119789702E+017</v>
      </c>
      <c r="AY118" s="15" t="n">
        <v>2265044510002650</v>
      </c>
      <c r="AZ118" s="15" t="s">
        <v>77</v>
      </c>
      <c r="BA118" s="14"/>
      <c r="BB118" s="17" t="n">
        <v>9780804203029</v>
      </c>
      <c r="BC118" s="17" t="n">
        <v>32285000625037</v>
      </c>
      <c r="BD118" s="15" t="n">
        <v>893318815</v>
      </c>
      <c r="BE118" s="6" t="s">
        <v>306</v>
      </c>
    </row>
    <row r="119" customFormat="false" ht="36.5" hidden="false" customHeight="false" outlineLevel="0" collapsed="false">
      <c r="A119" s="4" t="s">
        <v>57</v>
      </c>
      <c r="B119" s="5" t="s">
        <v>890</v>
      </c>
      <c r="C119" s="5" t="s">
        <v>891</v>
      </c>
      <c r="D119" s="5" t="s">
        <v>892</v>
      </c>
      <c r="E119" s="14"/>
      <c r="F119" s="15" t="s">
        <v>63</v>
      </c>
      <c r="G119" s="15" t="n">
        <v>1</v>
      </c>
      <c r="H119" s="15" t="s">
        <v>63</v>
      </c>
      <c r="I119" s="15" t="s">
        <v>63</v>
      </c>
      <c r="J119" s="15" t="n">
        <v>0</v>
      </c>
      <c r="K119" s="5" t="s">
        <v>893</v>
      </c>
      <c r="L119" s="5" t="s">
        <v>894</v>
      </c>
      <c r="M119" s="15" t="n">
        <v>1991</v>
      </c>
      <c r="N119" s="14"/>
      <c r="O119" s="15" t="s">
        <v>67</v>
      </c>
      <c r="P119" s="15" t="s">
        <v>300</v>
      </c>
      <c r="Q119" s="5" t="s">
        <v>581</v>
      </c>
      <c r="R119" s="15" t="s">
        <v>302</v>
      </c>
      <c r="S119" s="15" t="n">
        <v>7</v>
      </c>
      <c r="T119" s="15" t="n">
        <v>7</v>
      </c>
      <c r="U119" s="16" t="n">
        <v>36972</v>
      </c>
      <c r="V119" s="16" t="n">
        <v>36972</v>
      </c>
      <c r="W119" s="16" t="n">
        <v>33841</v>
      </c>
      <c r="X119" s="16" t="n">
        <v>33841</v>
      </c>
      <c r="Y119" s="15" t="n">
        <v>163</v>
      </c>
      <c r="Z119" s="15" t="n">
        <v>139</v>
      </c>
      <c r="AA119" s="15" t="n">
        <v>145</v>
      </c>
      <c r="AB119" s="15" t="n">
        <v>1</v>
      </c>
      <c r="AC119" s="15" t="n">
        <v>1</v>
      </c>
      <c r="AD119" s="15" t="n">
        <v>16</v>
      </c>
      <c r="AE119" s="15" t="n">
        <v>16</v>
      </c>
      <c r="AF119" s="15" t="n">
        <v>9</v>
      </c>
      <c r="AG119" s="15" t="n">
        <v>9</v>
      </c>
      <c r="AH119" s="15" t="n">
        <v>2</v>
      </c>
      <c r="AI119" s="15" t="n">
        <v>2</v>
      </c>
      <c r="AJ119" s="15" t="n">
        <v>11</v>
      </c>
      <c r="AK119" s="15" t="n">
        <v>11</v>
      </c>
      <c r="AL119" s="15" t="n">
        <v>0</v>
      </c>
      <c r="AM119" s="15" t="n">
        <v>0</v>
      </c>
      <c r="AN119" s="15" t="n">
        <v>0</v>
      </c>
      <c r="AO119" s="15" t="n">
        <v>0</v>
      </c>
      <c r="AP119" s="15" t="s">
        <v>63</v>
      </c>
      <c r="AQ119" s="15" t="s">
        <v>57</v>
      </c>
      <c r="AR119" s="9" t="s">
        <v>312</v>
      </c>
      <c r="AS119" s="9" t="s">
        <v>303</v>
      </c>
      <c r="AT119" s="9" t="s">
        <v>304</v>
      </c>
      <c r="AU119" s="15" t="s">
        <v>895</v>
      </c>
      <c r="AV119" s="15" t="n">
        <v>24141667</v>
      </c>
      <c r="AW119" s="15" t="n">
        <v>9.91001910369702E+017</v>
      </c>
      <c r="AX119" s="15" t="n">
        <v>9.91001910369702E+017</v>
      </c>
      <c r="AY119" s="15" t="n">
        <v>2262887860002650</v>
      </c>
      <c r="AZ119" s="15" t="s">
        <v>77</v>
      </c>
      <c r="BA119" s="14"/>
      <c r="BB119" s="19"/>
      <c r="BC119" s="17" t="n">
        <v>32285001198638</v>
      </c>
      <c r="BD119" s="15" t="n">
        <v>893408458</v>
      </c>
      <c r="BE119" s="6" t="s">
        <v>306</v>
      </c>
    </row>
    <row r="120" customFormat="false" ht="36.5" hidden="false" customHeight="false" outlineLevel="0" collapsed="false">
      <c r="A120" s="4" t="s">
        <v>57</v>
      </c>
      <c r="B120" s="5" t="s">
        <v>896</v>
      </c>
      <c r="C120" s="5" t="s">
        <v>897</v>
      </c>
      <c r="D120" s="5" t="s">
        <v>898</v>
      </c>
      <c r="E120" s="14"/>
      <c r="F120" s="15" t="s">
        <v>63</v>
      </c>
      <c r="G120" s="15" t="n">
        <v>1</v>
      </c>
      <c r="H120" s="15" t="s">
        <v>63</v>
      </c>
      <c r="I120" s="15" t="s">
        <v>63</v>
      </c>
      <c r="J120" s="15" t="n">
        <v>0</v>
      </c>
      <c r="K120" s="5" t="s">
        <v>899</v>
      </c>
      <c r="L120" s="5" t="s">
        <v>900</v>
      </c>
      <c r="M120" s="15" t="n">
        <v>1982</v>
      </c>
      <c r="N120" s="5" t="s">
        <v>901</v>
      </c>
      <c r="O120" s="15" t="s">
        <v>67</v>
      </c>
      <c r="P120" s="15" t="s">
        <v>272</v>
      </c>
      <c r="Q120" s="14"/>
      <c r="R120" s="15" t="s">
        <v>302</v>
      </c>
      <c r="S120" s="15" t="n">
        <v>8</v>
      </c>
      <c r="T120" s="15" t="n">
        <v>8</v>
      </c>
      <c r="U120" s="16" t="n">
        <v>36983</v>
      </c>
      <c r="V120" s="16" t="n">
        <v>36983</v>
      </c>
      <c r="W120" s="16" t="n">
        <v>32989</v>
      </c>
      <c r="X120" s="16" t="n">
        <v>32989</v>
      </c>
      <c r="Y120" s="15" t="n">
        <v>364</v>
      </c>
      <c r="Z120" s="15" t="n">
        <v>338</v>
      </c>
      <c r="AA120" s="15" t="n">
        <v>343</v>
      </c>
      <c r="AB120" s="15" t="n">
        <v>4</v>
      </c>
      <c r="AC120" s="15" t="n">
        <v>4</v>
      </c>
      <c r="AD120" s="15" t="n">
        <v>23</v>
      </c>
      <c r="AE120" s="15" t="n">
        <v>23</v>
      </c>
      <c r="AF120" s="15" t="n">
        <v>7</v>
      </c>
      <c r="AG120" s="15" t="n">
        <v>7</v>
      </c>
      <c r="AH120" s="15" t="n">
        <v>5</v>
      </c>
      <c r="AI120" s="15" t="n">
        <v>5</v>
      </c>
      <c r="AJ120" s="15" t="n">
        <v>12</v>
      </c>
      <c r="AK120" s="15" t="n">
        <v>12</v>
      </c>
      <c r="AL120" s="15" t="n">
        <v>2</v>
      </c>
      <c r="AM120" s="15" t="n">
        <v>2</v>
      </c>
      <c r="AN120" s="15" t="n">
        <v>0</v>
      </c>
      <c r="AO120" s="15" t="n">
        <v>0</v>
      </c>
      <c r="AP120" s="15" t="s">
        <v>63</v>
      </c>
      <c r="AQ120" s="15" t="s">
        <v>63</v>
      </c>
      <c r="AR120" s="14"/>
      <c r="AS120" s="9" t="s">
        <v>303</v>
      </c>
      <c r="AT120" s="9" t="s">
        <v>304</v>
      </c>
      <c r="AU120" s="15" t="s">
        <v>902</v>
      </c>
      <c r="AV120" s="15" t="n">
        <v>7796743</v>
      </c>
      <c r="AW120" s="15" t="n">
        <v>9.91005162519702E+017</v>
      </c>
      <c r="AX120" s="15" t="n">
        <v>9.91005162519702E+017</v>
      </c>
      <c r="AY120" s="15" t="n">
        <v>2266213230002650</v>
      </c>
      <c r="AZ120" s="15" t="s">
        <v>77</v>
      </c>
      <c r="BA120" s="14"/>
      <c r="BB120" s="17" t="n">
        <v>9780060620677</v>
      </c>
      <c r="BC120" s="17" t="n">
        <v>32285000133842</v>
      </c>
      <c r="BD120" s="15" t="n">
        <v>893501426</v>
      </c>
      <c r="BE120" s="6" t="s">
        <v>306</v>
      </c>
    </row>
    <row r="121" customFormat="false" ht="36.5" hidden="false" customHeight="false" outlineLevel="0" collapsed="false">
      <c r="A121" s="4" t="s">
        <v>57</v>
      </c>
      <c r="B121" s="5" t="s">
        <v>903</v>
      </c>
      <c r="C121" s="5" t="s">
        <v>904</v>
      </c>
      <c r="D121" s="5" t="s">
        <v>905</v>
      </c>
      <c r="E121" s="14"/>
      <c r="F121" s="15" t="s">
        <v>63</v>
      </c>
      <c r="G121" s="15" t="n">
        <v>1</v>
      </c>
      <c r="H121" s="15" t="s">
        <v>63</v>
      </c>
      <c r="I121" s="15" t="s">
        <v>63</v>
      </c>
      <c r="J121" s="15" t="n">
        <v>0</v>
      </c>
      <c r="K121" s="5" t="s">
        <v>906</v>
      </c>
      <c r="L121" s="5" t="s">
        <v>907</v>
      </c>
      <c r="M121" s="15" t="n">
        <v>1983</v>
      </c>
      <c r="N121" s="14"/>
      <c r="O121" s="15" t="s">
        <v>67</v>
      </c>
      <c r="P121" s="15" t="s">
        <v>401</v>
      </c>
      <c r="Q121" s="14"/>
      <c r="R121" s="15" t="s">
        <v>302</v>
      </c>
      <c r="S121" s="15" t="n">
        <v>2</v>
      </c>
      <c r="T121" s="15" t="n">
        <v>2</v>
      </c>
      <c r="U121" s="16" t="n">
        <v>36929</v>
      </c>
      <c r="V121" s="16" t="n">
        <v>36929</v>
      </c>
      <c r="W121" s="16" t="n">
        <v>33372</v>
      </c>
      <c r="X121" s="16" t="n">
        <v>33372</v>
      </c>
      <c r="Y121" s="15" t="n">
        <v>276</v>
      </c>
      <c r="Z121" s="15" t="n">
        <v>236</v>
      </c>
      <c r="AA121" s="15" t="n">
        <v>237</v>
      </c>
      <c r="AB121" s="15" t="n">
        <v>3</v>
      </c>
      <c r="AC121" s="15" t="n">
        <v>3</v>
      </c>
      <c r="AD121" s="15" t="n">
        <v>18</v>
      </c>
      <c r="AE121" s="15" t="n">
        <v>18</v>
      </c>
      <c r="AF121" s="15" t="n">
        <v>5</v>
      </c>
      <c r="AG121" s="15" t="n">
        <v>5</v>
      </c>
      <c r="AH121" s="15" t="n">
        <v>5</v>
      </c>
      <c r="AI121" s="15" t="n">
        <v>5</v>
      </c>
      <c r="AJ121" s="15" t="n">
        <v>11</v>
      </c>
      <c r="AK121" s="15" t="n">
        <v>11</v>
      </c>
      <c r="AL121" s="15" t="n">
        <v>1</v>
      </c>
      <c r="AM121" s="15" t="n">
        <v>1</v>
      </c>
      <c r="AN121" s="15" t="n">
        <v>0</v>
      </c>
      <c r="AO121" s="15" t="n">
        <v>0</v>
      </c>
      <c r="AP121" s="15" t="s">
        <v>63</v>
      </c>
      <c r="AQ121" s="15" t="s">
        <v>57</v>
      </c>
      <c r="AR121" s="9" t="s">
        <v>312</v>
      </c>
      <c r="AS121" s="9" t="s">
        <v>303</v>
      </c>
      <c r="AT121" s="9" t="s">
        <v>304</v>
      </c>
      <c r="AU121" s="15" t="s">
        <v>908</v>
      </c>
      <c r="AV121" s="15" t="n">
        <v>8785165</v>
      </c>
      <c r="AW121" s="15" t="n">
        <v>9.91000071209702E+017</v>
      </c>
      <c r="AX121" s="15" t="n">
        <v>9.91000071209702E+017</v>
      </c>
      <c r="AY121" s="15" t="n">
        <v>2266807570002650</v>
      </c>
      <c r="AZ121" s="15" t="s">
        <v>77</v>
      </c>
      <c r="BA121" s="14"/>
      <c r="BB121" s="17" t="n">
        <v>9780800616946</v>
      </c>
      <c r="BC121" s="17" t="n">
        <v>32285000625771</v>
      </c>
      <c r="BD121" s="15" t="n">
        <v>893613851</v>
      </c>
      <c r="BE121" s="6" t="s">
        <v>306</v>
      </c>
    </row>
    <row r="122" customFormat="false" ht="36.5" hidden="false" customHeight="false" outlineLevel="0" collapsed="false">
      <c r="A122" s="4" t="s">
        <v>57</v>
      </c>
      <c r="B122" s="5" t="s">
        <v>909</v>
      </c>
      <c r="C122" s="5" t="s">
        <v>910</v>
      </c>
      <c r="D122" s="5" t="s">
        <v>911</v>
      </c>
      <c r="E122" s="14"/>
      <c r="F122" s="15" t="s">
        <v>63</v>
      </c>
      <c r="G122" s="15" t="n">
        <v>1</v>
      </c>
      <c r="H122" s="15" t="s">
        <v>63</v>
      </c>
      <c r="I122" s="15" t="s">
        <v>63</v>
      </c>
      <c r="J122" s="15" t="n">
        <v>0</v>
      </c>
      <c r="K122" s="5" t="s">
        <v>912</v>
      </c>
      <c r="L122" s="5" t="s">
        <v>913</v>
      </c>
      <c r="M122" s="15" t="n">
        <v>1980</v>
      </c>
      <c r="N122" s="14"/>
      <c r="O122" s="15" t="s">
        <v>67</v>
      </c>
      <c r="P122" s="15" t="s">
        <v>68</v>
      </c>
      <c r="Q122" s="14"/>
      <c r="R122" s="15" t="s">
        <v>302</v>
      </c>
      <c r="S122" s="15" t="n">
        <v>3</v>
      </c>
      <c r="T122" s="15" t="n">
        <v>3</v>
      </c>
      <c r="U122" s="16" t="n">
        <v>36065</v>
      </c>
      <c r="V122" s="16" t="n">
        <v>36065</v>
      </c>
      <c r="W122" s="16" t="n">
        <v>33375</v>
      </c>
      <c r="X122" s="16" t="n">
        <v>33375</v>
      </c>
      <c r="Y122" s="15" t="n">
        <v>338</v>
      </c>
      <c r="Z122" s="15" t="n">
        <v>310</v>
      </c>
      <c r="AA122" s="15" t="n">
        <v>311</v>
      </c>
      <c r="AB122" s="15" t="n">
        <v>3</v>
      </c>
      <c r="AC122" s="15" t="n">
        <v>3</v>
      </c>
      <c r="AD122" s="15" t="n">
        <v>19</v>
      </c>
      <c r="AE122" s="15" t="n">
        <v>19</v>
      </c>
      <c r="AF122" s="15" t="n">
        <v>8</v>
      </c>
      <c r="AG122" s="15" t="n">
        <v>8</v>
      </c>
      <c r="AH122" s="15" t="n">
        <v>3</v>
      </c>
      <c r="AI122" s="15" t="n">
        <v>3</v>
      </c>
      <c r="AJ122" s="15" t="n">
        <v>12</v>
      </c>
      <c r="AK122" s="15" t="n">
        <v>12</v>
      </c>
      <c r="AL122" s="15" t="n">
        <v>1</v>
      </c>
      <c r="AM122" s="15" t="n">
        <v>1</v>
      </c>
      <c r="AN122" s="15" t="n">
        <v>0</v>
      </c>
      <c r="AO122" s="15" t="n">
        <v>0</v>
      </c>
      <c r="AP122" s="15" t="s">
        <v>63</v>
      </c>
      <c r="AQ122" s="15" t="s">
        <v>57</v>
      </c>
      <c r="AR122" s="9" t="s">
        <v>312</v>
      </c>
      <c r="AS122" s="9" t="s">
        <v>303</v>
      </c>
      <c r="AT122" s="9" t="s">
        <v>304</v>
      </c>
      <c r="AU122" s="15" t="s">
        <v>914</v>
      </c>
      <c r="AV122" s="15" t="n">
        <v>5830596</v>
      </c>
      <c r="AW122" s="15" t="n">
        <v>9.91004883989702E+017</v>
      </c>
      <c r="AX122" s="15" t="n">
        <v>9.91004883989702E+017</v>
      </c>
      <c r="AY122" s="15" t="n">
        <v>2260848060002650</v>
      </c>
      <c r="AZ122" s="15" t="s">
        <v>77</v>
      </c>
      <c r="BA122" s="14"/>
      <c r="BB122" s="17" t="n">
        <v>9780195201888</v>
      </c>
      <c r="BC122" s="17" t="n">
        <v>32285000626258</v>
      </c>
      <c r="BD122" s="15" t="n">
        <v>893700783</v>
      </c>
      <c r="BE122" s="6" t="s">
        <v>306</v>
      </c>
    </row>
    <row r="123" customFormat="false" ht="36.5" hidden="false" customHeight="false" outlineLevel="0" collapsed="false">
      <c r="A123" s="4" t="s">
        <v>57</v>
      </c>
      <c r="B123" s="5" t="s">
        <v>915</v>
      </c>
      <c r="C123" s="5" t="s">
        <v>916</v>
      </c>
      <c r="D123" s="5" t="s">
        <v>917</v>
      </c>
      <c r="E123" s="14"/>
      <c r="F123" s="15" t="s">
        <v>63</v>
      </c>
      <c r="G123" s="15" t="n">
        <v>1</v>
      </c>
      <c r="H123" s="15" t="s">
        <v>63</v>
      </c>
      <c r="I123" s="15" t="s">
        <v>63</v>
      </c>
      <c r="J123" s="15" t="n">
        <v>0</v>
      </c>
      <c r="K123" s="5" t="s">
        <v>918</v>
      </c>
      <c r="L123" s="5" t="s">
        <v>919</v>
      </c>
      <c r="M123" s="14"/>
      <c r="N123" s="5" t="s">
        <v>920</v>
      </c>
      <c r="O123" s="15" t="s">
        <v>67</v>
      </c>
      <c r="P123" s="15" t="s">
        <v>367</v>
      </c>
      <c r="Q123" s="5" t="s">
        <v>921</v>
      </c>
      <c r="R123" s="15" t="s">
        <v>302</v>
      </c>
      <c r="S123" s="15" t="n">
        <v>9</v>
      </c>
      <c r="T123" s="15" t="n">
        <v>9</v>
      </c>
      <c r="U123" s="16" t="n">
        <v>36622</v>
      </c>
      <c r="V123" s="16" t="n">
        <v>36622</v>
      </c>
      <c r="W123" s="16" t="n">
        <v>33382</v>
      </c>
      <c r="X123" s="16" t="n">
        <v>33382</v>
      </c>
      <c r="Y123" s="15" t="n">
        <v>248</v>
      </c>
      <c r="Z123" s="15" t="n">
        <v>232</v>
      </c>
      <c r="AA123" s="15" t="n">
        <v>232</v>
      </c>
      <c r="AB123" s="15" t="n">
        <v>3</v>
      </c>
      <c r="AC123" s="15" t="n">
        <v>3</v>
      </c>
      <c r="AD123" s="15" t="n">
        <v>14</v>
      </c>
      <c r="AE123" s="15" t="n">
        <v>14</v>
      </c>
      <c r="AF123" s="15" t="n">
        <v>8</v>
      </c>
      <c r="AG123" s="15" t="n">
        <v>8</v>
      </c>
      <c r="AH123" s="15" t="n">
        <v>4</v>
      </c>
      <c r="AI123" s="15" t="n">
        <v>4</v>
      </c>
      <c r="AJ123" s="15" t="n">
        <v>5</v>
      </c>
      <c r="AK123" s="15" t="n">
        <v>5</v>
      </c>
      <c r="AL123" s="15" t="n">
        <v>2</v>
      </c>
      <c r="AM123" s="15" t="n">
        <v>2</v>
      </c>
      <c r="AN123" s="15" t="n">
        <v>0</v>
      </c>
      <c r="AO123" s="15" t="n">
        <v>0</v>
      </c>
      <c r="AP123" s="15" t="s">
        <v>63</v>
      </c>
      <c r="AQ123" s="15" t="s">
        <v>63</v>
      </c>
      <c r="AR123" s="14"/>
      <c r="AS123" s="9" t="s">
        <v>303</v>
      </c>
      <c r="AT123" s="9" t="s">
        <v>304</v>
      </c>
      <c r="AU123" s="15" t="s">
        <v>922</v>
      </c>
      <c r="AV123" s="15" t="n">
        <v>6780058</v>
      </c>
      <c r="AW123" s="15" t="n">
        <v>9.91001398399702E+017</v>
      </c>
      <c r="AX123" s="15" t="n">
        <v>9.91001398399702E+017</v>
      </c>
      <c r="AY123" s="15" t="n">
        <v>2256912060002650</v>
      </c>
      <c r="AZ123" s="15" t="s">
        <v>77</v>
      </c>
      <c r="BA123" s="14"/>
      <c r="BB123" s="19"/>
      <c r="BC123" s="17" t="n">
        <v>32285000626761</v>
      </c>
      <c r="BD123" s="15" t="n">
        <v>893432837</v>
      </c>
      <c r="BE123" s="6" t="s">
        <v>306</v>
      </c>
    </row>
    <row r="124" customFormat="false" ht="36.5" hidden="false" customHeight="false" outlineLevel="0" collapsed="false">
      <c r="A124" s="4" t="s">
        <v>57</v>
      </c>
      <c r="B124" s="5" t="s">
        <v>923</v>
      </c>
      <c r="C124" s="5" t="s">
        <v>924</v>
      </c>
      <c r="D124" s="5" t="s">
        <v>925</v>
      </c>
      <c r="E124" s="14"/>
      <c r="F124" s="15" t="s">
        <v>63</v>
      </c>
      <c r="G124" s="15" t="n">
        <v>1</v>
      </c>
      <c r="H124" s="15" t="s">
        <v>63</v>
      </c>
      <c r="I124" s="15" t="s">
        <v>63</v>
      </c>
      <c r="J124" s="15" t="n">
        <v>0</v>
      </c>
      <c r="K124" s="5" t="s">
        <v>926</v>
      </c>
      <c r="L124" s="5" t="s">
        <v>927</v>
      </c>
      <c r="M124" s="15" t="n">
        <v>1997</v>
      </c>
      <c r="N124" s="14"/>
      <c r="O124" s="15" t="s">
        <v>67</v>
      </c>
      <c r="P124" s="15" t="s">
        <v>928</v>
      </c>
      <c r="Q124" s="14"/>
      <c r="R124" s="15" t="s">
        <v>302</v>
      </c>
      <c r="S124" s="15" t="n">
        <v>8</v>
      </c>
      <c r="T124" s="15" t="n">
        <v>8</v>
      </c>
      <c r="U124" s="16" t="n">
        <v>38685</v>
      </c>
      <c r="V124" s="16" t="n">
        <v>38685</v>
      </c>
      <c r="W124" s="16" t="n">
        <v>36025</v>
      </c>
      <c r="X124" s="16" t="n">
        <v>36025</v>
      </c>
      <c r="Y124" s="15" t="n">
        <v>360</v>
      </c>
      <c r="Z124" s="15" t="n">
        <v>308</v>
      </c>
      <c r="AA124" s="15" t="n">
        <v>339</v>
      </c>
      <c r="AB124" s="15" t="n">
        <v>1</v>
      </c>
      <c r="AC124" s="15" t="n">
        <v>1</v>
      </c>
      <c r="AD124" s="15" t="n">
        <v>23</v>
      </c>
      <c r="AE124" s="15" t="n">
        <v>25</v>
      </c>
      <c r="AF124" s="15" t="n">
        <v>12</v>
      </c>
      <c r="AG124" s="15" t="n">
        <v>12</v>
      </c>
      <c r="AH124" s="15" t="n">
        <v>4</v>
      </c>
      <c r="AI124" s="15" t="n">
        <v>6</v>
      </c>
      <c r="AJ124" s="15" t="n">
        <v>14</v>
      </c>
      <c r="AK124" s="15" t="n">
        <v>15</v>
      </c>
      <c r="AL124" s="15" t="n">
        <v>0</v>
      </c>
      <c r="AM124" s="15" t="n">
        <v>0</v>
      </c>
      <c r="AN124" s="15" t="n">
        <v>0</v>
      </c>
      <c r="AO124" s="15" t="n">
        <v>0</v>
      </c>
      <c r="AP124" s="15" t="s">
        <v>63</v>
      </c>
      <c r="AQ124" s="15" t="s">
        <v>63</v>
      </c>
      <c r="AR124" s="14"/>
      <c r="AS124" s="9" t="s">
        <v>303</v>
      </c>
      <c r="AT124" s="9" t="s">
        <v>304</v>
      </c>
      <c r="AU124" s="15" t="s">
        <v>929</v>
      </c>
      <c r="AV124" s="15" t="n">
        <v>36949626</v>
      </c>
      <c r="AW124" s="15" t="n">
        <v>9.91002812419702E+017</v>
      </c>
      <c r="AX124" s="15" t="n">
        <v>9.91002812419702E+017</v>
      </c>
      <c r="AY124" s="15" t="n">
        <v>2264844170002650</v>
      </c>
      <c r="AZ124" s="15" t="s">
        <v>77</v>
      </c>
      <c r="BA124" s="14"/>
      <c r="BB124" s="17" t="n">
        <v>9780687056224</v>
      </c>
      <c r="BC124" s="17" t="n">
        <v>32285003453775</v>
      </c>
      <c r="BD124" s="15" t="n">
        <v>893498565</v>
      </c>
      <c r="BE124" s="6" t="s">
        <v>306</v>
      </c>
    </row>
    <row r="125" customFormat="false" ht="36.5" hidden="false" customHeight="false" outlineLevel="0" collapsed="false">
      <c r="A125" s="4" t="s">
        <v>57</v>
      </c>
      <c r="B125" s="5" t="s">
        <v>930</v>
      </c>
      <c r="C125" s="5" t="s">
        <v>931</v>
      </c>
      <c r="D125" s="5" t="s">
        <v>932</v>
      </c>
      <c r="E125" s="14"/>
      <c r="F125" s="15" t="s">
        <v>63</v>
      </c>
      <c r="G125" s="15" t="n">
        <v>1</v>
      </c>
      <c r="H125" s="15" t="s">
        <v>63</v>
      </c>
      <c r="I125" s="15" t="s">
        <v>63</v>
      </c>
      <c r="J125" s="15" t="n">
        <v>0</v>
      </c>
      <c r="K125" s="5" t="s">
        <v>933</v>
      </c>
      <c r="L125" s="5" t="s">
        <v>934</v>
      </c>
      <c r="M125" s="15" t="n">
        <v>1982</v>
      </c>
      <c r="N125" s="14"/>
      <c r="O125" s="15" t="s">
        <v>67</v>
      </c>
      <c r="P125" s="15" t="s">
        <v>401</v>
      </c>
      <c r="Q125" s="14"/>
      <c r="R125" s="15" t="s">
        <v>302</v>
      </c>
      <c r="S125" s="15" t="n">
        <v>12</v>
      </c>
      <c r="T125" s="15" t="n">
        <v>12</v>
      </c>
      <c r="U125" s="16" t="n">
        <v>38337</v>
      </c>
      <c r="V125" s="16" t="n">
        <v>38337</v>
      </c>
      <c r="W125" s="16" t="n">
        <v>33386</v>
      </c>
      <c r="X125" s="16" t="n">
        <v>33386</v>
      </c>
      <c r="Y125" s="15" t="n">
        <v>485</v>
      </c>
      <c r="Z125" s="15" t="n">
        <v>394</v>
      </c>
      <c r="AA125" s="15" t="n">
        <v>403</v>
      </c>
      <c r="AB125" s="15" t="n">
        <v>3</v>
      </c>
      <c r="AC125" s="15" t="n">
        <v>3</v>
      </c>
      <c r="AD125" s="15" t="n">
        <v>29</v>
      </c>
      <c r="AE125" s="15" t="n">
        <v>30</v>
      </c>
      <c r="AF125" s="15" t="n">
        <v>15</v>
      </c>
      <c r="AG125" s="15" t="n">
        <v>16</v>
      </c>
      <c r="AH125" s="15" t="n">
        <v>8</v>
      </c>
      <c r="AI125" s="15" t="n">
        <v>8</v>
      </c>
      <c r="AJ125" s="15" t="n">
        <v>17</v>
      </c>
      <c r="AK125" s="15" t="n">
        <v>18</v>
      </c>
      <c r="AL125" s="15" t="n">
        <v>0</v>
      </c>
      <c r="AM125" s="15" t="n">
        <v>0</v>
      </c>
      <c r="AN125" s="15" t="n">
        <v>0</v>
      </c>
      <c r="AO125" s="15" t="n">
        <v>0</v>
      </c>
      <c r="AP125" s="15" t="s">
        <v>63</v>
      </c>
      <c r="AQ125" s="15" t="s">
        <v>57</v>
      </c>
      <c r="AR125" s="9" t="s">
        <v>312</v>
      </c>
      <c r="AS125" s="9" t="s">
        <v>303</v>
      </c>
      <c r="AT125" s="9" t="s">
        <v>304</v>
      </c>
      <c r="AU125" s="15" t="s">
        <v>935</v>
      </c>
      <c r="AV125" s="15" t="n">
        <v>8476178</v>
      </c>
      <c r="AW125" s="15" t="n">
        <v>9.91005249139702E+017</v>
      </c>
      <c r="AX125" s="15" t="n">
        <v>9.91005249139702E+017</v>
      </c>
      <c r="AY125" s="15" t="n">
        <v>2257797610002650</v>
      </c>
      <c r="AZ125" s="15" t="s">
        <v>77</v>
      </c>
      <c r="BA125" s="14"/>
      <c r="BB125" s="17" t="n">
        <v>9780800616496</v>
      </c>
      <c r="BC125" s="17" t="n">
        <v>32285000627249</v>
      </c>
      <c r="BD125" s="15" t="n">
        <v>893594721</v>
      </c>
      <c r="BE125" s="6" t="s">
        <v>306</v>
      </c>
    </row>
    <row r="126" customFormat="false" ht="36.5" hidden="false" customHeight="false" outlineLevel="0" collapsed="false">
      <c r="A126" s="4" t="s">
        <v>57</v>
      </c>
      <c r="B126" s="5" t="s">
        <v>936</v>
      </c>
      <c r="C126" s="5" t="s">
        <v>937</v>
      </c>
      <c r="D126" s="5" t="s">
        <v>938</v>
      </c>
      <c r="E126" s="14"/>
      <c r="F126" s="15" t="s">
        <v>63</v>
      </c>
      <c r="G126" s="15" t="n">
        <v>1</v>
      </c>
      <c r="H126" s="15" t="s">
        <v>63</v>
      </c>
      <c r="I126" s="15" t="s">
        <v>63</v>
      </c>
      <c r="J126" s="15" t="n">
        <v>0</v>
      </c>
      <c r="K126" s="5" t="s">
        <v>939</v>
      </c>
      <c r="L126" s="5" t="s">
        <v>940</v>
      </c>
      <c r="M126" s="15" t="n">
        <v>1992</v>
      </c>
      <c r="N126" s="14"/>
      <c r="O126" s="15" t="s">
        <v>67</v>
      </c>
      <c r="P126" s="15" t="s">
        <v>300</v>
      </c>
      <c r="Q126" s="5" t="s">
        <v>581</v>
      </c>
      <c r="R126" s="15" t="s">
        <v>302</v>
      </c>
      <c r="S126" s="15" t="n">
        <v>5</v>
      </c>
      <c r="T126" s="15" t="n">
        <v>5</v>
      </c>
      <c r="U126" s="16" t="n">
        <v>35378</v>
      </c>
      <c r="V126" s="16" t="n">
        <v>35378</v>
      </c>
      <c r="W126" s="16" t="n">
        <v>33920</v>
      </c>
      <c r="X126" s="16" t="n">
        <v>33920</v>
      </c>
      <c r="Y126" s="15" t="n">
        <v>215</v>
      </c>
      <c r="Z126" s="15" t="n">
        <v>167</v>
      </c>
      <c r="AA126" s="15" t="n">
        <v>167</v>
      </c>
      <c r="AB126" s="15" t="n">
        <v>1</v>
      </c>
      <c r="AC126" s="15" t="n">
        <v>1</v>
      </c>
      <c r="AD126" s="15" t="n">
        <v>22</v>
      </c>
      <c r="AE126" s="15" t="n">
        <v>22</v>
      </c>
      <c r="AF126" s="15" t="n">
        <v>11</v>
      </c>
      <c r="AG126" s="15" t="n">
        <v>11</v>
      </c>
      <c r="AH126" s="15" t="n">
        <v>5</v>
      </c>
      <c r="AI126" s="15" t="n">
        <v>5</v>
      </c>
      <c r="AJ126" s="15" t="n">
        <v>14</v>
      </c>
      <c r="AK126" s="15" t="n">
        <v>14</v>
      </c>
      <c r="AL126" s="15" t="n">
        <v>0</v>
      </c>
      <c r="AM126" s="15" t="n">
        <v>0</v>
      </c>
      <c r="AN126" s="15" t="n">
        <v>0</v>
      </c>
      <c r="AO126" s="15" t="n">
        <v>0</v>
      </c>
      <c r="AP126" s="15" t="s">
        <v>63</v>
      </c>
      <c r="AQ126" s="15" t="s">
        <v>63</v>
      </c>
      <c r="AR126" s="14"/>
      <c r="AS126" s="9" t="s">
        <v>303</v>
      </c>
      <c r="AT126" s="9" t="s">
        <v>304</v>
      </c>
      <c r="AU126" s="15" t="s">
        <v>941</v>
      </c>
      <c r="AV126" s="15" t="n">
        <v>25964911</v>
      </c>
      <c r="AW126" s="15" t="n">
        <v>9.91002036699702E+017</v>
      </c>
      <c r="AX126" s="15" t="n">
        <v>9.91002036699702E+017</v>
      </c>
      <c r="AY126" s="15" t="n">
        <v>2260462410002650</v>
      </c>
      <c r="AZ126" s="15" t="s">
        <v>77</v>
      </c>
      <c r="BA126" s="14"/>
      <c r="BB126" s="17" t="n">
        <v>9780814650356</v>
      </c>
      <c r="BC126" s="17" t="n">
        <v>32285001361822</v>
      </c>
      <c r="BD126" s="15" t="n">
        <v>893250735</v>
      </c>
      <c r="BE126" s="6" t="s">
        <v>306</v>
      </c>
    </row>
    <row r="127" customFormat="false" ht="36.5" hidden="false" customHeight="false" outlineLevel="0" collapsed="false">
      <c r="A127" s="4" t="s">
        <v>57</v>
      </c>
      <c r="B127" s="5" t="s">
        <v>942</v>
      </c>
      <c r="C127" s="5" t="s">
        <v>943</v>
      </c>
      <c r="D127" s="5" t="s">
        <v>944</v>
      </c>
      <c r="E127" s="14"/>
      <c r="F127" s="15" t="s">
        <v>63</v>
      </c>
      <c r="G127" s="15" t="n">
        <v>1</v>
      </c>
      <c r="H127" s="15" t="s">
        <v>63</v>
      </c>
      <c r="I127" s="15" t="s">
        <v>63</v>
      </c>
      <c r="J127" s="15" t="n">
        <v>0</v>
      </c>
      <c r="K127" s="5" t="s">
        <v>945</v>
      </c>
      <c r="L127" s="5" t="s">
        <v>532</v>
      </c>
      <c r="M127" s="15" t="n">
        <v>1984</v>
      </c>
      <c r="N127" s="14"/>
      <c r="O127" s="15" t="s">
        <v>67</v>
      </c>
      <c r="P127" s="15" t="s">
        <v>533</v>
      </c>
      <c r="Q127" s="5" t="s">
        <v>946</v>
      </c>
      <c r="R127" s="15" t="s">
        <v>302</v>
      </c>
      <c r="S127" s="15" t="n">
        <v>6</v>
      </c>
      <c r="T127" s="15" t="n">
        <v>6</v>
      </c>
      <c r="U127" s="16" t="n">
        <v>36058</v>
      </c>
      <c r="V127" s="16" t="n">
        <v>36058</v>
      </c>
      <c r="W127" s="16" t="n">
        <v>35292</v>
      </c>
      <c r="X127" s="16" t="n">
        <v>35292</v>
      </c>
      <c r="Y127" s="15" t="n">
        <v>257</v>
      </c>
      <c r="Z127" s="15" t="n">
        <v>203</v>
      </c>
      <c r="AA127" s="15" t="n">
        <v>210</v>
      </c>
      <c r="AB127" s="15" t="n">
        <v>2</v>
      </c>
      <c r="AC127" s="15" t="n">
        <v>2</v>
      </c>
      <c r="AD127" s="15" t="n">
        <v>20</v>
      </c>
      <c r="AE127" s="15" t="n">
        <v>20</v>
      </c>
      <c r="AF127" s="15" t="n">
        <v>7</v>
      </c>
      <c r="AG127" s="15" t="n">
        <v>7</v>
      </c>
      <c r="AH127" s="15" t="n">
        <v>5</v>
      </c>
      <c r="AI127" s="15" t="n">
        <v>5</v>
      </c>
      <c r="AJ127" s="15" t="n">
        <v>13</v>
      </c>
      <c r="AK127" s="15" t="n">
        <v>13</v>
      </c>
      <c r="AL127" s="15" t="n">
        <v>0</v>
      </c>
      <c r="AM127" s="15" t="n">
        <v>0</v>
      </c>
      <c r="AN127" s="15" t="n">
        <v>0</v>
      </c>
      <c r="AO127" s="15" t="n">
        <v>0</v>
      </c>
      <c r="AP127" s="15" t="s">
        <v>63</v>
      </c>
      <c r="AQ127" s="15" t="s">
        <v>57</v>
      </c>
      <c r="AR127" s="9" t="s">
        <v>312</v>
      </c>
      <c r="AS127" s="9" t="s">
        <v>303</v>
      </c>
      <c r="AT127" s="9" t="s">
        <v>304</v>
      </c>
      <c r="AU127" s="15" t="s">
        <v>947</v>
      </c>
      <c r="AV127" s="15" t="n">
        <v>11091068</v>
      </c>
      <c r="AW127" s="15" t="n">
        <v>9.91000489079702E+017</v>
      </c>
      <c r="AX127" s="15" t="n">
        <v>9.91000489079702E+017</v>
      </c>
      <c r="AY127" s="15" t="n">
        <v>2270807860002650</v>
      </c>
      <c r="AZ127" s="15" t="s">
        <v>77</v>
      </c>
      <c r="BA127" s="14"/>
      <c r="BB127" s="17" t="n">
        <v>9780894534355</v>
      </c>
      <c r="BC127" s="17" t="n">
        <v>32285002121563</v>
      </c>
      <c r="BD127" s="15" t="n">
        <v>893890728</v>
      </c>
      <c r="BE127" s="6" t="s">
        <v>306</v>
      </c>
    </row>
    <row r="128" customFormat="false" ht="59.5" hidden="false" customHeight="false" outlineLevel="0" collapsed="false">
      <c r="A128" s="4" t="s">
        <v>57</v>
      </c>
      <c r="B128" s="5" t="s">
        <v>948</v>
      </c>
      <c r="C128" s="5" t="s">
        <v>949</v>
      </c>
      <c r="D128" s="5" t="s">
        <v>950</v>
      </c>
      <c r="E128" s="14"/>
      <c r="F128" s="15" t="s">
        <v>63</v>
      </c>
      <c r="G128" s="15" t="n">
        <v>1</v>
      </c>
      <c r="H128" s="15" t="s">
        <v>63</v>
      </c>
      <c r="I128" s="15" t="s">
        <v>63</v>
      </c>
      <c r="J128" s="15" t="n">
        <v>0</v>
      </c>
      <c r="K128" s="5" t="s">
        <v>951</v>
      </c>
      <c r="L128" s="5" t="s">
        <v>952</v>
      </c>
      <c r="M128" s="15" t="n">
        <v>1981</v>
      </c>
      <c r="N128" s="14"/>
      <c r="O128" s="15" t="s">
        <v>67</v>
      </c>
      <c r="P128" s="15" t="s">
        <v>384</v>
      </c>
      <c r="Q128" s="5" t="s">
        <v>953</v>
      </c>
      <c r="R128" s="15" t="s">
        <v>302</v>
      </c>
      <c r="S128" s="15" t="n">
        <v>9</v>
      </c>
      <c r="T128" s="15" t="n">
        <v>9</v>
      </c>
      <c r="U128" s="16" t="n">
        <v>36423</v>
      </c>
      <c r="V128" s="16" t="n">
        <v>36423</v>
      </c>
      <c r="W128" s="16" t="n">
        <v>33549</v>
      </c>
      <c r="X128" s="16" t="n">
        <v>33549</v>
      </c>
      <c r="Y128" s="15" t="n">
        <v>442</v>
      </c>
      <c r="Z128" s="15" t="n">
        <v>313</v>
      </c>
      <c r="AA128" s="15" t="n">
        <v>365</v>
      </c>
      <c r="AB128" s="15" t="n">
        <v>1</v>
      </c>
      <c r="AC128" s="15" t="n">
        <v>2</v>
      </c>
      <c r="AD128" s="15" t="n">
        <v>21</v>
      </c>
      <c r="AE128" s="15" t="n">
        <v>24</v>
      </c>
      <c r="AF128" s="15" t="n">
        <v>8</v>
      </c>
      <c r="AG128" s="15" t="n">
        <v>9</v>
      </c>
      <c r="AH128" s="15" t="n">
        <v>5</v>
      </c>
      <c r="AI128" s="15" t="n">
        <v>6</v>
      </c>
      <c r="AJ128" s="15" t="n">
        <v>15</v>
      </c>
      <c r="AK128" s="15" t="n">
        <v>15</v>
      </c>
      <c r="AL128" s="15" t="n">
        <v>0</v>
      </c>
      <c r="AM128" s="15" t="n">
        <v>1</v>
      </c>
      <c r="AN128" s="15" t="n">
        <v>0</v>
      </c>
      <c r="AO128" s="15" t="n">
        <v>0</v>
      </c>
      <c r="AP128" s="15" t="s">
        <v>63</v>
      </c>
      <c r="AQ128" s="15" t="s">
        <v>63</v>
      </c>
      <c r="AR128" s="14"/>
      <c r="AS128" s="9" t="s">
        <v>303</v>
      </c>
      <c r="AT128" s="9" t="s">
        <v>304</v>
      </c>
      <c r="AU128" s="15" t="s">
        <v>954</v>
      </c>
      <c r="AV128" s="15" t="n">
        <v>8626461</v>
      </c>
      <c r="AW128" s="15" t="n">
        <v>9.91005173789702E+017</v>
      </c>
      <c r="AX128" s="15" t="n">
        <v>9.91005173789702E+017</v>
      </c>
      <c r="AY128" s="15" t="n">
        <v>2263649030002650</v>
      </c>
      <c r="AZ128" s="15" t="s">
        <v>77</v>
      </c>
      <c r="BA128" s="14"/>
      <c r="BB128" s="17" t="n">
        <v>9780521229449</v>
      </c>
      <c r="BC128" s="17" t="n">
        <v>32285000825744</v>
      </c>
      <c r="BD128" s="15" t="n">
        <v>893688713</v>
      </c>
      <c r="BE128" s="6" t="s">
        <v>306</v>
      </c>
    </row>
    <row r="129" customFormat="false" ht="48" hidden="false" customHeight="false" outlineLevel="0" collapsed="false">
      <c r="A129" s="4" t="s">
        <v>57</v>
      </c>
      <c r="B129" s="5" t="s">
        <v>955</v>
      </c>
      <c r="C129" s="5" t="s">
        <v>956</v>
      </c>
      <c r="D129" s="5" t="s">
        <v>957</v>
      </c>
      <c r="E129" s="14"/>
      <c r="F129" s="15" t="s">
        <v>63</v>
      </c>
      <c r="G129" s="15" t="n">
        <v>1</v>
      </c>
      <c r="H129" s="15" t="s">
        <v>63</v>
      </c>
      <c r="I129" s="15" t="s">
        <v>63</v>
      </c>
      <c r="J129" s="15" t="n">
        <v>0</v>
      </c>
      <c r="K129" s="5" t="s">
        <v>958</v>
      </c>
      <c r="L129" s="5" t="s">
        <v>959</v>
      </c>
      <c r="M129" s="15" t="n">
        <v>1984</v>
      </c>
      <c r="N129" s="14"/>
      <c r="O129" s="15" t="s">
        <v>67</v>
      </c>
      <c r="P129" s="15" t="s">
        <v>318</v>
      </c>
      <c r="Q129" s="14"/>
      <c r="R129" s="15" t="s">
        <v>302</v>
      </c>
      <c r="S129" s="15" t="n">
        <v>6</v>
      </c>
      <c r="T129" s="15" t="n">
        <v>6</v>
      </c>
      <c r="U129" s="16" t="n">
        <v>36600</v>
      </c>
      <c r="V129" s="16" t="n">
        <v>36600</v>
      </c>
      <c r="W129" s="16" t="n">
        <v>33386</v>
      </c>
      <c r="X129" s="16" t="n">
        <v>33386</v>
      </c>
      <c r="Y129" s="15" t="n">
        <v>356</v>
      </c>
      <c r="Z129" s="15" t="n">
        <v>261</v>
      </c>
      <c r="AA129" s="15" t="n">
        <v>267</v>
      </c>
      <c r="AB129" s="15" t="n">
        <v>2</v>
      </c>
      <c r="AC129" s="15" t="n">
        <v>2</v>
      </c>
      <c r="AD129" s="15" t="n">
        <v>14</v>
      </c>
      <c r="AE129" s="15" t="n">
        <v>14</v>
      </c>
      <c r="AF129" s="15" t="n">
        <v>3</v>
      </c>
      <c r="AG129" s="15" t="n">
        <v>3</v>
      </c>
      <c r="AH129" s="15" t="n">
        <v>4</v>
      </c>
      <c r="AI129" s="15" t="n">
        <v>4</v>
      </c>
      <c r="AJ129" s="15" t="n">
        <v>9</v>
      </c>
      <c r="AK129" s="15" t="n">
        <v>9</v>
      </c>
      <c r="AL129" s="15" t="n">
        <v>1</v>
      </c>
      <c r="AM129" s="15" t="n">
        <v>1</v>
      </c>
      <c r="AN129" s="15" t="n">
        <v>0</v>
      </c>
      <c r="AO129" s="15" t="n">
        <v>0</v>
      </c>
      <c r="AP129" s="15" t="s">
        <v>63</v>
      </c>
      <c r="AQ129" s="15" t="s">
        <v>63</v>
      </c>
      <c r="AR129" s="14"/>
      <c r="AS129" s="9" t="s">
        <v>303</v>
      </c>
      <c r="AT129" s="9" t="s">
        <v>304</v>
      </c>
      <c r="AU129" s="15" t="s">
        <v>960</v>
      </c>
      <c r="AV129" s="15" t="n">
        <v>10800492</v>
      </c>
      <c r="AW129" s="15" t="n">
        <v>9.91000438229702E+017</v>
      </c>
      <c r="AX129" s="15" t="n">
        <v>9.91000438229702E+017</v>
      </c>
      <c r="AY129" s="15" t="n">
        <v>2270643730002650</v>
      </c>
      <c r="AZ129" s="15" t="s">
        <v>77</v>
      </c>
      <c r="BA129" s="14"/>
      <c r="BB129" s="17" t="n">
        <v>9780802836083</v>
      </c>
      <c r="BC129" s="17" t="n">
        <v>32285000627546</v>
      </c>
      <c r="BD129" s="15" t="n">
        <v>893327291</v>
      </c>
      <c r="BE129" s="6" t="s">
        <v>306</v>
      </c>
    </row>
    <row r="130" customFormat="false" ht="36.5" hidden="false" customHeight="false" outlineLevel="0" collapsed="false">
      <c r="A130" s="4" t="s">
        <v>57</v>
      </c>
      <c r="B130" s="5" t="s">
        <v>961</v>
      </c>
      <c r="C130" s="5" t="s">
        <v>962</v>
      </c>
      <c r="D130" s="5" t="s">
        <v>963</v>
      </c>
      <c r="E130" s="14"/>
      <c r="F130" s="15" t="s">
        <v>63</v>
      </c>
      <c r="G130" s="15" t="n">
        <v>1</v>
      </c>
      <c r="H130" s="15" t="s">
        <v>63</v>
      </c>
      <c r="I130" s="15" t="s">
        <v>63</v>
      </c>
      <c r="J130" s="15" t="n">
        <v>0</v>
      </c>
      <c r="K130" s="5" t="s">
        <v>964</v>
      </c>
      <c r="L130" s="5" t="s">
        <v>965</v>
      </c>
      <c r="M130" s="15" t="n">
        <v>1987</v>
      </c>
      <c r="N130" s="14"/>
      <c r="O130" s="15" t="s">
        <v>67</v>
      </c>
      <c r="P130" s="15" t="s">
        <v>533</v>
      </c>
      <c r="Q130" s="5" t="s">
        <v>966</v>
      </c>
      <c r="R130" s="15" t="s">
        <v>302</v>
      </c>
      <c r="S130" s="15" t="n">
        <v>8</v>
      </c>
      <c r="T130" s="15" t="n">
        <v>8</v>
      </c>
      <c r="U130" s="16" t="n">
        <v>36105</v>
      </c>
      <c r="V130" s="16" t="n">
        <v>36105</v>
      </c>
      <c r="W130" s="16" t="n">
        <v>32987</v>
      </c>
      <c r="X130" s="16" t="n">
        <v>32987</v>
      </c>
      <c r="Y130" s="15" t="n">
        <v>211</v>
      </c>
      <c r="Z130" s="15" t="n">
        <v>176</v>
      </c>
      <c r="AA130" s="15" t="n">
        <v>196</v>
      </c>
      <c r="AB130" s="15" t="n">
        <v>1</v>
      </c>
      <c r="AC130" s="15" t="n">
        <v>2</v>
      </c>
      <c r="AD130" s="15" t="n">
        <v>20</v>
      </c>
      <c r="AE130" s="15" t="n">
        <v>24</v>
      </c>
      <c r="AF130" s="15" t="n">
        <v>4</v>
      </c>
      <c r="AG130" s="15" t="n">
        <v>6</v>
      </c>
      <c r="AH130" s="15" t="n">
        <v>7</v>
      </c>
      <c r="AI130" s="15" t="n">
        <v>8</v>
      </c>
      <c r="AJ130" s="15" t="n">
        <v>14</v>
      </c>
      <c r="AK130" s="15" t="n">
        <v>16</v>
      </c>
      <c r="AL130" s="15" t="n">
        <v>0</v>
      </c>
      <c r="AM130" s="15" t="n">
        <v>1</v>
      </c>
      <c r="AN130" s="15" t="n">
        <v>0</v>
      </c>
      <c r="AO130" s="15" t="n">
        <v>0</v>
      </c>
      <c r="AP130" s="15" t="s">
        <v>63</v>
      </c>
      <c r="AQ130" s="15" t="s">
        <v>63</v>
      </c>
      <c r="AR130" s="14"/>
      <c r="AS130" s="9" t="s">
        <v>303</v>
      </c>
      <c r="AT130" s="9" t="s">
        <v>304</v>
      </c>
      <c r="AU130" s="15" t="s">
        <v>967</v>
      </c>
      <c r="AV130" s="15" t="n">
        <v>15223042</v>
      </c>
      <c r="AW130" s="15" t="n">
        <v>9.91001004069702E+017</v>
      </c>
      <c r="AX130" s="15" t="n">
        <v>9.91001004069702E+017</v>
      </c>
      <c r="AY130" s="15" t="n">
        <v>2268567170002650</v>
      </c>
      <c r="AZ130" s="15" t="s">
        <v>77</v>
      </c>
      <c r="BA130" s="14"/>
      <c r="BB130" s="17" t="n">
        <v>9780894535789</v>
      </c>
      <c r="BC130" s="17" t="n">
        <v>32285000132141</v>
      </c>
      <c r="BD130" s="15" t="n">
        <v>893534396</v>
      </c>
      <c r="BE130" s="6" t="s">
        <v>306</v>
      </c>
    </row>
    <row r="131" customFormat="false" ht="48" hidden="false" customHeight="false" outlineLevel="0" collapsed="false">
      <c r="A131" s="4" t="s">
        <v>57</v>
      </c>
      <c r="B131" s="5" t="s">
        <v>968</v>
      </c>
      <c r="C131" s="5" t="s">
        <v>969</v>
      </c>
      <c r="D131" s="5" t="s">
        <v>970</v>
      </c>
      <c r="E131" s="14"/>
      <c r="F131" s="15" t="s">
        <v>63</v>
      </c>
      <c r="G131" s="15" t="n">
        <v>1</v>
      </c>
      <c r="H131" s="15" t="s">
        <v>63</v>
      </c>
      <c r="I131" s="15" t="s">
        <v>63</v>
      </c>
      <c r="J131" s="15" t="n">
        <v>0</v>
      </c>
      <c r="K131" s="5" t="s">
        <v>971</v>
      </c>
      <c r="L131" s="5" t="s">
        <v>972</v>
      </c>
      <c r="M131" s="15" t="n">
        <v>1983</v>
      </c>
      <c r="N131" s="14"/>
      <c r="O131" s="15" t="s">
        <v>67</v>
      </c>
      <c r="P131" s="15" t="s">
        <v>272</v>
      </c>
      <c r="Q131" s="5" t="s">
        <v>973</v>
      </c>
      <c r="R131" s="15" t="s">
        <v>302</v>
      </c>
      <c r="S131" s="15" t="n">
        <v>5</v>
      </c>
      <c r="T131" s="15" t="n">
        <v>5</v>
      </c>
      <c r="U131" s="16" t="n">
        <v>37712</v>
      </c>
      <c r="V131" s="16" t="n">
        <v>37712</v>
      </c>
      <c r="W131" s="16" t="n">
        <v>33392</v>
      </c>
      <c r="X131" s="16" t="n">
        <v>33392</v>
      </c>
      <c r="Y131" s="15" t="n">
        <v>312</v>
      </c>
      <c r="Z131" s="15" t="n">
        <v>222</v>
      </c>
      <c r="AA131" s="15" t="n">
        <v>224</v>
      </c>
      <c r="AB131" s="15" t="n">
        <v>2</v>
      </c>
      <c r="AC131" s="15" t="n">
        <v>2</v>
      </c>
      <c r="AD131" s="15" t="n">
        <v>18</v>
      </c>
      <c r="AE131" s="15" t="n">
        <v>18</v>
      </c>
      <c r="AF131" s="15" t="n">
        <v>6</v>
      </c>
      <c r="AG131" s="15" t="n">
        <v>6</v>
      </c>
      <c r="AH131" s="15" t="n">
        <v>3</v>
      </c>
      <c r="AI131" s="15" t="n">
        <v>3</v>
      </c>
      <c r="AJ131" s="15" t="n">
        <v>11</v>
      </c>
      <c r="AK131" s="15" t="n">
        <v>11</v>
      </c>
      <c r="AL131" s="15" t="n">
        <v>1</v>
      </c>
      <c r="AM131" s="15" t="n">
        <v>1</v>
      </c>
      <c r="AN131" s="15" t="n">
        <v>0</v>
      </c>
      <c r="AO131" s="15" t="n">
        <v>0</v>
      </c>
      <c r="AP131" s="15" t="s">
        <v>63</v>
      </c>
      <c r="AQ131" s="15" t="s">
        <v>57</v>
      </c>
      <c r="AR131" s="9" t="s">
        <v>312</v>
      </c>
      <c r="AS131" s="9" t="s">
        <v>303</v>
      </c>
      <c r="AT131" s="9" t="s">
        <v>304</v>
      </c>
      <c r="AU131" s="15" t="s">
        <v>974</v>
      </c>
      <c r="AV131" s="15" t="n">
        <v>8667857</v>
      </c>
      <c r="AW131" s="15" t="n">
        <v>9.91000044829702E+017</v>
      </c>
      <c r="AX131" s="15" t="n">
        <v>9.91000044829702E+017</v>
      </c>
      <c r="AY131" s="15" t="n">
        <v>2270088930002650</v>
      </c>
      <c r="AZ131" s="15" t="s">
        <v>77</v>
      </c>
      <c r="BA131" s="14"/>
      <c r="BB131" s="17" t="n">
        <v>9780891305897</v>
      </c>
      <c r="BC131" s="17" t="n">
        <v>32285000628312</v>
      </c>
      <c r="BD131" s="15" t="n">
        <v>893720556</v>
      </c>
      <c r="BE131" s="6" t="s">
        <v>306</v>
      </c>
    </row>
    <row r="132" customFormat="false" ht="36.5" hidden="false" customHeight="false" outlineLevel="0" collapsed="false">
      <c r="A132" s="4" t="s">
        <v>57</v>
      </c>
      <c r="B132" s="5" t="s">
        <v>975</v>
      </c>
      <c r="C132" s="5" t="s">
        <v>976</v>
      </c>
      <c r="D132" s="5" t="s">
        <v>977</v>
      </c>
      <c r="E132" s="14"/>
      <c r="F132" s="15" t="s">
        <v>63</v>
      </c>
      <c r="G132" s="15" t="n">
        <v>1</v>
      </c>
      <c r="H132" s="15" t="s">
        <v>63</v>
      </c>
      <c r="I132" s="15" t="s">
        <v>63</v>
      </c>
      <c r="J132" s="15" t="n">
        <v>0</v>
      </c>
      <c r="K132" s="14"/>
      <c r="L132" s="5" t="s">
        <v>978</v>
      </c>
      <c r="M132" s="15" t="n">
        <v>1998</v>
      </c>
      <c r="N132" s="5" t="s">
        <v>327</v>
      </c>
      <c r="O132" s="15" t="s">
        <v>67</v>
      </c>
      <c r="P132" s="15" t="s">
        <v>979</v>
      </c>
      <c r="Q132" s="14"/>
      <c r="R132" s="15" t="s">
        <v>302</v>
      </c>
      <c r="S132" s="15" t="n">
        <v>8</v>
      </c>
      <c r="T132" s="15" t="n">
        <v>8</v>
      </c>
      <c r="U132" s="16" t="n">
        <v>39389</v>
      </c>
      <c r="V132" s="16" t="n">
        <v>39389</v>
      </c>
      <c r="W132" s="16" t="n">
        <v>36033</v>
      </c>
      <c r="X132" s="16" t="n">
        <v>36033</v>
      </c>
      <c r="Y132" s="15" t="n">
        <v>312</v>
      </c>
      <c r="Z132" s="15" t="n">
        <v>246</v>
      </c>
      <c r="AA132" s="15" t="n">
        <v>246</v>
      </c>
      <c r="AB132" s="15" t="n">
        <v>3</v>
      </c>
      <c r="AC132" s="15" t="n">
        <v>3</v>
      </c>
      <c r="AD132" s="15" t="n">
        <v>22</v>
      </c>
      <c r="AE132" s="15" t="n">
        <v>22</v>
      </c>
      <c r="AF132" s="15" t="n">
        <v>12</v>
      </c>
      <c r="AG132" s="15" t="n">
        <v>12</v>
      </c>
      <c r="AH132" s="15" t="n">
        <v>4</v>
      </c>
      <c r="AI132" s="15" t="n">
        <v>4</v>
      </c>
      <c r="AJ132" s="15" t="n">
        <v>12</v>
      </c>
      <c r="AK132" s="15" t="n">
        <v>12</v>
      </c>
      <c r="AL132" s="15" t="n">
        <v>2</v>
      </c>
      <c r="AM132" s="15" t="n">
        <v>2</v>
      </c>
      <c r="AN132" s="15" t="n">
        <v>0</v>
      </c>
      <c r="AO132" s="15" t="n">
        <v>0</v>
      </c>
      <c r="AP132" s="15" t="s">
        <v>63</v>
      </c>
      <c r="AQ132" s="15" t="s">
        <v>63</v>
      </c>
      <c r="AR132" s="14"/>
      <c r="AS132" s="9" t="s">
        <v>303</v>
      </c>
      <c r="AT132" s="9" t="s">
        <v>304</v>
      </c>
      <c r="AU132" s="15" t="s">
        <v>980</v>
      </c>
      <c r="AV132" s="15" t="n">
        <v>37878740</v>
      </c>
      <c r="AW132" s="15" t="n">
        <v>9.91002874369702E+017</v>
      </c>
      <c r="AX132" s="15" t="n">
        <v>9.91002874369702E+017</v>
      </c>
      <c r="AY132" s="15" t="n">
        <v>2266420680002650</v>
      </c>
      <c r="AZ132" s="15" t="s">
        <v>77</v>
      </c>
      <c r="BA132" s="14"/>
      <c r="BB132" s="17" t="n">
        <v>9780664256197</v>
      </c>
      <c r="BC132" s="17" t="n">
        <v>32285003462628</v>
      </c>
      <c r="BD132" s="15" t="n">
        <v>893524149</v>
      </c>
      <c r="BE132" s="6" t="s">
        <v>306</v>
      </c>
    </row>
    <row r="133" customFormat="false" ht="36.5" hidden="false" customHeight="false" outlineLevel="0" collapsed="false">
      <c r="A133" s="4" t="s">
        <v>57</v>
      </c>
      <c r="B133" s="5" t="s">
        <v>981</v>
      </c>
      <c r="C133" s="5" t="s">
        <v>982</v>
      </c>
      <c r="D133" s="5" t="s">
        <v>983</v>
      </c>
      <c r="E133" s="14"/>
      <c r="F133" s="15" t="s">
        <v>63</v>
      </c>
      <c r="G133" s="15" t="n">
        <v>1</v>
      </c>
      <c r="H133" s="15" t="s">
        <v>63</v>
      </c>
      <c r="I133" s="15" t="s">
        <v>63</v>
      </c>
      <c r="J133" s="15" t="n">
        <v>0</v>
      </c>
      <c r="K133" s="5" t="s">
        <v>984</v>
      </c>
      <c r="L133" s="5" t="s">
        <v>985</v>
      </c>
      <c r="M133" s="15" t="n">
        <v>1962</v>
      </c>
      <c r="N133" s="14"/>
      <c r="O133" s="15" t="s">
        <v>67</v>
      </c>
      <c r="P133" s="15" t="s">
        <v>318</v>
      </c>
      <c r="Q133" s="14"/>
      <c r="R133" s="15" t="s">
        <v>302</v>
      </c>
      <c r="S133" s="15" t="n">
        <v>6</v>
      </c>
      <c r="T133" s="15" t="n">
        <v>6</v>
      </c>
      <c r="U133" s="16" t="n">
        <v>36372</v>
      </c>
      <c r="V133" s="16" t="n">
        <v>36372</v>
      </c>
      <c r="W133" s="16" t="n">
        <v>33393</v>
      </c>
      <c r="X133" s="16" t="n">
        <v>33393</v>
      </c>
      <c r="Y133" s="15" t="n">
        <v>46</v>
      </c>
      <c r="Z133" s="15" t="n">
        <v>42</v>
      </c>
      <c r="AA133" s="15" t="n">
        <v>132</v>
      </c>
      <c r="AB133" s="15" t="n">
        <v>2</v>
      </c>
      <c r="AC133" s="15" t="n">
        <v>3</v>
      </c>
      <c r="AD133" s="15" t="n">
        <v>1</v>
      </c>
      <c r="AE133" s="15" t="n">
        <v>5</v>
      </c>
      <c r="AF133" s="15" t="n">
        <v>0</v>
      </c>
      <c r="AG133" s="15" t="n">
        <v>3</v>
      </c>
      <c r="AH133" s="15" t="n">
        <v>0</v>
      </c>
      <c r="AI133" s="15" t="n">
        <v>1</v>
      </c>
      <c r="AJ133" s="15" t="n">
        <v>1</v>
      </c>
      <c r="AK133" s="15" t="n">
        <v>1</v>
      </c>
      <c r="AL133" s="15" t="n">
        <v>0</v>
      </c>
      <c r="AM133" s="15" t="n">
        <v>1</v>
      </c>
      <c r="AN133" s="15" t="n">
        <v>0</v>
      </c>
      <c r="AO133" s="15" t="n">
        <v>0</v>
      </c>
      <c r="AP133" s="15" t="s">
        <v>63</v>
      </c>
      <c r="AQ133" s="15" t="s">
        <v>63</v>
      </c>
      <c r="AR133" s="14"/>
      <c r="AS133" s="9" t="s">
        <v>303</v>
      </c>
      <c r="AT133" s="9" t="s">
        <v>304</v>
      </c>
      <c r="AU133" s="15" t="s">
        <v>986</v>
      </c>
      <c r="AV133" s="15" t="n">
        <v>2237702</v>
      </c>
      <c r="AW133" s="15" t="n">
        <v>9.91004059829702E+017</v>
      </c>
      <c r="AX133" s="15" t="n">
        <v>9.91004059829702E+017</v>
      </c>
      <c r="AY133" s="15" t="n">
        <v>2259231240002650</v>
      </c>
      <c r="AZ133" s="15" t="s">
        <v>77</v>
      </c>
      <c r="BA133" s="14"/>
      <c r="BB133" s="19"/>
      <c r="BC133" s="17" t="n">
        <v>32285000628619</v>
      </c>
      <c r="BD133" s="15" t="n">
        <v>893235005</v>
      </c>
      <c r="BE133" s="6" t="s">
        <v>306</v>
      </c>
    </row>
    <row r="134" customFormat="false" ht="48" hidden="false" customHeight="false" outlineLevel="0" collapsed="false">
      <c r="A134" s="4" t="s">
        <v>57</v>
      </c>
      <c r="B134" s="5" t="s">
        <v>987</v>
      </c>
      <c r="C134" s="5" t="s">
        <v>988</v>
      </c>
      <c r="D134" s="5" t="s">
        <v>989</v>
      </c>
      <c r="E134" s="14"/>
      <c r="F134" s="15" t="s">
        <v>63</v>
      </c>
      <c r="G134" s="15" t="n">
        <v>1</v>
      </c>
      <c r="H134" s="15" t="s">
        <v>63</v>
      </c>
      <c r="I134" s="15" t="s">
        <v>63</v>
      </c>
      <c r="J134" s="15" t="n">
        <v>0</v>
      </c>
      <c r="K134" s="5" t="s">
        <v>990</v>
      </c>
      <c r="L134" s="5" t="s">
        <v>991</v>
      </c>
      <c r="M134" s="15" t="n">
        <v>1982</v>
      </c>
      <c r="N134" s="14"/>
      <c r="O134" s="15" t="s">
        <v>67</v>
      </c>
      <c r="P134" s="15" t="s">
        <v>300</v>
      </c>
      <c r="Q134" s="5" t="s">
        <v>992</v>
      </c>
      <c r="R134" s="15" t="s">
        <v>302</v>
      </c>
      <c r="S134" s="15" t="n">
        <v>6</v>
      </c>
      <c r="T134" s="15" t="n">
        <v>6</v>
      </c>
      <c r="U134" s="16" t="n">
        <v>34609</v>
      </c>
      <c r="V134" s="16" t="n">
        <v>34609</v>
      </c>
      <c r="W134" s="16" t="n">
        <v>33395</v>
      </c>
      <c r="X134" s="16" t="n">
        <v>33395</v>
      </c>
      <c r="Y134" s="15" t="n">
        <v>302</v>
      </c>
      <c r="Z134" s="15" t="n">
        <v>251</v>
      </c>
      <c r="AA134" s="15" t="n">
        <v>253</v>
      </c>
      <c r="AB134" s="15" t="n">
        <v>2</v>
      </c>
      <c r="AC134" s="15" t="n">
        <v>2</v>
      </c>
      <c r="AD134" s="15" t="n">
        <v>15</v>
      </c>
      <c r="AE134" s="15" t="n">
        <v>15</v>
      </c>
      <c r="AF134" s="15" t="n">
        <v>5</v>
      </c>
      <c r="AG134" s="15" t="n">
        <v>5</v>
      </c>
      <c r="AH134" s="15" t="n">
        <v>4</v>
      </c>
      <c r="AI134" s="15" t="n">
        <v>4</v>
      </c>
      <c r="AJ134" s="15" t="n">
        <v>8</v>
      </c>
      <c r="AK134" s="15" t="n">
        <v>8</v>
      </c>
      <c r="AL134" s="15" t="n">
        <v>1</v>
      </c>
      <c r="AM134" s="15" t="n">
        <v>1</v>
      </c>
      <c r="AN134" s="15" t="n">
        <v>0</v>
      </c>
      <c r="AO134" s="15" t="n">
        <v>0</v>
      </c>
      <c r="AP134" s="15" t="s">
        <v>63</v>
      </c>
      <c r="AQ134" s="15" t="s">
        <v>57</v>
      </c>
      <c r="AR134" s="9" t="s">
        <v>312</v>
      </c>
      <c r="AS134" s="9" t="s">
        <v>303</v>
      </c>
      <c r="AT134" s="9" t="s">
        <v>304</v>
      </c>
      <c r="AU134" s="15" t="s">
        <v>993</v>
      </c>
      <c r="AV134" s="15" t="n">
        <v>8964885</v>
      </c>
      <c r="AW134" s="15" t="n">
        <v>9.91000103669702E+017</v>
      </c>
      <c r="AX134" s="15" t="n">
        <v>9.91000103669702E+017</v>
      </c>
      <c r="AY134" s="15" t="n">
        <v>2255148190002650</v>
      </c>
      <c r="AZ134" s="15" t="s">
        <v>77</v>
      </c>
      <c r="BA134" s="14"/>
      <c r="BB134" s="17" t="n">
        <v>9780806619378</v>
      </c>
      <c r="BC134" s="17" t="n">
        <v>32285000629211</v>
      </c>
      <c r="BD134" s="15" t="n">
        <v>893249087</v>
      </c>
      <c r="BE134" s="6" t="s">
        <v>306</v>
      </c>
    </row>
    <row r="135" customFormat="false" ht="59.5" hidden="false" customHeight="false" outlineLevel="0" collapsed="false">
      <c r="A135" s="4" t="s">
        <v>57</v>
      </c>
      <c r="B135" s="5" t="s">
        <v>994</v>
      </c>
      <c r="C135" s="5" t="s">
        <v>995</v>
      </c>
      <c r="D135" s="5" t="s">
        <v>996</v>
      </c>
      <c r="E135" s="14"/>
      <c r="F135" s="15" t="s">
        <v>63</v>
      </c>
      <c r="G135" s="15" t="n">
        <v>1</v>
      </c>
      <c r="H135" s="15" t="s">
        <v>63</v>
      </c>
      <c r="I135" s="15" t="s">
        <v>63</v>
      </c>
      <c r="J135" s="15" t="n">
        <v>0</v>
      </c>
      <c r="K135" s="5" t="s">
        <v>997</v>
      </c>
      <c r="L135" s="5" t="s">
        <v>998</v>
      </c>
      <c r="M135" s="15" t="n">
        <v>1991</v>
      </c>
      <c r="N135" s="14"/>
      <c r="O135" s="15" t="s">
        <v>67</v>
      </c>
      <c r="P135" s="15" t="s">
        <v>384</v>
      </c>
      <c r="Q135" s="5" t="s">
        <v>999</v>
      </c>
      <c r="R135" s="15" t="s">
        <v>302</v>
      </c>
      <c r="S135" s="15" t="n">
        <v>8</v>
      </c>
      <c r="T135" s="15" t="n">
        <v>8</v>
      </c>
      <c r="U135" s="16" t="n">
        <v>38296</v>
      </c>
      <c r="V135" s="16" t="n">
        <v>38296</v>
      </c>
      <c r="W135" s="16" t="n">
        <v>33605</v>
      </c>
      <c r="X135" s="16" t="n">
        <v>33605</v>
      </c>
      <c r="Y135" s="15" t="n">
        <v>206</v>
      </c>
      <c r="Z135" s="15" t="n">
        <v>144</v>
      </c>
      <c r="AA135" s="15" t="n">
        <v>205</v>
      </c>
      <c r="AB135" s="15" t="n">
        <v>1</v>
      </c>
      <c r="AC135" s="15" t="n">
        <v>2</v>
      </c>
      <c r="AD135" s="15" t="n">
        <v>9</v>
      </c>
      <c r="AE135" s="15" t="n">
        <v>12</v>
      </c>
      <c r="AF135" s="15" t="n">
        <v>2</v>
      </c>
      <c r="AG135" s="15" t="n">
        <v>3</v>
      </c>
      <c r="AH135" s="15" t="n">
        <v>3</v>
      </c>
      <c r="AI135" s="15" t="n">
        <v>4</v>
      </c>
      <c r="AJ135" s="15" t="n">
        <v>7</v>
      </c>
      <c r="AK135" s="15" t="n">
        <v>7</v>
      </c>
      <c r="AL135" s="15" t="n">
        <v>0</v>
      </c>
      <c r="AM135" s="15" t="n">
        <v>1</v>
      </c>
      <c r="AN135" s="15" t="n">
        <v>0</v>
      </c>
      <c r="AO135" s="15" t="n">
        <v>0</v>
      </c>
      <c r="AP135" s="15" t="s">
        <v>63</v>
      </c>
      <c r="AQ135" s="15" t="s">
        <v>57</v>
      </c>
      <c r="AR135" s="9" t="s">
        <v>312</v>
      </c>
      <c r="AS135" s="9" t="s">
        <v>303</v>
      </c>
      <c r="AT135" s="9" t="s">
        <v>304</v>
      </c>
      <c r="AU135" s="15" t="s">
        <v>1000</v>
      </c>
      <c r="AV135" s="15" t="n">
        <v>22706788</v>
      </c>
      <c r="AW135" s="15" t="n">
        <v>9.91001805909702E+017</v>
      </c>
      <c r="AX135" s="15" t="n">
        <v>9.91001805909702E+017</v>
      </c>
      <c r="AY135" s="15" t="n">
        <v>2259688690002650</v>
      </c>
      <c r="AZ135" s="15" t="s">
        <v>77</v>
      </c>
      <c r="BA135" s="14"/>
      <c r="BB135" s="17" t="n">
        <v>9781850752677</v>
      </c>
      <c r="BC135" s="17" t="n">
        <v>32285000862887</v>
      </c>
      <c r="BD135" s="15" t="n">
        <v>893244436</v>
      </c>
      <c r="BE135" s="6" t="s">
        <v>306</v>
      </c>
    </row>
    <row r="136" customFormat="false" ht="59.5" hidden="false" customHeight="false" outlineLevel="0" collapsed="false">
      <c r="A136" s="4" t="s">
        <v>57</v>
      </c>
      <c r="B136" s="5" t="s">
        <v>1001</v>
      </c>
      <c r="C136" s="5" t="s">
        <v>1002</v>
      </c>
      <c r="D136" s="5" t="s">
        <v>1003</v>
      </c>
      <c r="E136" s="14"/>
      <c r="F136" s="15" t="s">
        <v>63</v>
      </c>
      <c r="G136" s="15" t="n">
        <v>1</v>
      </c>
      <c r="H136" s="15" t="s">
        <v>63</v>
      </c>
      <c r="I136" s="15" t="s">
        <v>63</v>
      </c>
      <c r="J136" s="15" t="n">
        <v>0</v>
      </c>
      <c r="K136" s="5" t="s">
        <v>1004</v>
      </c>
      <c r="L136" s="5" t="s">
        <v>1005</v>
      </c>
      <c r="M136" s="15" t="n">
        <v>1976</v>
      </c>
      <c r="N136" s="14"/>
      <c r="O136" s="15" t="s">
        <v>67</v>
      </c>
      <c r="P136" s="15" t="s">
        <v>401</v>
      </c>
      <c r="Q136" s="5" t="s">
        <v>1006</v>
      </c>
      <c r="R136" s="15" t="s">
        <v>302</v>
      </c>
      <c r="S136" s="15" t="n">
        <v>8</v>
      </c>
      <c r="T136" s="15" t="n">
        <v>8</v>
      </c>
      <c r="U136" s="16" t="n">
        <v>37203</v>
      </c>
      <c r="V136" s="16" t="n">
        <v>37203</v>
      </c>
      <c r="W136" s="16" t="n">
        <v>33395</v>
      </c>
      <c r="X136" s="16" t="n">
        <v>33395</v>
      </c>
      <c r="Y136" s="15" t="n">
        <v>814</v>
      </c>
      <c r="Z136" s="15" t="n">
        <v>667</v>
      </c>
      <c r="AA136" s="15" t="n">
        <v>839</v>
      </c>
      <c r="AB136" s="15" t="n">
        <v>5</v>
      </c>
      <c r="AC136" s="15" t="n">
        <v>5</v>
      </c>
      <c r="AD136" s="15" t="n">
        <v>37</v>
      </c>
      <c r="AE136" s="15" t="n">
        <v>42</v>
      </c>
      <c r="AF136" s="15" t="n">
        <v>14</v>
      </c>
      <c r="AG136" s="15" t="n">
        <v>18</v>
      </c>
      <c r="AH136" s="15" t="n">
        <v>7</v>
      </c>
      <c r="AI136" s="15" t="n">
        <v>9</v>
      </c>
      <c r="AJ136" s="15" t="n">
        <v>22</v>
      </c>
      <c r="AK136" s="15" t="n">
        <v>23</v>
      </c>
      <c r="AL136" s="15" t="n">
        <v>3</v>
      </c>
      <c r="AM136" s="15" t="n">
        <v>3</v>
      </c>
      <c r="AN136" s="15" t="n">
        <v>0</v>
      </c>
      <c r="AO136" s="15" t="n">
        <v>0</v>
      </c>
      <c r="AP136" s="15" t="s">
        <v>63</v>
      </c>
      <c r="AQ136" s="15" t="s">
        <v>57</v>
      </c>
      <c r="AR136" s="9" t="s">
        <v>312</v>
      </c>
      <c r="AS136" s="9" t="s">
        <v>303</v>
      </c>
      <c r="AT136" s="9" t="s">
        <v>304</v>
      </c>
      <c r="AU136" s="15" t="s">
        <v>1007</v>
      </c>
      <c r="AV136" s="15" t="n">
        <v>2296210</v>
      </c>
      <c r="AW136" s="15" t="n">
        <v>9.91004069559702E+017</v>
      </c>
      <c r="AX136" s="15" t="n">
        <v>9.91004069559702E+017</v>
      </c>
      <c r="AY136" s="15" t="n">
        <v>2264960250002650</v>
      </c>
      <c r="AZ136" s="15" t="s">
        <v>77</v>
      </c>
      <c r="BA136" s="14"/>
      <c r="BB136" s="17" t="n">
        <v>9780800660062</v>
      </c>
      <c r="BC136" s="17" t="n">
        <v>32285000629286</v>
      </c>
      <c r="BD136" s="15" t="n">
        <v>893806604</v>
      </c>
      <c r="BE136" s="6" t="s">
        <v>306</v>
      </c>
    </row>
    <row r="137" customFormat="false" ht="36.5" hidden="false" customHeight="false" outlineLevel="0" collapsed="false">
      <c r="A137" s="4" t="s">
        <v>57</v>
      </c>
      <c r="B137" s="5" t="s">
        <v>1008</v>
      </c>
      <c r="C137" s="5" t="s">
        <v>1009</v>
      </c>
      <c r="D137" s="5" t="s">
        <v>1010</v>
      </c>
      <c r="E137" s="14"/>
      <c r="F137" s="15" t="s">
        <v>63</v>
      </c>
      <c r="G137" s="15" t="n">
        <v>1</v>
      </c>
      <c r="H137" s="15" t="s">
        <v>63</v>
      </c>
      <c r="I137" s="15" t="s">
        <v>63</v>
      </c>
      <c r="J137" s="15" t="n">
        <v>0</v>
      </c>
      <c r="K137" s="5" t="s">
        <v>1011</v>
      </c>
      <c r="L137" s="5" t="s">
        <v>1012</v>
      </c>
      <c r="M137" s="15" t="n">
        <v>1980</v>
      </c>
      <c r="N137" s="14"/>
      <c r="O137" s="15" t="s">
        <v>67</v>
      </c>
      <c r="P137" s="15" t="s">
        <v>533</v>
      </c>
      <c r="Q137" s="5" t="s">
        <v>1013</v>
      </c>
      <c r="R137" s="15" t="s">
        <v>302</v>
      </c>
      <c r="S137" s="15" t="n">
        <v>7</v>
      </c>
      <c r="T137" s="15" t="n">
        <v>7</v>
      </c>
      <c r="U137" s="16" t="n">
        <v>38296</v>
      </c>
      <c r="V137" s="16" t="n">
        <v>38296</v>
      </c>
      <c r="W137" s="16" t="n">
        <v>33395</v>
      </c>
      <c r="X137" s="16" t="n">
        <v>33395</v>
      </c>
      <c r="Y137" s="15" t="n">
        <v>349</v>
      </c>
      <c r="Z137" s="15" t="n">
        <v>290</v>
      </c>
      <c r="AA137" s="15" t="n">
        <v>293</v>
      </c>
      <c r="AB137" s="15" t="n">
        <v>2</v>
      </c>
      <c r="AC137" s="15" t="n">
        <v>2</v>
      </c>
      <c r="AD137" s="15" t="n">
        <v>27</v>
      </c>
      <c r="AE137" s="15" t="n">
        <v>27</v>
      </c>
      <c r="AF137" s="15" t="n">
        <v>10</v>
      </c>
      <c r="AG137" s="15" t="n">
        <v>10</v>
      </c>
      <c r="AH137" s="15" t="n">
        <v>7</v>
      </c>
      <c r="AI137" s="15" t="n">
        <v>7</v>
      </c>
      <c r="AJ137" s="15" t="n">
        <v>20</v>
      </c>
      <c r="AK137" s="15" t="n">
        <v>20</v>
      </c>
      <c r="AL137" s="15" t="n">
        <v>0</v>
      </c>
      <c r="AM137" s="15" t="n">
        <v>0</v>
      </c>
      <c r="AN137" s="15" t="n">
        <v>0</v>
      </c>
      <c r="AO137" s="15" t="n">
        <v>0</v>
      </c>
      <c r="AP137" s="15" t="s">
        <v>63</v>
      </c>
      <c r="AQ137" s="15" t="s">
        <v>63</v>
      </c>
      <c r="AR137" s="14"/>
      <c r="AS137" s="9" t="s">
        <v>303</v>
      </c>
      <c r="AT137" s="9" t="s">
        <v>304</v>
      </c>
      <c r="AU137" s="15" t="s">
        <v>1014</v>
      </c>
      <c r="AV137" s="15" t="n">
        <v>6884174</v>
      </c>
      <c r="AW137" s="15" t="n">
        <v>9.91005052869702E+017</v>
      </c>
      <c r="AX137" s="15" t="n">
        <v>9.91005052869702E+017</v>
      </c>
      <c r="AY137" s="15" t="n">
        <v>2262811770002650</v>
      </c>
      <c r="AZ137" s="15" t="s">
        <v>77</v>
      </c>
      <c r="BA137" s="14"/>
      <c r="BB137" s="17" t="n">
        <v>9780894531422</v>
      </c>
      <c r="BC137" s="17" t="n">
        <v>32285000629294</v>
      </c>
      <c r="BD137" s="15" t="n">
        <v>893594390</v>
      </c>
      <c r="BE137" s="6" t="s">
        <v>306</v>
      </c>
    </row>
    <row r="138" customFormat="false" ht="36.5" hidden="false" customHeight="false" outlineLevel="0" collapsed="false">
      <c r="A138" s="4" t="s">
        <v>57</v>
      </c>
      <c r="B138" s="5" t="s">
        <v>1015</v>
      </c>
      <c r="C138" s="5" t="s">
        <v>1016</v>
      </c>
      <c r="D138" s="5" t="s">
        <v>1017</v>
      </c>
      <c r="E138" s="14"/>
      <c r="F138" s="15" t="s">
        <v>63</v>
      </c>
      <c r="G138" s="15" t="n">
        <v>1</v>
      </c>
      <c r="H138" s="15" t="s">
        <v>63</v>
      </c>
      <c r="I138" s="15" t="s">
        <v>63</v>
      </c>
      <c r="J138" s="15" t="n">
        <v>0</v>
      </c>
      <c r="K138" s="5" t="s">
        <v>1018</v>
      </c>
      <c r="L138" s="5" t="s">
        <v>1019</v>
      </c>
      <c r="M138" s="15" t="n">
        <v>1980</v>
      </c>
      <c r="N138" s="14"/>
      <c r="O138" s="15" t="s">
        <v>67</v>
      </c>
      <c r="P138" s="15" t="s">
        <v>272</v>
      </c>
      <c r="Q138" s="5" t="s">
        <v>1020</v>
      </c>
      <c r="R138" s="15" t="s">
        <v>302</v>
      </c>
      <c r="S138" s="15" t="n">
        <v>2</v>
      </c>
      <c r="T138" s="15" t="n">
        <v>2</v>
      </c>
      <c r="U138" s="16" t="n">
        <v>37203</v>
      </c>
      <c r="V138" s="16" t="n">
        <v>37203</v>
      </c>
      <c r="W138" s="16" t="n">
        <v>33395</v>
      </c>
      <c r="X138" s="16" t="n">
        <v>33395</v>
      </c>
      <c r="Y138" s="15" t="n">
        <v>498</v>
      </c>
      <c r="Z138" s="15" t="n">
        <v>467</v>
      </c>
      <c r="AA138" s="15" t="n">
        <v>526</v>
      </c>
      <c r="AB138" s="15" t="n">
        <v>5</v>
      </c>
      <c r="AC138" s="15" t="n">
        <v>6</v>
      </c>
      <c r="AD138" s="15" t="n">
        <v>28</v>
      </c>
      <c r="AE138" s="15" t="n">
        <v>33</v>
      </c>
      <c r="AF138" s="15" t="n">
        <v>11</v>
      </c>
      <c r="AG138" s="15" t="n">
        <v>14</v>
      </c>
      <c r="AH138" s="15" t="n">
        <v>6</v>
      </c>
      <c r="AI138" s="15" t="n">
        <v>6</v>
      </c>
      <c r="AJ138" s="15" t="n">
        <v>16</v>
      </c>
      <c r="AK138" s="15" t="n">
        <v>19</v>
      </c>
      <c r="AL138" s="15" t="n">
        <v>2</v>
      </c>
      <c r="AM138" s="15" t="n">
        <v>3</v>
      </c>
      <c r="AN138" s="15" t="n">
        <v>0</v>
      </c>
      <c r="AO138" s="15" t="n">
        <v>0</v>
      </c>
      <c r="AP138" s="15" t="s">
        <v>63</v>
      </c>
      <c r="AQ138" s="15" t="s">
        <v>57</v>
      </c>
      <c r="AR138" s="9" t="s">
        <v>312</v>
      </c>
      <c r="AS138" s="9" t="s">
        <v>303</v>
      </c>
      <c r="AT138" s="9" t="s">
        <v>304</v>
      </c>
      <c r="AU138" s="15" t="s">
        <v>1021</v>
      </c>
      <c r="AV138" s="15" t="n">
        <v>6762577</v>
      </c>
      <c r="AW138" s="15" t="n">
        <v>9.91005037339702E+017</v>
      </c>
      <c r="AX138" s="15" t="n">
        <v>9.91005037339702E+017</v>
      </c>
      <c r="AY138" s="15" t="n">
        <v>2262879450002650</v>
      </c>
      <c r="AZ138" s="15" t="s">
        <v>77</v>
      </c>
      <c r="BA138" s="14"/>
      <c r="BB138" s="17" t="n">
        <v>9780060649180</v>
      </c>
      <c r="BC138" s="17" t="n">
        <v>32285000629302</v>
      </c>
      <c r="BD138" s="15" t="n">
        <v>893628483</v>
      </c>
      <c r="BE138" s="6" t="s">
        <v>306</v>
      </c>
    </row>
    <row r="139" customFormat="false" ht="59.5" hidden="false" customHeight="false" outlineLevel="0" collapsed="false">
      <c r="A139" s="4" t="s">
        <v>57</v>
      </c>
      <c r="B139" s="5" t="s">
        <v>1022</v>
      </c>
      <c r="C139" s="5" t="s">
        <v>1023</v>
      </c>
      <c r="D139" s="5" t="s">
        <v>1024</v>
      </c>
      <c r="E139" s="14"/>
      <c r="F139" s="15" t="s">
        <v>63</v>
      </c>
      <c r="G139" s="15" t="n">
        <v>1</v>
      </c>
      <c r="H139" s="15" t="s">
        <v>63</v>
      </c>
      <c r="I139" s="15" t="s">
        <v>63</v>
      </c>
      <c r="J139" s="15" t="n">
        <v>0</v>
      </c>
      <c r="K139" s="5" t="s">
        <v>1025</v>
      </c>
      <c r="L139" s="5" t="s">
        <v>1026</v>
      </c>
      <c r="M139" s="15" t="n">
        <v>1977</v>
      </c>
      <c r="N139" s="5" t="s">
        <v>1027</v>
      </c>
      <c r="O139" s="15" t="s">
        <v>67</v>
      </c>
      <c r="P139" s="15" t="s">
        <v>300</v>
      </c>
      <c r="Q139" s="14"/>
      <c r="R139" s="15" t="s">
        <v>302</v>
      </c>
      <c r="S139" s="15" t="n">
        <v>6</v>
      </c>
      <c r="T139" s="15" t="n">
        <v>6</v>
      </c>
      <c r="U139" s="16" t="n">
        <v>37203</v>
      </c>
      <c r="V139" s="16" t="n">
        <v>37203</v>
      </c>
      <c r="W139" s="16" t="n">
        <v>33395</v>
      </c>
      <c r="X139" s="16" t="n">
        <v>33395</v>
      </c>
      <c r="Y139" s="15" t="n">
        <v>43</v>
      </c>
      <c r="Z139" s="15" t="n">
        <v>41</v>
      </c>
      <c r="AA139" s="15" t="n">
        <v>239</v>
      </c>
      <c r="AB139" s="15" t="n">
        <v>1</v>
      </c>
      <c r="AC139" s="15" t="n">
        <v>3</v>
      </c>
      <c r="AD139" s="15" t="n">
        <v>0</v>
      </c>
      <c r="AE139" s="15" t="n">
        <v>10</v>
      </c>
      <c r="AF139" s="15" t="n">
        <v>0</v>
      </c>
      <c r="AG139" s="15" t="n">
        <v>6</v>
      </c>
      <c r="AH139" s="15" t="n">
        <v>0</v>
      </c>
      <c r="AI139" s="15" t="n">
        <v>2</v>
      </c>
      <c r="AJ139" s="15" t="n">
        <v>0</v>
      </c>
      <c r="AK139" s="15" t="n">
        <v>3</v>
      </c>
      <c r="AL139" s="15" t="n">
        <v>0</v>
      </c>
      <c r="AM139" s="15" t="n">
        <v>1</v>
      </c>
      <c r="AN139" s="15" t="n">
        <v>0</v>
      </c>
      <c r="AO139" s="15" t="n">
        <v>0</v>
      </c>
      <c r="AP139" s="15" t="s">
        <v>63</v>
      </c>
      <c r="AQ139" s="15" t="s">
        <v>63</v>
      </c>
      <c r="AR139" s="14"/>
      <c r="AS139" s="9" t="s">
        <v>303</v>
      </c>
      <c r="AT139" s="9" t="s">
        <v>304</v>
      </c>
      <c r="AU139" s="15" t="s">
        <v>1028</v>
      </c>
      <c r="AV139" s="15" t="n">
        <v>3724511</v>
      </c>
      <c r="AW139" s="15" t="n">
        <v>9.91004501919702E+017</v>
      </c>
      <c r="AX139" s="15" t="n">
        <v>9.91004501919702E+017</v>
      </c>
      <c r="AY139" s="15" t="n">
        <v>2258229350002650</v>
      </c>
      <c r="AZ139" s="15" t="s">
        <v>77</v>
      </c>
      <c r="BA139" s="14"/>
      <c r="BB139" s="19"/>
      <c r="BC139" s="17" t="n">
        <v>32285000629310</v>
      </c>
      <c r="BD139" s="15" t="n">
        <v>893235578</v>
      </c>
      <c r="BE139" s="6" t="s">
        <v>306</v>
      </c>
    </row>
    <row r="140" customFormat="false" ht="25" hidden="false" customHeight="false" outlineLevel="0" collapsed="false">
      <c r="A140" s="4" t="s">
        <v>57</v>
      </c>
      <c r="B140" s="5" t="s">
        <v>1029</v>
      </c>
      <c r="C140" s="5" t="s">
        <v>1030</v>
      </c>
      <c r="D140" s="5" t="s">
        <v>1031</v>
      </c>
      <c r="E140" s="14"/>
      <c r="F140" s="15" t="s">
        <v>63</v>
      </c>
      <c r="G140" s="15" t="n">
        <v>1</v>
      </c>
      <c r="H140" s="15" t="s">
        <v>63</v>
      </c>
      <c r="I140" s="15" t="s">
        <v>63</v>
      </c>
      <c r="J140" s="15" t="n">
        <v>0</v>
      </c>
      <c r="K140" s="5" t="s">
        <v>1032</v>
      </c>
      <c r="L140" s="5" t="s">
        <v>1033</v>
      </c>
      <c r="M140" s="15" t="n">
        <v>1966</v>
      </c>
      <c r="N140" s="14"/>
      <c r="O140" s="15" t="s">
        <v>67</v>
      </c>
      <c r="P140" s="15" t="s">
        <v>318</v>
      </c>
      <c r="Q140" s="14"/>
      <c r="R140" s="15" t="s">
        <v>302</v>
      </c>
      <c r="S140" s="15" t="n">
        <v>5</v>
      </c>
      <c r="T140" s="15" t="n">
        <v>5</v>
      </c>
      <c r="U140" s="16" t="n">
        <v>37203</v>
      </c>
      <c r="V140" s="16" t="n">
        <v>37203</v>
      </c>
      <c r="W140" s="16" t="n">
        <v>33395</v>
      </c>
      <c r="X140" s="16" t="n">
        <v>33395</v>
      </c>
      <c r="Y140" s="15" t="n">
        <v>185</v>
      </c>
      <c r="Z140" s="15" t="n">
        <v>168</v>
      </c>
      <c r="AA140" s="15" t="n">
        <v>248</v>
      </c>
      <c r="AB140" s="15" t="n">
        <v>3</v>
      </c>
      <c r="AC140" s="15" t="n">
        <v>3</v>
      </c>
      <c r="AD140" s="15" t="n">
        <v>9</v>
      </c>
      <c r="AE140" s="15" t="n">
        <v>13</v>
      </c>
      <c r="AF140" s="15" t="n">
        <v>4</v>
      </c>
      <c r="AG140" s="15" t="n">
        <v>4</v>
      </c>
      <c r="AH140" s="15" t="n">
        <v>0</v>
      </c>
      <c r="AI140" s="15" t="n">
        <v>2</v>
      </c>
      <c r="AJ140" s="15" t="n">
        <v>3</v>
      </c>
      <c r="AK140" s="15" t="n">
        <v>6</v>
      </c>
      <c r="AL140" s="15" t="n">
        <v>2</v>
      </c>
      <c r="AM140" s="15" t="n">
        <v>2</v>
      </c>
      <c r="AN140" s="15" t="n">
        <v>0</v>
      </c>
      <c r="AO140" s="15" t="n">
        <v>0</v>
      </c>
      <c r="AP140" s="15" t="s">
        <v>63</v>
      </c>
      <c r="AQ140" s="15" t="s">
        <v>63</v>
      </c>
      <c r="AR140" s="14"/>
      <c r="AS140" s="9" t="s">
        <v>303</v>
      </c>
      <c r="AT140" s="9" t="s">
        <v>304</v>
      </c>
      <c r="AU140" s="15" t="s">
        <v>1034</v>
      </c>
      <c r="AV140" s="15" t="n">
        <v>635837</v>
      </c>
      <c r="AW140" s="15" t="n">
        <v>9.91004215679702E+017</v>
      </c>
      <c r="AX140" s="15" t="n">
        <v>9.91004215679702E+017</v>
      </c>
      <c r="AY140" s="15" t="n">
        <v>2264817400002650</v>
      </c>
      <c r="AZ140" s="15" t="s">
        <v>77</v>
      </c>
      <c r="BA140" s="14"/>
      <c r="BB140" s="19"/>
      <c r="BC140" s="17" t="n">
        <v>32285000629328</v>
      </c>
      <c r="BD140" s="15" t="n">
        <v>893235208</v>
      </c>
      <c r="BE140" s="6" t="s">
        <v>306</v>
      </c>
    </row>
    <row r="141" customFormat="false" ht="36.5" hidden="false" customHeight="false" outlineLevel="0" collapsed="false">
      <c r="A141" s="4" t="s">
        <v>57</v>
      </c>
      <c r="B141" s="5" t="s">
        <v>1035</v>
      </c>
      <c r="C141" s="5" t="s">
        <v>1036</v>
      </c>
      <c r="D141" s="5" t="s">
        <v>1037</v>
      </c>
      <c r="E141" s="14"/>
      <c r="F141" s="15" t="s">
        <v>63</v>
      </c>
      <c r="G141" s="15" t="n">
        <v>1</v>
      </c>
      <c r="H141" s="15" t="s">
        <v>63</v>
      </c>
      <c r="I141" s="15" t="s">
        <v>63</v>
      </c>
      <c r="J141" s="15" t="n">
        <v>0</v>
      </c>
      <c r="K141" s="5" t="s">
        <v>1038</v>
      </c>
      <c r="L141" s="5" t="s">
        <v>1039</v>
      </c>
      <c r="M141" s="15" t="n">
        <v>1967</v>
      </c>
      <c r="N141" s="14"/>
      <c r="O141" s="15" t="s">
        <v>67</v>
      </c>
      <c r="P141" s="15" t="s">
        <v>367</v>
      </c>
      <c r="Q141" s="5" t="s">
        <v>1040</v>
      </c>
      <c r="R141" s="15" t="s">
        <v>302</v>
      </c>
      <c r="S141" s="15" t="n">
        <v>7</v>
      </c>
      <c r="T141" s="15" t="n">
        <v>7</v>
      </c>
      <c r="U141" s="16" t="n">
        <v>35405</v>
      </c>
      <c r="V141" s="16" t="n">
        <v>35405</v>
      </c>
      <c r="W141" s="16" t="n">
        <v>33395</v>
      </c>
      <c r="X141" s="16" t="n">
        <v>33395</v>
      </c>
      <c r="Y141" s="15" t="n">
        <v>241</v>
      </c>
      <c r="Z141" s="15" t="n">
        <v>173</v>
      </c>
      <c r="AA141" s="15" t="n">
        <v>173</v>
      </c>
      <c r="AB141" s="15" t="n">
        <v>1</v>
      </c>
      <c r="AC141" s="15" t="n">
        <v>1</v>
      </c>
      <c r="AD141" s="15" t="n">
        <v>11</v>
      </c>
      <c r="AE141" s="15" t="n">
        <v>11</v>
      </c>
      <c r="AF141" s="15" t="n">
        <v>3</v>
      </c>
      <c r="AG141" s="15" t="n">
        <v>3</v>
      </c>
      <c r="AH141" s="15" t="n">
        <v>4</v>
      </c>
      <c r="AI141" s="15" t="n">
        <v>4</v>
      </c>
      <c r="AJ141" s="15" t="n">
        <v>8</v>
      </c>
      <c r="AK141" s="15" t="n">
        <v>8</v>
      </c>
      <c r="AL141" s="15" t="n">
        <v>0</v>
      </c>
      <c r="AM141" s="15" t="n">
        <v>0</v>
      </c>
      <c r="AN141" s="15" t="n">
        <v>0</v>
      </c>
      <c r="AO141" s="15" t="n">
        <v>0</v>
      </c>
      <c r="AP141" s="15" t="s">
        <v>63</v>
      </c>
      <c r="AQ141" s="15" t="s">
        <v>63</v>
      </c>
      <c r="AR141" s="14"/>
      <c r="AS141" s="9" t="s">
        <v>303</v>
      </c>
      <c r="AT141" s="9" t="s">
        <v>304</v>
      </c>
      <c r="AU141" s="15" t="s">
        <v>1041</v>
      </c>
      <c r="AV141" s="15" t="n">
        <v>350347</v>
      </c>
      <c r="AW141" s="15" t="n">
        <v>9.91002441769702E+017</v>
      </c>
      <c r="AX141" s="15" t="n">
        <v>9.91002441769702E+017</v>
      </c>
      <c r="AY141" s="15" t="n">
        <v>2268749900002650</v>
      </c>
      <c r="AZ141" s="15" t="s">
        <v>77</v>
      </c>
      <c r="BA141" s="14"/>
      <c r="BB141" s="19"/>
      <c r="BC141" s="17" t="n">
        <v>32285000629336</v>
      </c>
      <c r="BD141" s="15" t="n">
        <v>893867218</v>
      </c>
      <c r="BE141" s="6" t="s">
        <v>306</v>
      </c>
    </row>
    <row r="142" customFormat="false" ht="36.5" hidden="false" customHeight="false" outlineLevel="0" collapsed="false">
      <c r="A142" s="4" t="s">
        <v>57</v>
      </c>
      <c r="B142" s="5" t="s">
        <v>1042</v>
      </c>
      <c r="C142" s="5" t="s">
        <v>1043</v>
      </c>
      <c r="D142" s="5" t="s">
        <v>1044</v>
      </c>
      <c r="E142" s="14"/>
      <c r="F142" s="15" t="s">
        <v>63</v>
      </c>
      <c r="G142" s="15" t="n">
        <v>1</v>
      </c>
      <c r="H142" s="15" t="s">
        <v>63</v>
      </c>
      <c r="I142" s="15" t="s">
        <v>63</v>
      </c>
      <c r="J142" s="15" t="n">
        <v>0</v>
      </c>
      <c r="K142" s="5" t="s">
        <v>1045</v>
      </c>
      <c r="L142" s="5" t="s">
        <v>1046</v>
      </c>
      <c r="M142" s="15" t="n">
        <v>1998</v>
      </c>
      <c r="N142" s="14"/>
      <c r="O142" s="15" t="s">
        <v>67</v>
      </c>
      <c r="P142" s="15" t="s">
        <v>928</v>
      </c>
      <c r="Q142" s="5" t="s">
        <v>1047</v>
      </c>
      <c r="R142" s="15" t="s">
        <v>302</v>
      </c>
      <c r="S142" s="15" t="n">
        <v>7</v>
      </c>
      <c r="T142" s="15" t="n">
        <v>7</v>
      </c>
      <c r="U142" s="16" t="n">
        <v>38296</v>
      </c>
      <c r="V142" s="16" t="n">
        <v>38296</v>
      </c>
      <c r="W142" s="16" t="n">
        <v>36185</v>
      </c>
      <c r="X142" s="16" t="n">
        <v>36185</v>
      </c>
      <c r="Y142" s="15" t="n">
        <v>312</v>
      </c>
      <c r="Z142" s="15" t="n">
        <v>264</v>
      </c>
      <c r="AA142" s="15" t="n">
        <v>288</v>
      </c>
      <c r="AB142" s="15" t="n">
        <v>5</v>
      </c>
      <c r="AC142" s="15" t="n">
        <v>6</v>
      </c>
      <c r="AD142" s="15" t="n">
        <v>17</v>
      </c>
      <c r="AE142" s="15" t="n">
        <v>19</v>
      </c>
      <c r="AF142" s="15" t="n">
        <v>5</v>
      </c>
      <c r="AG142" s="15" t="n">
        <v>5</v>
      </c>
      <c r="AH142" s="15" t="n">
        <v>3</v>
      </c>
      <c r="AI142" s="15" t="n">
        <v>3</v>
      </c>
      <c r="AJ142" s="15" t="n">
        <v>8</v>
      </c>
      <c r="AK142" s="15" t="n">
        <v>8</v>
      </c>
      <c r="AL142" s="15" t="n">
        <v>3</v>
      </c>
      <c r="AM142" s="15" t="n">
        <v>4</v>
      </c>
      <c r="AN142" s="15" t="n">
        <v>0</v>
      </c>
      <c r="AO142" s="15" t="n">
        <v>1</v>
      </c>
      <c r="AP142" s="15" t="s">
        <v>63</v>
      </c>
      <c r="AQ142" s="15" t="s">
        <v>63</v>
      </c>
      <c r="AR142" s="14"/>
      <c r="AS142" s="9" t="s">
        <v>303</v>
      </c>
      <c r="AT142" s="9" t="s">
        <v>304</v>
      </c>
      <c r="AU142" s="15" t="s">
        <v>1048</v>
      </c>
      <c r="AV142" s="15" t="n">
        <v>39849575</v>
      </c>
      <c r="AW142" s="15" t="n">
        <v>9.91002973539702E+017</v>
      </c>
      <c r="AX142" s="15" t="n">
        <v>9.91002973539702E+017</v>
      </c>
      <c r="AY142" s="15" t="n">
        <v>2271440160002650</v>
      </c>
      <c r="AZ142" s="15" t="s">
        <v>77</v>
      </c>
      <c r="BA142" s="14"/>
      <c r="BB142" s="17" t="n">
        <v>9780687058167</v>
      </c>
      <c r="BC142" s="17" t="n">
        <v>32285003515896</v>
      </c>
      <c r="BD142" s="15" t="n">
        <v>893505050</v>
      </c>
      <c r="BE142" s="6" t="s">
        <v>306</v>
      </c>
    </row>
    <row r="143" customFormat="false" ht="48" hidden="false" customHeight="false" outlineLevel="0" collapsed="false">
      <c r="A143" s="4" t="s">
        <v>57</v>
      </c>
      <c r="B143" s="5" t="s">
        <v>1049</v>
      </c>
      <c r="C143" s="5" t="s">
        <v>1050</v>
      </c>
      <c r="D143" s="5" t="s">
        <v>1051</v>
      </c>
      <c r="E143" s="14"/>
      <c r="F143" s="15" t="s">
        <v>63</v>
      </c>
      <c r="G143" s="15" t="n">
        <v>1</v>
      </c>
      <c r="H143" s="15" t="s">
        <v>63</v>
      </c>
      <c r="I143" s="15" t="s">
        <v>63</v>
      </c>
      <c r="J143" s="15" t="n">
        <v>0</v>
      </c>
      <c r="K143" s="5" t="s">
        <v>1052</v>
      </c>
      <c r="L143" s="5" t="s">
        <v>1053</v>
      </c>
      <c r="M143" s="15" t="n">
        <v>1981</v>
      </c>
      <c r="N143" s="14"/>
      <c r="O143" s="15" t="s">
        <v>67</v>
      </c>
      <c r="P143" s="15" t="s">
        <v>401</v>
      </c>
      <c r="Q143" s="14"/>
      <c r="R143" s="15" t="s">
        <v>302</v>
      </c>
      <c r="S143" s="15" t="n">
        <v>6</v>
      </c>
      <c r="T143" s="15" t="n">
        <v>6</v>
      </c>
      <c r="U143" s="16" t="n">
        <v>34624</v>
      </c>
      <c r="V143" s="16" t="n">
        <v>34624</v>
      </c>
      <c r="W143" s="16" t="n">
        <v>33395</v>
      </c>
      <c r="X143" s="16" t="n">
        <v>33395</v>
      </c>
      <c r="Y143" s="15" t="n">
        <v>428</v>
      </c>
      <c r="Z143" s="15" t="n">
        <v>356</v>
      </c>
      <c r="AA143" s="15" t="n">
        <v>369</v>
      </c>
      <c r="AB143" s="15" t="n">
        <v>2</v>
      </c>
      <c r="AC143" s="15" t="n">
        <v>2</v>
      </c>
      <c r="AD143" s="15" t="n">
        <v>29</v>
      </c>
      <c r="AE143" s="15" t="n">
        <v>29</v>
      </c>
      <c r="AF143" s="15" t="n">
        <v>10</v>
      </c>
      <c r="AG143" s="15" t="n">
        <v>10</v>
      </c>
      <c r="AH143" s="15" t="n">
        <v>6</v>
      </c>
      <c r="AI143" s="15" t="n">
        <v>6</v>
      </c>
      <c r="AJ143" s="15" t="n">
        <v>20</v>
      </c>
      <c r="AK143" s="15" t="n">
        <v>20</v>
      </c>
      <c r="AL143" s="15" t="n">
        <v>1</v>
      </c>
      <c r="AM143" s="15" t="n">
        <v>1</v>
      </c>
      <c r="AN143" s="15" t="n">
        <v>0</v>
      </c>
      <c r="AO143" s="15" t="n">
        <v>0</v>
      </c>
      <c r="AP143" s="15" t="s">
        <v>63</v>
      </c>
      <c r="AQ143" s="15" t="s">
        <v>57</v>
      </c>
      <c r="AR143" s="9" t="s">
        <v>312</v>
      </c>
      <c r="AS143" s="9" t="s">
        <v>303</v>
      </c>
      <c r="AT143" s="9" t="s">
        <v>304</v>
      </c>
      <c r="AU143" s="15" t="s">
        <v>1054</v>
      </c>
      <c r="AV143" s="15" t="n">
        <v>7197405</v>
      </c>
      <c r="AW143" s="15" t="n">
        <v>9.91005087539702E+017</v>
      </c>
      <c r="AX143" s="15" t="n">
        <v>9.91005087539702E+017</v>
      </c>
      <c r="AY143" s="15" t="n">
        <v>2256787540002650</v>
      </c>
      <c r="AZ143" s="15" t="s">
        <v>77</v>
      </c>
      <c r="BA143" s="14"/>
      <c r="BB143" s="17" t="n">
        <v>9780800606596</v>
      </c>
      <c r="BC143" s="17" t="n">
        <v>32285000629351</v>
      </c>
      <c r="BD143" s="15" t="n">
        <v>893326134</v>
      </c>
      <c r="BE143" s="6" t="s">
        <v>306</v>
      </c>
    </row>
    <row r="144" customFormat="false" ht="36.5" hidden="false" customHeight="false" outlineLevel="0" collapsed="false">
      <c r="A144" s="4" t="s">
        <v>57</v>
      </c>
      <c r="B144" s="5" t="s">
        <v>1055</v>
      </c>
      <c r="C144" s="5" t="s">
        <v>1056</v>
      </c>
      <c r="D144" s="5" t="s">
        <v>1057</v>
      </c>
      <c r="E144" s="14"/>
      <c r="F144" s="15" t="s">
        <v>63</v>
      </c>
      <c r="G144" s="15" t="n">
        <v>1</v>
      </c>
      <c r="H144" s="15" t="s">
        <v>63</v>
      </c>
      <c r="I144" s="15" t="s">
        <v>63</v>
      </c>
      <c r="J144" s="15" t="n">
        <v>0</v>
      </c>
      <c r="K144" s="5" t="s">
        <v>1052</v>
      </c>
      <c r="L144" s="5" t="s">
        <v>1058</v>
      </c>
      <c r="M144" s="15" t="n">
        <v>1979</v>
      </c>
      <c r="N144" s="14"/>
      <c r="O144" s="15" t="s">
        <v>67</v>
      </c>
      <c r="P144" s="15" t="s">
        <v>1059</v>
      </c>
      <c r="Q144" s="5" t="s">
        <v>1060</v>
      </c>
      <c r="R144" s="15" t="s">
        <v>302</v>
      </c>
      <c r="S144" s="15" t="n">
        <v>2</v>
      </c>
      <c r="T144" s="15" t="n">
        <v>2</v>
      </c>
      <c r="U144" s="16" t="n">
        <v>35829</v>
      </c>
      <c r="V144" s="16" t="n">
        <v>35829</v>
      </c>
      <c r="W144" s="16" t="n">
        <v>33395</v>
      </c>
      <c r="X144" s="16" t="n">
        <v>33395</v>
      </c>
      <c r="Y144" s="15" t="n">
        <v>44</v>
      </c>
      <c r="Z144" s="15" t="n">
        <v>38</v>
      </c>
      <c r="AA144" s="15" t="n">
        <v>38</v>
      </c>
      <c r="AB144" s="15" t="n">
        <v>1</v>
      </c>
      <c r="AC144" s="15" t="n">
        <v>1</v>
      </c>
      <c r="AD144" s="15" t="n">
        <v>4</v>
      </c>
      <c r="AE144" s="15" t="n">
        <v>4</v>
      </c>
      <c r="AF144" s="15" t="n">
        <v>0</v>
      </c>
      <c r="AG144" s="15" t="n">
        <v>0</v>
      </c>
      <c r="AH144" s="15" t="n">
        <v>1</v>
      </c>
      <c r="AI144" s="15" t="n">
        <v>1</v>
      </c>
      <c r="AJ144" s="15" t="n">
        <v>4</v>
      </c>
      <c r="AK144" s="15" t="n">
        <v>4</v>
      </c>
      <c r="AL144" s="15" t="n">
        <v>0</v>
      </c>
      <c r="AM144" s="15" t="n">
        <v>0</v>
      </c>
      <c r="AN144" s="15" t="n">
        <v>0</v>
      </c>
      <c r="AO144" s="15" t="n">
        <v>0</v>
      </c>
      <c r="AP144" s="15" t="s">
        <v>63</v>
      </c>
      <c r="AQ144" s="15" t="s">
        <v>63</v>
      </c>
      <c r="AR144" s="14"/>
      <c r="AS144" s="9" t="s">
        <v>303</v>
      </c>
      <c r="AT144" s="9" t="s">
        <v>304</v>
      </c>
      <c r="AU144" s="15" t="s">
        <v>1061</v>
      </c>
      <c r="AV144" s="15" t="n">
        <v>4195070</v>
      </c>
      <c r="AW144" s="15" t="n">
        <v>9.91004606919702E+017</v>
      </c>
      <c r="AX144" s="15" t="n">
        <v>9.91004606919702E+017</v>
      </c>
      <c r="AY144" s="15" t="n">
        <v>2261117680002650</v>
      </c>
      <c r="AZ144" s="15" t="s">
        <v>77</v>
      </c>
      <c r="BA144" s="14"/>
      <c r="BB144" s="17" t="n">
        <v>9780819907288</v>
      </c>
      <c r="BC144" s="17" t="n">
        <v>32285000629369</v>
      </c>
      <c r="BD144" s="15" t="n">
        <v>893706616</v>
      </c>
      <c r="BE144" s="6" t="s">
        <v>306</v>
      </c>
    </row>
    <row r="145" customFormat="false" ht="48" hidden="false" customHeight="false" outlineLevel="0" collapsed="false">
      <c r="A145" s="4" t="s">
        <v>57</v>
      </c>
      <c r="B145" s="5" t="s">
        <v>1062</v>
      </c>
      <c r="C145" s="5" t="s">
        <v>1063</v>
      </c>
      <c r="D145" s="5" t="s">
        <v>1064</v>
      </c>
      <c r="E145" s="14"/>
      <c r="F145" s="15" t="s">
        <v>63</v>
      </c>
      <c r="G145" s="15" t="n">
        <v>1</v>
      </c>
      <c r="H145" s="15" t="s">
        <v>63</v>
      </c>
      <c r="I145" s="15" t="s">
        <v>63</v>
      </c>
      <c r="J145" s="15" t="n">
        <v>0</v>
      </c>
      <c r="K145" s="5" t="s">
        <v>1065</v>
      </c>
      <c r="L145" s="5" t="s">
        <v>1066</v>
      </c>
      <c r="M145" s="15" t="n">
        <v>1970</v>
      </c>
      <c r="N145" s="5" t="s">
        <v>1067</v>
      </c>
      <c r="O145" s="15" t="s">
        <v>67</v>
      </c>
      <c r="P145" s="15" t="s">
        <v>384</v>
      </c>
      <c r="Q145" s="14"/>
      <c r="R145" s="15" t="s">
        <v>302</v>
      </c>
      <c r="S145" s="15" t="n">
        <v>3</v>
      </c>
      <c r="T145" s="15" t="n">
        <v>3</v>
      </c>
      <c r="U145" s="16" t="n">
        <v>34659</v>
      </c>
      <c r="V145" s="16" t="n">
        <v>34659</v>
      </c>
      <c r="W145" s="16" t="n">
        <v>33395</v>
      </c>
      <c r="X145" s="16" t="n">
        <v>33395</v>
      </c>
      <c r="Y145" s="15" t="n">
        <v>225</v>
      </c>
      <c r="Z145" s="15" t="n">
        <v>169</v>
      </c>
      <c r="AA145" s="15" t="n">
        <v>270</v>
      </c>
      <c r="AB145" s="15" t="n">
        <v>2</v>
      </c>
      <c r="AC145" s="15" t="n">
        <v>3</v>
      </c>
      <c r="AD145" s="15" t="n">
        <v>15</v>
      </c>
      <c r="AE145" s="15" t="n">
        <v>22</v>
      </c>
      <c r="AF145" s="15" t="n">
        <v>4</v>
      </c>
      <c r="AG145" s="15" t="n">
        <v>7</v>
      </c>
      <c r="AH145" s="15" t="n">
        <v>2</v>
      </c>
      <c r="AI145" s="15" t="n">
        <v>3</v>
      </c>
      <c r="AJ145" s="15" t="n">
        <v>10</v>
      </c>
      <c r="AK145" s="15" t="n">
        <v>13</v>
      </c>
      <c r="AL145" s="15" t="n">
        <v>1</v>
      </c>
      <c r="AM145" s="15" t="n">
        <v>2</v>
      </c>
      <c r="AN145" s="15" t="n">
        <v>0</v>
      </c>
      <c r="AO145" s="15" t="n">
        <v>0</v>
      </c>
      <c r="AP145" s="15" t="s">
        <v>63</v>
      </c>
      <c r="AQ145" s="15" t="s">
        <v>63</v>
      </c>
      <c r="AR145" s="14"/>
      <c r="AS145" s="9" t="s">
        <v>303</v>
      </c>
      <c r="AT145" s="9" t="s">
        <v>304</v>
      </c>
      <c r="AU145" s="15" t="s">
        <v>1068</v>
      </c>
      <c r="AV145" s="15" t="n">
        <v>94010</v>
      </c>
      <c r="AW145" s="15" t="n">
        <v>9.91000565199702E+017</v>
      </c>
      <c r="AX145" s="15" t="n">
        <v>9.91000565199702E+017</v>
      </c>
      <c r="AY145" s="15" t="n">
        <v>2265890260002650</v>
      </c>
      <c r="AZ145" s="15" t="s">
        <v>77</v>
      </c>
      <c r="BA145" s="14"/>
      <c r="BB145" s="17" t="n">
        <v>9780631120803</v>
      </c>
      <c r="BC145" s="17" t="n">
        <v>32285000629385</v>
      </c>
      <c r="BD145" s="15" t="n">
        <v>893890815</v>
      </c>
      <c r="BE145" s="6" t="s">
        <v>306</v>
      </c>
    </row>
    <row r="146" customFormat="false" ht="48" hidden="false" customHeight="false" outlineLevel="0" collapsed="false">
      <c r="A146" s="4" t="s">
        <v>57</v>
      </c>
      <c r="B146" s="5" t="s">
        <v>1069</v>
      </c>
      <c r="C146" s="5" t="s">
        <v>1070</v>
      </c>
      <c r="D146" s="5" t="s">
        <v>1071</v>
      </c>
      <c r="E146" s="14"/>
      <c r="F146" s="15" t="s">
        <v>63</v>
      </c>
      <c r="G146" s="15" t="n">
        <v>1</v>
      </c>
      <c r="H146" s="15" t="s">
        <v>63</v>
      </c>
      <c r="I146" s="15" t="s">
        <v>63</v>
      </c>
      <c r="J146" s="15" t="n">
        <v>0</v>
      </c>
      <c r="K146" s="5" t="s">
        <v>1072</v>
      </c>
      <c r="L146" s="5" t="s">
        <v>439</v>
      </c>
      <c r="M146" s="15" t="n">
        <v>1968</v>
      </c>
      <c r="N146" s="5" t="s">
        <v>255</v>
      </c>
      <c r="O146" s="15" t="s">
        <v>67</v>
      </c>
      <c r="P146" s="15" t="s">
        <v>318</v>
      </c>
      <c r="Q146" s="5" t="s">
        <v>1073</v>
      </c>
      <c r="R146" s="15" t="s">
        <v>302</v>
      </c>
      <c r="S146" s="15" t="n">
        <v>2</v>
      </c>
      <c r="T146" s="15" t="n">
        <v>2</v>
      </c>
      <c r="U146" s="16" t="n">
        <v>33899</v>
      </c>
      <c r="V146" s="16" t="n">
        <v>33899</v>
      </c>
      <c r="W146" s="16" t="n">
        <v>33395</v>
      </c>
      <c r="X146" s="16" t="n">
        <v>33395</v>
      </c>
      <c r="Y146" s="15" t="n">
        <v>340</v>
      </c>
      <c r="Z146" s="15" t="n">
        <v>302</v>
      </c>
      <c r="AA146" s="15" t="n">
        <v>372</v>
      </c>
      <c r="AB146" s="15" t="n">
        <v>3</v>
      </c>
      <c r="AC146" s="15" t="n">
        <v>3</v>
      </c>
      <c r="AD146" s="15" t="n">
        <v>11</v>
      </c>
      <c r="AE146" s="15" t="n">
        <v>14</v>
      </c>
      <c r="AF146" s="15" t="n">
        <v>4</v>
      </c>
      <c r="AG146" s="15" t="n">
        <v>4</v>
      </c>
      <c r="AH146" s="15" t="n">
        <v>1</v>
      </c>
      <c r="AI146" s="15" t="n">
        <v>1</v>
      </c>
      <c r="AJ146" s="15" t="n">
        <v>5</v>
      </c>
      <c r="AK146" s="15" t="n">
        <v>8</v>
      </c>
      <c r="AL146" s="15" t="n">
        <v>2</v>
      </c>
      <c r="AM146" s="15" t="n">
        <v>2</v>
      </c>
      <c r="AN146" s="15" t="n">
        <v>0</v>
      </c>
      <c r="AO146" s="15" t="n">
        <v>0</v>
      </c>
      <c r="AP146" s="15" t="s">
        <v>63</v>
      </c>
      <c r="AQ146" s="15" t="s">
        <v>57</v>
      </c>
      <c r="AR146" s="9" t="s">
        <v>312</v>
      </c>
      <c r="AS146" s="9" t="s">
        <v>303</v>
      </c>
      <c r="AT146" s="9" t="s">
        <v>304</v>
      </c>
      <c r="AU146" s="15" t="s">
        <v>1074</v>
      </c>
      <c r="AV146" s="15" t="n">
        <v>432449</v>
      </c>
      <c r="AW146" s="15" t="n">
        <v>9.91002764879702E+017</v>
      </c>
      <c r="AX146" s="15" t="n">
        <v>9.91002764879702E+017</v>
      </c>
      <c r="AY146" s="15" t="n">
        <v>2272399390002650</v>
      </c>
      <c r="AZ146" s="15" t="s">
        <v>77</v>
      </c>
      <c r="BA146" s="14"/>
      <c r="BB146" s="19"/>
      <c r="BC146" s="17" t="n">
        <v>32285000629427</v>
      </c>
      <c r="BD146" s="15" t="n">
        <v>893691972</v>
      </c>
      <c r="BE146" s="6" t="s">
        <v>306</v>
      </c>
    </row>
    <row r="147" customFormat="false" ht="36.5" hidden="false" customHeight="false" outlineLevel="0" collapsed="false">
      <c r="A147" s="4" t="s">
        <v>57</v>
      </c>
      <c r="B147" s="5" t="s">
        <v>1075</v>
      </c>
      <c r="C147" s="5" t="s">
        <v>1076</v>
      </c>
      <c r="D147" s="5" t="s">
        <v>1077</v>
      </c>
      <c r="E147" s="14"/>
      <c r="F147" s="15" t="s">
        <v>63</v>
      </c>
      <c r="G147" s="15" t="n">
        <v>1</v>
      </c>
      <c r="H147" s="15" t="s">
        <v>63</v>
      </c>
      <c r="I147" s="15" t="s">
        <v>63</v>
      </c>
      <c r="J147" s="15" t="n">
        <v>0</v>
      </c>
      <c r="K147" s="14"/>
      <c r="L147" s="5" t="s">
        <v>1078</v>
      </c>
      <c r="M147" s="15" t="n">
        <v>1986</v>
      </c>
      <c r="N147" s="14"/>
      <c r="O147" s="15" t="s">
        <v>67</v>
      </c>
      <c r="P147" s="15" t="s">
        <v>415</v>
      </c>
      <c r="Q147" s="5" t="s">
        <v>1079</v>
      </c>
      <c r="R147" s="15" t="s">
        <v>302</v>
      </c>
      <c r="S147" s="15" t="n">
        <v>5</v>
      </c>
      <c r="T147" s="15" t="n">
        <v>5</v>
      </c>
      <c r="U147" s="16" t="n">
        <v>37097</v>
      </c>
      <c r="V147" s="16" t="n">
        <v>37097</v>
      </c>
      <c r="W147" s="16" t="n">
        <v>33395</v>
      </c>
      <c r="X147" s="16" t="n">
        <v>33395</v>
      </c>
      <c r="Y147" s="15" t="n">
        <v>267</v>
      </c>
      <c r="Z147" s="15" t="n">
        <v>208</v>
      </c>
      <c r="AA147" s="15" t="n">
        <v>216</v>
      </c>
      <c r="AB147" s="15" t="n">
        <v>1</v>
      </c>
      <c r="AC147" s="15" t="n">
        <v>1</v>
      </c>
      <c r="AD147" s="15" t="n">
        <v>17</v>
      </c>
      <c r="AE147" s="15" t="n">
        <v>17</v>
      </c>
      <c r="AF147" s="15" t="n">
        <v>7</v>
      </c>
      <c r="AG147" s="15" t="n">
        <v>7</v>
      </c>
      <c r="AH147" s="15" t="n">
        <v>4</v>
      </c>
      <c r="AI147" s="15" t="n">
        <v>4</v>
      </c>
      <c r="AJ147" s="15" t="n">
        <v>12</v>
      </c>
      <c r="AK147" s="15" t="n">
        <v>12</v>
      </c>
      <c r="AL147" s="15" t="n">
        <v>0</v>
      </c>
      <c r="AM147" s="15" t="n">
        <v>0</v>
      </c>
      <c r="AN147" s="15" t="n">
        <v>0</v>
      </c>
      <c r="AO147" s="15" t="n">
        <v>0</v>
      </c>
      <c r="AP147" s="15" t="s">
        <v>63</v>
      </c>
      <c r="AQ147" s="15" t="s">
        <v>57</v>
      </c>
      <c r="AR147" s="9" t="s">
        <v>312</v>
      </c>
      <c r="AS147" s="9" t="s">
        <v>303</v>
      </c>
      <c r="AT147" s="9" t="s">
        <v>304</v>
      </c>
      <c r="AU147" s="15" t="s">
        <v>1080</v>
      </c>
      <c r="AV147" s="15" t="n">
        <v>13498929</v>
      </c>
      <c r="AW147" s="15" t="n">
        <v>9.91000837669702E+017</v>
      </c>
      <c r="AX147" s="15" t="n">
        <v>9.91000837669702E+017</v>
      </c>
      <c r="AY147" s="15" t="n">
        <v>2263925400002650</v>
      </c>
      <c r="AZ147" s="15" t="s">
        <v>77</v>
      </c>
      <c r="BA147" s="14"/>
      <c r="BB147" s="17" t="n">
        <v>9780865541986</v>
      </c>
      <c r="BC147" s="17" t="n">
        <v>32285000629450</v>
      </c>
      <c r="BD147" s="15" t="n">
        <v>893872053</v>
      </c>
      <c r="BE147" s="6" t="s">
        <v>306</v>
      </c>
    </row>
    <row r="148" customFormat="false" ht="48" hidden="false" customHeight="false" outlineLevel="0" collapsed="false">
      <c r="A148" s="4" t="s">
        <v>57</v>
      </c>
      <c r="B148" s="5" t="s">
        <v>1081</v>
      </c>
      <c r="C148" s="5" t="s">
        <v>1082</v>
      </c>
      <c r="D148" s="5" t="s">
        <v>1083</v>
      </c>
      <c r="E148" s="14"/>
      <c r="F148" s="15" t="s">
        <v>63</v>
      </c>
      <c r="G148" s="15" t="n">
        <v>1</v>
      </c>
      <c r="H148" s="15" t="s">
        <v>63</v>
      </c>
      <c r="I148" s="15" t="s">
        <v>63</v>
      </c>
      <c r="J148" s="15" t="n">
        <v>0</v>
      </c>
      <c r="K148" s="5" t="s">
        <v>1084</v>
      </c>
      <c r="L148" s="5" t="s">
        <v>1085</v>
      </c>
      <c r="M148" s="15" t="n">
        <v>1973</v>
      </c>
      <c r="N148" s="14"/>
      <c r="O148" s="15" t="s">
        <v>67</v>
      </c>
      <c r="P148" s="15" t="s">
        <v>1086</v>
      </c>
      <c r="Q148" s="14"/>
      <c r="R148" s="15" t="s">
        <v>302</v>
      </c>
      <c r="S148" s="15" t="n">
        <v>4</v>
      </c>
      <c r="T148" s="15" t="n">
        <v>4</v>
      </c>
      <c r="U148" s="16" t="n">
        <v>35240</v>
      </c>
      <c r="V148" s="16" t="n">
        <v>35240</v>
      </c>
      <c r="W148" s="16" t="n">
        <v>33395</v>
      </c>
      <c r="X148" s="16" t="n">
        <v>33395</v>
      </c>
      <c r="Y148" s="15" t="n">
        <v>141</v>
      </c>
      <c r="Z148" s="15" t="n">
        <v>124</v>
      </c>
      <c r="AA148" s="15" t="n">
        <v>136</v>
      </c>
      <c r="AB148" s="15" t="n">
        <v>1</v>
      </c>
      <c r="AC148" s="15" t="n">
        <v>1</v>
      </c>
      <c r="AD148" s="15" t="n">
        <v>7</v>
      </c>
      <c r="AE148" s="15" t="n">
        <v>12</v>
      </c>
      <c r="AF148" s="15" t="n">
        <v>1</v>
      </c>
      <c r="AG148" s="15" t="n">
        <v>2</v>
      </c>
      <c r="AH148" s="15" t="n">
        <v>3</v>
      </c>
      <c r="AI148" s="15" t="n">
        <v>3</v>
      </c>
      <c r="AJ148" s="15" t="n">
        <v>4</v>
      </c>
      <c r="AK148" s="15" t="n">
        <v>9</v>
      </c>
      <c r="AL148" s="15" t="n">
        <v>0</v>
      </c>
      <c r="AM148" s="15" t="n">
        <v>0</v>
      </c>
      <c r="AN148" s="15" t="n">
        <v>0</v>
      </c>
      <c r="AO148" s="15" t="n">
        <v>0</v>
      </c>
      <c r="AP148" s="15" t="s">
        <v>63</v>
      </c>
      <c r="AQ148" s="15" t="s">
        <v>63</v>
      </c>
      <c r="AR148" s="14"/>
      <c r="AS148" s="9" t="s">
        <v>303</v>
      </c>
      <c r="AT148" s="9" t="s">
        <v>304</v>
      </c>
      <c r="AU148" s="15" t="s">
        <v>1087</v>
      </c>
      <c r="AV148" s="15" t="n">
        <v>1284392</v>
      </c>
      <c r="AW148" s="15" t="n">
        <v>9.91003929259702E+017</v>
      </c>
      <c r="AX148" s="15" t="n">
        <v>9.91003929259702E+017</v>
      </c>
      <c r="AY148" s="15" t="n">
        <v>2260323760002650</v>
      </c>
      <c r="AZ148" s="15" t="s">
        <v>77</v>
      </c>
      <c r="BA148" s="14"/>
      <c r="BB148" s="19"/>
      <c r="BC148" s="17" t="n">
        <v>32285000629492</v>
      </c>
      <c r="BD148" s="15" t="n">
        <v>893410911</v>
      </c>
      <c r="BE148" s="6" t="s">
        <v>306</v>
      </c>
    </row>
    <row r="149" customFormat="false" ht="36.5" hidden="false" customHeight="false" outlineLevel="0" collapsed="false">
      <c r="A149" s="4" t="s">
        <v>57</v>
      </c>
      <c r="B149" s="5" t="s">
        <v>1088</v>
      </c>
      <c r="C149" s="5" t="s">
        <v>1089</v>
      </c>
      <c r="D149" s="5" t="s">
        <v>1090</v>
      </c>
      <c r="E149" s="14"/>
      <c r="F149" s="15" t="s">
        <v>63</v>
      </c>
      <c r="G149" s="15" t="n">
        <v>1</v>
      </c>
      <c r="H149" s="15" t="s">
        <v>63</v>
      </c>
      <c r="I149" s="15" t="s">
        <v>63</v>
      </c>
      <c r="J149" s="15" t="n">
        <v>0</v>
      </c>
      <c r="K149" s="5" t="s">
        <v>1091</v>
      </c>
      <c r="L149" s="5" t="s">
        <v>1092</v>
      </c>
      <c r="M149" s="15" t="n">
        <v>1986</v>
      </c>
      <c r="N149" s="14"/>
      <c r="O149" s="15" t="s">
        <v>67</v>
      </c>
      <c r="P149" s="15" t="s">
        <v>1093</v>
      </c>
      <c r="Q149" s="5" t="s">
        <v>1094</v>
      </c>
      <c r="R149" s="15" t="s">
        <v>302</v>
      </c>
      <c r="S149" s="15" t="n">
        <v>2</v>
      </c>
      <c r="T149" s="15" t="n">
        <v>2</v>
      </c>
      <c r="U149" s="16" t="n">
        <v>36457</v>
      </c>
      <c r="V149" s="16" t="n">
        <v>36457</v>
      </c>
      <c r="W149" s="16" t="n">
        <v>33395</v>
      </c>
      <c r="X149" s="16" t="n">
        <v>33395</v>
      </c>
      <c r="Y149" s="15" t="n">
        <v>338</v>
      </c>
      <c r="Z149" s="15" t="n">
        <v>222</v>
      </c>
      <c r="AA149" s="15" t="n">
        <v>247</v>
      </c>
      <c r="AB149" s="15" t="n">
        <v>1</v>
      </c>
      <c r="AC149" s="15" t="n">
        <v>1</v>
      </c>
      <c r="AD149" s="15" t="n">
        <v>11</v>
      </c>
      <c r="AE149" s="15" t="n">
        <v>12</v>
      </c>
      <c r="AF149" s="15" t="n">
        <v>6</v>
      </c>
      <c r="AG149" s="15" t="n">
        <v>7</v>
      </c>
      <c r="AH149" s="15" t="n">
        <v>2</v>
      </c>
      <c r="AI149" s="15" t="n">
        <v>3</v>
      </c>
      <c r="AJ149" s="15" t="n">
        <v>7</v>
      </c>
      <c r="AK149" s="15" t="n">
        <v>7</v>
      </c>
      <c r="AL149" s="15" t="n">
        <v>0</v>
      </c>
      <c r="AM149" s="15" t="n">
        <v>0</v>
      </c>
      <c r="AN149" s="15" t="n">
        <v>0</v>
      </c>
      <c r="AO149" s="15" t="n">
        <v>0</v>
      </c>
      <c r="AP149" s="15" t="s">
        <v>63</v>
      </c>
      <c r="AQ149" s="15" t="s">
        <v>57</v>
      </c>
      <c r="AR149" s="9" t="s">
        <v>312</v>
      </c>
      <c r="AS149" s="9" t="s">
        <v>303</v>
      </c>
      <c r="AT149" s="9" t="s">
        <v>304</v>
      </c>
      <c r="AU149" s="15" t="s">
        <v>1095</v>
      </c>
      <c r="AV149" s="15" t="n">
        <v>16875008</v>
      </c>
      <c r="AW149" s="15" t="n">
        <v>9.91001159919702E+017</v>
      </c>
      <c r="AX149" s="15" t="n">
        <v>9.91001159919702E+017</v>
      </c>
      <c r="AY149" s="15" t="n">
        <v>2256914470002650</v>
      </c>
      <c r="AZ149" s="15" t="s">
        <v>77</v>
      </c>
      <c r="BA149" s="14"/>
      <c r="BB149" s="17" t="n">
        <v>9780567094438</v>
      </c>
      <c r="BC149" s="17" t="n">
        <v>32285000629526</v>
      </c>
      <c r="BD149" s="15" t="n">
        <v>893791215</v>
      </c>
      <c r="BE149" s="6" t="s">
        <v>306</v>
      </c>
    </row>
    <row r="150" customFormat="false" ht="48" hidden="false" customHeight="false" outlineLevel="0" collapsed="false">
      <c r="A150" s="4" t="s">
        <v>57</v>
      </c>
      <c r="B150" s="5" t="s">
        <v>1096</v>
      </c>
      <c r="C150" s="5" t="s">
        <v>1097</v>
      </c>
      <c r="D150" s="5" t="s">
        <v>1098</v>
      </c>
      <c r="E150" s="14"/>
      <c r="F150" s="15" t="s">
        <v>63</v>
      </c>
      <c r="G150" s="15" t="n">
        <v>1</v>
      </c>
      <c r="H150" s="15" t="s">
        <v>63</v>
      </c>
      <c r="I150" s="15" t="s">
        <v>63</v>
      </c>
      <c r="J150" s="15" t="n">
        <v>0</v>
      </c>
      <c r="K150" s="5" t="s">
        <v>1099</v>
      </c>
      <c r="L150" s="5" t="s">
        <v>1100</v>
      </c>
      <c r="M150" s="15" t="n">
        <v>1990</v>
      </c>
      <c r="N150" s="14"/>
      <c r="O150" s="15" t="s">
        <v>67</v>
      </c>
      <c r="P150" s="15" t="s">
        <v>68</v>
      </c>
      <c r="Q150" s="5" t="s">
        <v>1101</v>
      </c>
      <c r="R150" s="15" t="s">
        <v>302</v>
      </c>
      <c r="S150" s="15" t="n">
        <v>2</v>
      </c>
      <c r="T150" s="15" t="n">
        <v>2</v>
      </c>
      <c r="U150" s="16" t="n">
        <v>37967</v>
      </c>
      <c r="V150" s="16" t="n">
        <v>37967</v>
      </c>
      <c r="W150" s="16" t="n">
        <v>33308</v>
      </c>
      <c r="X150" s="16" t="n">
        <v>33308</v>
      </c>
      <c r="Y150" s="15" t="n">
        <v>303</v>
      </c>
      <c r="Z150" s="15" t="n">
        <v>238</v>
      </c>
      <c r="AA150" s="15" t="n">
        <v>247</v>
      </c>
      <c r="AB150" s="15" t="n">
        <v>2</v>
      </c>
      <c r="AC150" s="15" t="n">
        <v>2</v>
      </c>
      <c r="AD150" s="15" t="n">
        <v>21</v>
      </c>
      <c r="AE150" s="15" t="n">
        <v>21</v>
      </c>
      <c r="AF150" s="15" t="n">
        <v>7</v>
      </c>
      <c r="AG150" s="15" t="n">
        <v>7</v>
      </c>
      <c r="AH150" s="15" t="n">
        <v>5</v>
      </c>
      <c r="AI150" s="15" t="n">
        <v>5</v>
      </c>
      <c r="AJ150" s="15" t="n">
        <v>14</v>
      </c>
      <c r="AK150" s="15" t="n">
        <v>14</v>
      </c>
      <c r="AL150" s="15" t="n">
        <v>0</v>
      </c>
      <c r="AM150" s="15" t="n">
        <v>0</v>
      </c>
      <c r="AN150" s="15" t="n">
        <v>0</v>
      </c>
      <c r="AO150" s="15" t="n">
        <v>0</v>
      </c>
      <c r="AP150" s="15" t="s">
        <v>63</v>
      </c>
      <c r="AQ150" s="15" t="s">
        <v>57</v>
      </c>
      <c r="AR150" s="9" t="s">
        <v>312</v>
      </c>
      <c r="AS150" s="9" t="s">
        <v>303</v>
      </c>
      <c r="AT150" s="9" t="s">
        <v>304</v>
      </c>
      <c r="AU150" s="15" t="s">
        <v>1102</v>
      </c>
      <c r="AV150" s="15" t="n">
        <v>20723444</v>
      </c>
      <c r="AW150" s="15" t="n">
        <v>9.91001610109702E+017</v>
      </c>
      <c r="AX150" s="15" t="n">
        <v>9.91001610109702E+017</v>
      </c>
      <c r="AY150" s="15" t="n">
        <v>2270918100002650</v>
      </c>
      <c r="AZ150" s="15" t="s">
        <v>77</v>
      </c>
      <c r="BA150" s="14"/>
      <c r="BB150" s="17" t="n">
        <v>9780809130610</v>
      </c>
      <c r="BC150" s="17" t="n">
        <v>32285000494095</v>
      </c>
      <c r="BD150" s="15" t="n">
        <v>893516316</v>
      </c>
      <c r="BE150" s="6" t="s">
        <v>306</v>
      </c>
    </row>
    <row r="151" customFormat="false" ht="36.5" hidden="false" customHeight="false" outlineLevel="0" collapsed="false">
      <c r="A151" s="4" t="s">
        <v>57</v>
      </c>
      <c r="B151" s="5" t="s">
        <v>1103</v>
      </c>
      <c r="C151" s="5" t="s">
        <v>1104</v>
      </c>
      <c r="D151" s="5" t="s">
        <v>1105</v>
      </c>
      <c r="E151" s="14"/>
      <c r="F151" s="15" t="s">
        <v>63</v>
      </c>
      <c r="G151" s="15" t="n">
        <v>1</v>
      </c>
      <c r="H151" s="15" t="s">
        <v>63</v>
      </c>
      <c r="I151" s="15" t="s">
        <v>63</v>
      </c>
      <c r="J151" s="15" t="n">
        <v>0</v>
      </c>
      <c r="K151" s="5" t="s">
        <v>1106</v>
      </c>
      <c r="L151" s="5" t="s">
        <v>1107</v>
      </c>
      <c r="M151" s="15" t="n">
        <v>1971</v>
      </c>
      <c r="N151" s="14"/>
      <c r="O151" s="15" t="s">
        <v>67</v>
      </c>
      <c r="P151" s="15" t="s">
        <v>1108</v>
      </c>
      <c r="Q151" s="14"/>
      <c r="R151" s="15" t="s">
        <v>302</v>
      </c>
      <c r="S151" s="15" t="n">
        <v>2</v>
      </c>
      <c r="T151" s="15" t="n">
        <v>2</v>
      </c>
      <c r="U151" s="16" t="n">
        <v>36457</v>
      </c>
      <c r="V151" s="16" t="n">
        <v>36457</v>
      </c>
      <c r="W151" s="16" t="n">
        <v>33395</v>
      </c>
      <c r="X151" s="16" t="n">
        <v>33395</v>
      </c>
      <c r="Y151" s="15" t="n">
        <v>138</v>
      </c>
      <c r="Z151" s="15" t="n">
        <v>127</v>
      </c>
      <c r="AA151" s="15" t="n">
        <v>188</v>
      </c>
      <c r="AB151" s="15" t="n">
        <v>2</v>
      </c>
      <c r="AC151" s="15" t="n">
        <v>3</v>
      </c>
      <c r="AD151" s="15" t="n">
        <v>7</v>
      </c>
      <c r="AE151" s="15" t="n">
        <v>10</v>
      </c>
      <c r="AF151" s="15" t="n">
        <v>2</v>
      </c>
      <c r="AG151" s="15" t="n">
        <v>3</v>
      </c>
      <c r="AH151" s="15" t="n">
        <v>1</v>
      </c>
      <c r="AI151" s="15" t="n">
        <v>1</v>
      </c>
      <c r="AJ151" s="15" t="n">
        <v>3</v>
      </c>
      <c r="AK151" s="15" t="n">
        <v>5</v>
      </c>
      <c r="AL151" s="15" t="n">
        <v>1</v>
      </c>
      <c r="AM151" s="15" t="n">
        <v>2</v>
      </c>
      <c r="AN151" s="15" t="n">
        <v>0</v>
      </c>
      <c r="AO151" s="15" t="n">
        <v>0</v>
      </c>
      <c r="AP151" s="15" t="s">
        <v>63</v>
      </c>
      <c r="AQ151" s="15" t="s">
        <v>63</v>
      </c>
      <c r="AR151" s="14"/>
      <c r="AS151" s="9" t="s">
        <v>303</v>
      </c>
      <c r="AT151" s="9" t="s">
        <v>304</v>
      </c>
      <c r="AU151" s="15" t="s">
        <v>1109</v>
      </c>
      <c r="AV151" s="15" t="n">
        <v>158290</v>
      </c>
      <c r="AW151" s="15" t="n">
        <v>9.91000907779702E+017</v>
      </c>
      <c r="AX151" s="15" t="n">
        <v>9.91000907779702E+017</v>
      </c>
      <c r="AY151" s="15" t="n">
        <v>2258505760002650</v>
      </c>
      <c r="AZ151" s="15" t="s">
        <v>77</v>
      </c>
      <c r="BA151" s="14"/>
      <c r="BB151" s="17" t="n">
        <v>9780800704476</v>
      </c>
      <c r="BC151" s="17" t="n">
        <v>32285000629542</v>
      </c>
      <c r="BD151" s="15" t="n">
        <v>893626500</v>
      </c>
      <c r="BE151" s="6" t="s">
        <v>306</v>
      </c>
    </row>
    <row r="152" customFormat="false" ht="36.5" hidden="false" customHeight="false" outlineLevel="0" collapsed="false">
      <c r="A152" s="4" t="s">
        <v>57</v>
      </c>
      <c r="B152" s="5" t="s">
        <v>1110</v>
      </c>
      <c r="C152" s="5" t="s">
        <v>1111</v>
      </c>
      <c r="D152" s="5" t="s">
        <v>1112</v>
      </c>
      <c r="E152" s="14"/>
      <c r="F152" s="15" t="s">
        <v>63</v>
      </c>
      <c r="G152" s="15" t="n">
        <v>1</v>
      </c>
      <c r="H152" s="15" t="s">
        <v>63</v>
      </c>
      <c r="I152" s="15" t="s">
        <v>63</v>
      </c>
      <c r="J152" s="15" t="n">
        <v>0</v>
      </c>
      <c r="K152" s="5" t="s">
        <v>1113</v>
      </c>
      <c r="L152" s="5" t="s">
        <v>1114</v>
      </c>
      <c r="M152" s="15" t="n">
        <v>1984</v>
      </c>
      <c r="N152" s="14"/>
      <c r="O152" s="15" t="s">
        <v>67</v>
      </c>
      <c r="P152" s="15" t="s">
        <v>318</v>
      </c>
      <c r="Q152" s="5" t="s">
        <v>1115</v>
      </c>
      <c r="R152" s="15" t="s">
        <v>302</v>
      </c>
      <c r="S152" s="15" t="n">
        <v>4</v>
      </c>
      <c r="T152" s="15" t="n">
        <v>4</v>
      </c>
      <c r="U152" s="16" t="n">
        <v>38301</v>
      </c>
      <c r="V152" s="16" t="n">
        <v>38301</v>
      </c>
      <c r="W152" s="16" t="n">
        <v>33395</v>
      </c>
      <c r="X152" s="16" t="n">
        <v>33395</v>
      </c>
      <c r="Y152" s="15" t="n">
        <v>422</v>
      </c>
      <c r="Z152" s="15" t="n">
        <v>317</v>
      </c>
      <c r="AA152" s="15" t="n">
        <v>323</v>
      </c>
      <c r="AB152" s="15" t="n">
        <v>5</v>
      </c>
      <c r="AC152" s="15" t="n">
        <v>5</v>
      </c>
      <c r="AD152" s="15" t="n">
        <v>21</v>
      </c>
      <c r="AE152" s="15" t="n">
        <v>21</v>
      </c>
      <c r="AF152" s="15" t="n">
        <v>9</v>
      </c>
      <c r="AG152" s="15" t="n">
        <v>9</v>
      </c>
      <c r="AH152" s="15" t="n">
        <v>4</v>
      </c>
      <c r="AI152" s="15" t="n">
        <v>4</v>
      </c>
      <c r="AJ152" s="15" t="n">
        <v>10</v>
      </c>
      <c r="AK152" s="15" t="n">
        <v>10</v>
      </c>
      <c r="AL152" s="15" t="n">
        <v>2</v>
      </c>
      <c r="AM152" s="15" t="n">
        <v>2</v>
      </c>
      <c r="AN152" s="15" t="n">
        <v>0</v>
      </c>
      <c r="AO152" s="15" t="n">
        <v>0</v>
      </c>
      <c r="AP152" s="15" t="s">
        <v>63</v>
      </c>
      <c r="AQ152" s="15" t="s">
        <v>63</v>
      </c>
      <c r="AR152" s="14"/>
      <c r="AS152" s="9" t="s">
        <v>303</v>
      </c>
      <c r="AT152" s="9" t="s">
        <v>304</v>
      </c>
      <c r="AU152" s="15" t="s">
        <v>1116</v>
      </c>
      <c r="AV152" s="15" t="n">
        <v>9826083</v>
      </c>
      <c r="AW152" s="15" t="n">
        <v>9.91000261679702E+017</v>
      </c>
      <c r="AX152" s="15" t="n">
        <v>9.91000261679702E+017</v>
      </c>
      <c r="AY152" s="15" t="n">
        <v>2270449630002650</v>
      </c>
      <c r="AZ152" s="15" t="s">
        <v>77</v>
      </c>
      <c r="BA152" s="14"/>
      <c r="BB152" s="17" t="n">
        <v>9780802819819</v>
      </c>
      <c r="BC152" s="17" t="n">
        <v>32285000629567</v>
      </c>
      <c r="BD152" s="15" t="n">
        <v>893802638</v>
      </c>
      <c r="BE152" s="6" t="s">
        <v>306</v>
      </c>
    </row>
    <row r="153" customFormat="false" ht="36.5" hidden="false" customHeight="false" outlineLevel="0" collapsed="false">
      <c r="A153" s="4" t="s">
        <v>57</v>
      </c>
      <c r="B153" s="5" t="s">
        <v>1117</v>
      </c>
      <c r="C153" s="5" t="s">
        <v>1118</v>
      </c>
      <c r="D153" s="5" t="s">
        <v>1119</v>
      </c>
      <c r="E153" s="14"/>
      <c r="F153" s="15" t="s">
        <v>63</v>
      </c>
      <c r="G153" s="15" t="n">
        <v>1</v>
      </c>
      <c r="H153" s="15" t="s">
        <v>63</v>
      </c>
      <c r="I153" s="15" t="s">
        <v>63</v>
      </c>
      <c r="J153" s="15" t="n">
        <v>0</v>
      </c>
      <c r="K153" s="5" t="s">
        <v>1120</v>
      </c>
      <c r="L153" s="5" t="s">
        <v>1121</v>
      </c>
      <c r="M153" s="15" t="n">
        <v>1979</v>
      </c>
      <c r="N153" s="14"/>
      <c r="O153" s="15" t="s">
        <v>67</v>
      </c>
      <c r="P153" s="15" t="s">
        <v>533</v>
      </c>
      <c r="Q153" s="5" t="s">
        <v>1122</v>
      </c>
      <c r="R153" s="15" t="s">
        <v>302</v>
      </c>
      <c r="S153" s="15" t="n">
        <v>4</v>
      </c>
      <c r="T153" s="15" t="n">
        <v>4</v>
      </c>
      <c r="U153" s="16" t="n">
        <v>38302</v>
      </c>
      <c r="V153" s="16" t="n">
        <v>38302</v>
      </c>
      <c r="W153" s="16" t="n">
        <v>33395</v>
      </c>
      <c r="X153" s="16" t="n">
        <v>33395</v>
      </c>
      <c r="Y153" s="15" t="n">
        <v>322</v>
      </c>
      <c r="Z153" s="15" t="n">
        <v>275</v>
      </c>
      <c r="AA153" s="15" t="n">
        <v>321</v>
      </c>
      <c r="AB153" s="15" t="n">
        <v>2</v>
      </c>
      <c r="AC153" s="15" t="n">
        <v>2</v>
      </c>
      <c r="AD153" s="15" t="n">
        <v>27</v>
      </c>
      <c r="AE153" s="15" t="n">
        <v>29</v>
      </c>
      <c r="AF153" s="15" t="n">
        <v>9</v>
      </c>
      <c r="AG153" s="15" t="n">
        <v>11</v>
      </c>
      <c r="AH153" s="15" t="n">
        <v>6</v>
      </c>
      <c r="AI153" s="15" t="n">
        <v>6</v>
      </c>
      <c r="AJ153" s="15" t="n">
        <v>22</v>
      </c>
      <c r="AK153" s="15" t="n">
        <v>22</v>
      </c>
      <c r="AL153" s="15" t="n">
        <v>0</v>
      </c>
      <c r="AM153" s="15" t="n">
        <v>0</v>
      </c>
      <c r="AN153" s="15" t="n">
        <v>0</v>
      </c>
      <c r="AO153" s="15" t="n">
        <v>0</v>
      </c>
      <c r="AP153" s="15" t="s">
        <v>63</v>
      </c>
      <c r="AQ153" s="15" t="s">
        <v>63</v>
      </c>
      <c r="AR153" s="14"/>
      <c r="AS153" s="9" t="s">
        <v>303</v>
      </c>
      <c r="AT153" s="9" t="s">
        <v>304</v>
      </c>
      <c r="AU153" s="15" t="s">
        <v>1123</v>
      </c>
      <c r="AV153" s="15" t="n">
        <v>6021490</v>
      </c>
      <c r="AW153" s="15" t="n">
        <v>9.91004917209702E+017</v>
      </c>
      <c r="AX153" s="15" t="n">
        <v>9.91004917209702E+017</v>
      </c>
      <c r="AY153" s="15" t="n">
        <v>2255056730002650</v>
      </c>
      <c r="AZ153" s="15" t="s">
        <v>77</v>
      </c>
      <c r="BA153" s="14"/>
      <c r="BB153" s="17" t="n">
        <v>9780894531446</v>
      </c>
      <c r="BC153" s="17" t="n">
        <v>32285000629609</v>
      </c>
      <c r="BD153" s="15" t="n">
        <v>893876700</v>
      </c>
      <c r="BE153" s="6" t="s">
        <v>306</v>
      </c>
    </row>
    <row r="154" customFormat="false" ht="36.5" hidden="false" customHeight="false" outlineLevel="0" collapsed="false">
      <c r="A154" s="4" t="s">
        <v>57</v>
      </c>
      <c r="B154" s="5" t="s">
        <v>1124</v>
      </c>
      <c r="C154" s="5" t="s">
        <v>1125</v>
      </c>
      <c r="D154" s="5" t="s">
        <v>1126</v>
      </c>
      <c r="E154" s="14"/>
      <c r="F154" s="15" t="s">
        <v>63</v>
      </c>
      <c r="G154" s="15" t="n">
        <v>1</v>
      </c>
      <c r="H154" s="15" t="s">
        <v>63</v>
      </c>
      <c r="I154" s="15" t="s">
        <v>63</v>
      </c>
      <c r="J154" s="15" t="n">
        <v>0</v>
      </c>
      <c r="K154" s="5" t="s">
        <v>1127</v>
      </c>
      <c r="L154" s="5" t="s">
        <v>858</v>
      </c>
      <c r="M154" s="15" t="n">
        <v>1991</v>
      </c>
      <c r="N154" s="14"/>
      <c r="O154" s="15" t="s">
        <v>67</v>
      </c>
      <c r="P154" s="15" t="s">
        <v>300</v>
      </c>
      <c r="Q154" s="14"/>
      <c r="R154" s="15" t="s">
        <v>302</v>
      </c>
      <c r="S154" s="15" t="n">
        <v>8</v>
      </c>
      <c r="T154" s="15" t="n">
        <v>8</v>
      </c>
      <c r="U154" s="16" t="n">
        <v>36786</v>
      </c>
      <c r="V154" s="16" t="n">
        <v>36786</v>
      </c>
      <c r="W154" s="16" t="n">
        <v>33624</v>
      </c>
      <c r="X154" s="16" t="n">
        <v>33624</v>
      </c>
      <c r="Y154" s="15" t="n">
        <v>438</v>
      </c>
      <c r="Z154" s="15" t="n">
        <v>349</v>
      </c>
      <c r="AA154" s="15" t="n">
        <v>354</v>
      </c>
      <c r="AB154" s="15" t="n">
        <v>3</v>
      </c>
      <c r="AC154" s="15" t="n">
        <v>3</v>
      </c>
      <c r="AD154" s="15" t="n">
        <v>25</v>
      </c>
      <c r="AE154" s="15" t="n">
        <v>25</v>
      </c>
      <c r="AF154" s="15" t="n">
        <v>10</v>
      </c>
      <c r="AG154" s="15" t="n">
        <v>10</v>
      </c>
      <c r="AH154" s="15" t="n">
        <v>5</v>
      </c>
      <c r="AI154" s="15" t="n">
        <v>5</v>
      </c>
      <c r="AJ154" s="15" t="n">
        <v>12</v>
      </c>
      <c r="AK154" s="15" t="n">
        <v>12</v>
      </c>
      <c r="AL154" s="15" t="n">
        <v>2</v>
      </c>
      <c r="AM154" s="15" t="n">
        <v>2</v>
      </c>
      <c r="AN154" s="15" t="n">
        <v>0</v>
      </c>
      <c r="AO154" s="15" t="n">
        <v>0</v>
      </c>
      <c r="AP154" s="15" t="s">
        <v>63</v>
      </c>
      <c r="AQ154" s="15" t="s">
        <v>63</v>
      </c>
      <c r="AR154" s="14"/>
      <c r="AS154" s="9" t="s">
        <v>303</v>
      </c>
      <c r="AT154" s="9" t="s">
        <v>304</v>
      </c>
      <c r="AU154" s="15" t="s">
        <v>1128</v>
      </c>
      <c r="AV154" s="15" t="n">
        <v>22509780</v>
      </c>
      <c r="AW154" s="15" t="n">
        <v>9.91001787639702E+017</v>
      </c>
      <c r="AX154" s="15" t="n">
        <v>9.91001787639702E+017</v>
      </c>
      <c r="AY154" s="15" t="n">
        <v>2270708980002650</v>
      </c>
      <c r="AZ154" s="15" t="s">
        <v>77</v>
      </c>
      <c r="BA154" s="14"/>
      <c r="BB154" s="17" t="n">
        <v>9780800624781</v>
      </c>
      <c r="BC154" s="17" t="n">
        <v>32285000865419</v>
      </c>
      <c r="BD154" s="15" t="n">
        <v>893346779</v>
      </c>
      <c r="BE154" s="6" t="s">
        <v>306</v>
      </c>
    </row>
    <row r="155" customFormat="false" ht="48" hidden="false" customHeight="false" outlineLevel="0" collapsed="false">
      <c r="A155" s="4" t="s">
        <v>57</v>
      </c>
      <c r="B155" s="5" t="s">
        <v>1129</v>
      </c>
      <c r="C155" s="5" t="s">
        <v>1130</v>
      </c>
      <c r="D155" s="5" t="s">
        <v>1131</v>
      </c>
      <c r="E155" s="14"/>
      <c r="F155" s="15" t="s">
        <v>63</v>
      </c>
      <c r="G155" s="15" t="n">
        <v>1</v>
      </c>
      <c r="H155" s="15" t="s">
        <v>63</v>
      </c>
      <c r="I155" s="15" t="s">
        <v>63</v>
      </c>
      <c r="J155" s="15" t="n">
        <v>0</v>
      </c>
      <c r="K155" s="5" t="s">
        <v>754</v>
      </c>
      <c r="L155" s="5" t="s">
        <v>1132</v>
      </c>
      <c r="M155" s="15" t="n">
        <v>2003</v>
      </c>
      <c r="N155" s="14"/>
      <c r="O155" s="15" t="s">
        <v>67</v>
      </c>
      <c r="P155" s="15" t="s">
        <v>401</v>
      </c>
      <c r="Q155" s="14"/>
      <c r="R155" s="15" t="s">
        <v>302</v>
      </c>
      <c r="S155" s="15" t="n">
        <v>3</v>
      </c>
      <c r="T155" s="15" t="n">
        <v>3</v>
      </c>
      <c r="U155" s="16" t="n">
        <v>39034</v>
      </c>
      <c r="V155" s="16" t="n">
        <v>39034</v>
      </c>
      <c r="W155" s="16" t="n">
        <v>38358</v>
      </c>
      <c r="X155" s="16" t="n">
        <v>38358</v>
      </c>
      <c r="Y155" s="15" t="n">
        <v>249</v>
      </c>
      <c r="Z155" s="15" t="n">
        <v>184</v>
      </c>
      <c r="AA155" s="15" t="n">
        <v>189</v>
      </c>
      <c r="AB155" s="15" t="n">
        <v>2</v>
      </c>
      <c r="AC155" s="15" t="n">
        <v>2</v>
      </c>
      <c r="AD155" s="15" t="n">
        <v>15</v>
      </c>
      <c r="AE155" s="15" t="n">
        <v>15</v>
      </c>
      <c r="AF155" s="15" t="n">
        <v>5</v>
      </c>
      <c r="AG155" s="15" t="n">
        <v>5</v>
      </c>
      <c r="AH155" s="15" t="n">
        <v>4</v>
      </c>
      <c r="AI155" s="15" t="n">
        <v>4</v>
      </c>
      <c r="AJ155" s="15" t="n">
        <v>9</v>
      </c>
      <c r="AK155" s="15" t="n">
        <v>9</v>
      </c>
      <c r="AL155" s="15" t="n">
        <v>1</v>
      </c>
      <c r="AM155" s="15" t="n">
        <v>1</v>
      </c>
      <c r="AN155" s="15" t="n">
        <v>0</v>
      </c>
      <c r="AO155" s="15" t="n">
        <v>0</v>
      </c>
      <c r="AP155" s="15" t="s">
        <v>63</v>
      </c>
      <c r="AQ155" s="15" t="s">
        <v>63</v>
      </c>
      <c r="AR155" s="14"/>
      <c r="AS155" s="9" t="s">
        <v>303</v>
      </c>
      <c r="AT155" s="9" t="s">
        <v>304</v>
      </c>
      <c r="AU155" s="15" t="s">
        <v>1133</v>
      </c>
      <c r="AV155" s="15" t="n">
        <v>52091973</v>
      </c>
      <c r="AW155" s="15" t="n">
        <v>9.91004428349702E+017</v>
      </c>
      <c r="AX155" s="15" t="n">
        <v>9.91004428349702E+017</v>
      </c>
      <c r="AY155" s="15" t="n">
        <v>2272690980002650</v>
      </c>
      <c r="AZ155" s="15" t="s">
        <v>77</v>
      </c>
      <c r="BA155" s="14"/>
      <c r="BB155" s="17" t="n">
        <v>9781563384103</v>
      </c>
      <c r="BC155" s="17" t="n">
        <v>32285005019137</v>
      </c>
      <c r="BD155" s="15" t="n">
        <v>893687719</v>
      </c>
      <c r="BE155" s="6" t="s">
        <v>306</v>
      </c>
    </row>
    <row r="156" customFormat="false" ht="48" hidden="false" customHeight="false" outlineLevel="0" collapsed="false">
      <c r="A156" s="4" t="s">
        <v>57</v>
      </c>
      <c r="B156" s="5" t="s">
        <v>1134</v>
      </c>
      <c r="C156" s="5" t="s">
        <v>1135</v>
      </c>
      <c r="D156" s="5" t="s">
        <v>1136</v>
      </c>
      <c r="E156" s="14"/>
      <c r="F156" s="15" t="s">
        <v>63</v>
      </c>
      <c r="G156" s="15" t="n">
        <v>1</v>
      </c>
      <c r="H156" s="15" t="s">
        <v>63</v>
      </c>
      <c r="I156" s="15" t="s">
        <v>63</v>
      </c>
      <c r="J156" s="15" t="n">
        <v>0</v>
      </c>
      <c r="K156" s="5" t="s">
        <v>1137</v>
      </c>
      <c r="L156" s="5" t="s">
        <v>1138</v>
      </c>
      <c r="M156" s="15" t="n">
        <v>1993</v>
      </c>
      <c r="N156" s="5" t="s">
        <v>327</v>
      </c>
      <c r="O156" s="15" t="s">
        <v>67</v>
      </c>
      <c r="P156" s="15" t="s">
        <v>979</v>
      </c>
      <c r="Q156" s="14"/>
      <c r="R156" s="15" t="s">
        <v>302</v>
      </c>
      <c r="S156" s="15" t="n">
        <v>6</v>
      </c>
      <c r="T156" s="15" t="n">
        <v>6</v>
      </c>
      <c r="U156" s="16" t="n">
        <v>38673</v>
      </c>
      <c r="V156" s="16" t="n">
        <v>38673</v>
      </c>
      <c r="W156" s="16" t="n">
        <v>34240</v>
      </c>
      <c r="X156" s="16" t="n">
        <v>34240</v>
      </c>
      <c r="Y156" s="15" t="n">
        <v>489</v>
      </c>
      <c r="Z156" s="15" t="n">
        <v>394</v>
      </c>
      <c r="AA156" s="15" t="n">
        <v>395</v>
      </c>
      <c r="AB156" s="15" t="n">
        <v>4</v>
      </c>
      <c r="AC156" s="15" t="n">
        <v>4</v>
      </c>
      <c r="AD156" s="15" t="n">
        <v>33</v>
      </c>
      <c r="AE156" s="15" t="n">
        <v>33</v>
      </c>
      <c r="AF156" s="15" t="n">
        <v>13</v>
      </c>
      <c r="AG156" s="15" t="n">
        <v>13</v>
      </c>
      <c r="AH156" s="15" t="n">
        <v>4</v>
      </c>
      <c r="AI156" s="15" t="n">
        <v>4</v>
      </c>
      <c r="AJ156" s="15" t="n">
        <v>20</v>
      </c>
      <c r="AK156" s="15" t="n">
        <v>20</v>
      </c>
      <c r="AL156" s="15" t="n">
        <v>3</v>
      </c>
      <c r="AM156" s="15" t="n">
        <v>3</v>
      </c>
      <c r="AN156" s="15" t="n">
        <v>0</v>
      </c>
      <c r="AO156" s="15" t="n">
        <v>0</v>
      </c>
      <c r="AP156" s="15" t="s">
        <v>63</v>
      </c>
      <c r="AQ156" s="15" t="s">
        <v>63</v>
      </c>
      <c r="AR156" s="14"/>
      <c r="AS156" s="9" t="s">
        <v>303</v>
      </c>
      <c r="AT156" s="9" t="s">
        <v>304</v>
      </c>
      <c r="AU156" s="15" t="s">
        <v>1139</v>
      </c>
      <c r="AV156" s="15" t="n">
        <v>26587777</v>
      </c>
      <c r="AW156" s="15" t="n">
        <v>9.91002074439702E+017</v>
      </c>
      <c r="AX156" s="15" t="n">
        <v>9.91002074439702E+017</v>
      </c>
      <c r="AY156" s="15" t="n">
        <v>2262972040002650</v>
      </c>
      <c r="AZ156" s="15" t="s">
        <v>77</v>
      </c>
      <c r="BA156" s="14"/>
      <c r="BB156" s="17" t="n">
        <v>9780664254070</v>
      </c>
      <c r="BC156" s="17" t="n">
        <v>32285001768174</v>
      </c>
      <c r="BD156" s="15" t="n">
        <v>893798144</v>
      </c>
      <c r="BE156" s="6" t="s">
        <v>306</v>
      </c>
    </row>
    <row r="157" customFormat="false" ht="36.5" hidden="false" customHeight="false" outlineLevel="0" collapsed="false">
      <c r="A157" s="4" t="s">
        <v>57</v>
      </c>
      <c r="B157" s="5" t="s">
        <v>1140</v>
      </c>
      <c r="C157" s="5" t="s">
        <v>1141</v>
      </c>
      <c r="D157" s="5" t="s">
        <v>1142</v>
      </c>
      <c r="E157" s="14"/>
      <c r="F157" s="15" t="s">
        <v>63</v>
      </c>
      <c r="G157" s="15" t="n">
        <v>1</v>
      </c>
      <c r="H157" s="15" t="s">
        <v>63</v>
      </c>
      <c r="I157" s="15" t="s">
        <v>63</v>
      </c>
      <c r="J157" s="15" t="n">
        <v>0</v>
      </c>
      <c r="K157" s="5" t="s">
        <v>1143</v>
      </c>
      <c r="L157" s="5" t="s">
        <v>1144</v>
      </c>
      <c r="M157" s="15" t="n">
        <v>1999</v>
      </c>
      <c r="N157" s="14"/>
      <c r="O157" s="15" t="s">
        <v>67</v>
      </c>
      <c r="P157" s="15" t="s">
        <v>222</v>
      </c>
      <c r="Q157" s="14"/>
      <c r="R157" s="15" t="s">
        <v>302</v>
      </c>
      <c r="S157" s="15" t="n">
        <v>2</v>
      </c>
      <c r="T157" s="15" t="n">
        <v>2</v>
      </c>
      <c r="U157" s="16" t="n">
        <v>37579</v>
      </c>
      <c r="V157" s="16" t="n">
        <v>37579</v>
      </c>
      <c r="W157" s="16" t="n">
        <v>37104</v>
      </c>
      <c r="X157" s="16" t="n">
        <v>37104</v>
      </c>
      <c r="Y157" s="15" t="n">
        <v>302</v>
      </c>
      <c r="Z157" s="15" t="n">
        <v>248</v>
      </c>
      <c r="AA157" s="15" t="n">
        <v>257</v>
      </c>
      <c r="AB157" s="15" t="n">
        <v>2</v>
      </c>
      <c r="AC157" s="15" t="n">
        <v>2</v>
      </c>
      <c r="AD157" s="15" t="n">
        <v>14</v>
      </c>
      <c r="AE157" s="15" t="n">
        <v>16</v>
      </c>
      <c r="AF157" s="15" t="n">
        <v>6</v>
      </c>
      <c r="AG157" s="15" t="n">
        <v>7</v>
      </c>
      <c r="AH157" s="15" t="n">
        <v>2</v>
      </c>
      <c r="AI157" s="15" t="n">
        <v>3</v>
      </c>
      <c r="AJ157" s="15" t="n">
        <v>6</v>
      </c>
      <c r="AK157" s="15" t="n">
        <v>6</v>
      </c>
      <c r="AL157" s="15" t="n">
        <v>1</v>
      </c>
      <c r="AM157" s="15" t="n">
        <v>1</v>
      </c>
      <c r="AN157" s="15" t="n">
        <v>0</v>
      </c>
      <c r="AO157" s="15" t="n">
        <v>0</v>
      </c>
      <c r="AP157" s="15" t="s">
        <v>63</v>
      </c>
      <c r="AQ157" s="15" t="s">
        <v>63</v>
      </c>
      <c r="AR157" s="14"/>
      <c r="AS157" s="9" t="s">
        <v>303</v>
      </c>
      <c r="AT157" s="9" t="s">
        <v>304</v>
      </c>
      <c r="AU157" s="15" t="s">
        <v>1145</v>
      </c>
      <c r="AV157" s="15" t="n">
        <v>40516790</v>
      </c>
      <c r="AW157" s="15" t="n">
        <v>9.91003572709702E+017</v>
      </c>
      <c r="AX157" s="15" t="n">
        <v>9.91003572709702E+017</v>
      </c>
      <c r="AY157" s="15" t="n">
        <v>2255904560002650</v>
      </c>
      <c r="AZ157" s="15" t="s">
        <v>77</v>
      </c>
      <c r="BA157" s="14"/>
      <c r="BB157" s="17" t="n">
        <v>9781565633636</v>
      </c>
      <c r="BC157" s="17" t="n">
        <v>32285004375498</v>
      </c>
      <c r="BD157" s="15" t="n">
        <v>893904424</v>
      </c>
      <c r="BE157" s="6" t="s">
        <v>306</v>
      </c>
    </row>
    <row r="158" customFormat="false" ht="48" hidden="false" customHeight="false" outlineLevel="0" collapsed="false">
      <c r="A158" s="4" t="s">
        <v>57</v>
      </c>
      <c r="B158" s="5" t="s">
        <v>1146</v>
      </c>
      <c r="C158" s="5" t="s">
        <v>1147</v>
      </c>
      <c r="D158" s="5" t="s">
        <v>1148</v>
      </c>
      <c r="E158" s="14"/>
      <c r="F158" s="15" t="s">
        <v>63</v>
      </c>
      <c r="G158" s="15" t="n">
        <v>1</v>
      </c>
      <c r="H158" s="15" t="s">
        <v>63</v>
      </c>
      <c r="I158" s="15" t="s">
        <v>63</v>
      </c>
      <c r="J158" s="15" t="n">
        <v>0</v>
      </c>
      <c r="K158" s="5" t="s">
        <v>1149</v>
      </c>
      <c r="L158" s="5" t="s">
        <v>1053</v>
      </c>
      <c r="M158" s="15" t="n">
        <v>1981</v>
      </c>
      <c r="N158" s="14"/>
      <c r="O158" s="15" t="s">
        <v>67</v>
      </c>
      <c r="P158" s="15" t="s">
        <v>401</v>
      </c>
      <c r="Q158" s="14"/>
      <c r="R158" s="15" t="s">
        <v>302</v>
      </c>
      <c r="S158" s="15" t="n">
        <v>2</v>
      </c>
      <c r="T158" s="15" t="n">
        <v>2</v>
      </c>
      <c r="U158" s="16" t="n">
        <v>34095</v>
      </c>
      <c r="V158" s="16" t="n">
        <v>34095</v>
      </c>
      <c r="W158" s="16" t="n">
        <v>33329</v>
      </c>
      <c r="X158" s="16" t="n">
        <v>33329</v>
      </c>
      <c r="Y158" s="15" t="n">
        <v>275</v>
      </c>
      <c r="Z158" s="15" t="n">
        <v>236</v>
      </c>
      <c r="AA158" s="15" t="n">
        <v>356</v>
      </c>
      <c r="AB158" s="15" t="n">
        <v>1</v>
      </c>
      <c r="AC158" s="15" t="n">
        <v>4</v>
      </c>
      <c r="AD158" s="15" t="n">
        <v>17</v>
      </c>
      <c r="AE158" s="15" t="n">
        <v>27</v>
      </c>
      <c r="AF158" s="15" t="n">
        <v>8</v>
      </c>
      <c r="AG158" s="15" t="n">
        <v>11</v>
      </c>
      <c r="AH158" s="15" t="n">
        <v>3</v>
      </c>
      <c r="AI158" s="15" t="n">
        <v>6</v>
      </c>
      <c r="AJ158" s="15" t="n">
        <v>10</v>
      </c>
      <c r="AK158" s="15" t="n">
        <v>13</v>
      </c>
      <c r="AL158" s="15" t="n">
        <v>0</v>
      </c>
      <c r="AM158" s="15" t="n">
        <v>3</v>
      </c>
      <c r="AN158" s="15" t="n">
        <v>0</v>
      </c>
      <c r="AO158" s="15" t="n">
        <v>0</v>
      </c>
      <c r="AP158" s="15" t="s">
        <v>63</v>
      </c>
      <c r="AQ158" s="15" t="s">
        <v>63</v>
      </c>
      <c r="AR158" s="14"/>
      <c r="AS158" s="9" t="s">
        <v>303</v>
      </c>
      <c r="AT158" s="9" t="s">
        <v>304</v>
      </c>
      <c r="AU158" s="15" t="s">
        <v>1150</v>
      </c>
      <c r="AV158" s="15" t="n">
        <v>8195499</v>
      </c>
      <c r="AW158" s="15" t="n">
        <v>9.91005217219702E+017</v>
      </c>
      <c r="AX158" s="15" t="n">
        <v>9.91005217219702E+017</v>
      </c>
      <c r="AY158" s="15" t="n">
        <v>2268239680002650</v>
      </c>
      <c r="AZ158" s="15" t="s">
        <v>77</v>
      </c>
      <c r="BA158" s="14"/>
      <c r="BB158" s="17" t="n">
        <v>9780800616304</v>
      </c>
      <c r="BC158" s="17" t="n">
        <v>32285000552066</v>
      </c>
      <c r="BD158" s="15" t="n">
        <v>893527119</v>
      </c>
      <c r="BE158" s="6" t="s">
        <v>306</v>
      </c>
    </row>
    <row r="159" customFormat="false" ht="36.5" hidden="false" customHeight="false" outlineLevel="0" collapsed="false">
      <c r="A159" s="4" t="s">
        <v>57</v>
      </c>
      <c r="B159" s="5" t="s">
        <v>1151</v>
      </c>
      <c r="C159" s="5" t="s">
        <v>1152</v>
      </c>
      <c r="D159" s="5" t="s">
        <v>1153</v>
      </c>
      <c r="E159" s="14"/>
      <c r="F159" s="15" t="s">
        <v>63</v>
      </c>
      <c r="G159" s="15" t="n">
        <v>1</v>
      </c>
      <c r="H159" s="15" t="s">
        <v>63</v>
      </c>
      <c r="I159" s="15" t="s">
        <v>63</v>
      </c>
      <c r="J159" s="15" t="n">
        <v>0</v>
      </c>
      <c r="K159" s="5" t="s">
        <v>1154</v>
      </c>
      <c r="L159" s="5" t="s">
        <v>1155</v>
      </c>
      <c r="M159" s="15" t="n">
        <v>1992</v>
      </c>
      <c r="N159" s="14"/>
      <c r="O159" s="15" t="s">
        <v>67</v>
      </c>
      <c r="P159" s="15" t="s">
        <v>68</v>
      </c>
      <c r="Q159" s="14"/>
      <c r="R159" s="15" t="s">
        <v>302</v>
      </c>
      <c r="S159" s="15" t="n">
        <v>2</v>
      </c>
      <c r="T159" s="15" t="n">
        <v>2</v>
      </c>
      <c r="U159" s="16" t="n">
        <v>40521</v>
      </c>
      <c r="V159" s="16" t="n">
        <v>40521</v>
      </c>
      <c r="W159" s="16" t="n">
        <v>40521</v>
      </c>
      <c r="X159" s="16" t="n">
        <v>40521</v>
      </c>
      <c r="Y159" s="18" t="n">
        <v>1146</v>
      </c>
      <c r="Z159" s="18" t="n">
        <v>1024</v>
      </c>
      <c r="AA159" s="18" t="n">
        <v>1048</v>
      </c>
      <c r="AB159" s="15" t="n">
        <v>11</v>
      </c>
      <c r="AC159" s="15" t="n">
        <v>11</v>
      </c>
      <c r="AD159" s="15" t="n">
        <v>47</v>
      </c>
      <c r="AE159" s="15" t="n">
        <v>47</v>
      </c>
      <c r="AF159" s="15" t="n">
        <v>20</v>
      </c>
      <c r="AG159" s="15" t="n">
        <v>20</v>
      </c>
      <c r="AH159" s="15" t="n">
        <v>9</v>
      </c>
      <c r="AI159" s="15" t="n">
        <v>9</v>
      </c>
      <c r="AJ159" s="15" t="n">
        <v>24</v>
      </c>
      <c r="AK159" s="15" t="n">
        <v>24</v>
      </c>
      <c r="AL159" s="15" t="n">
        <v>6</v>
      </c>
      <c r="AM159" s="15" t="n">
        <v>6</v>
      </c>
      <c r="AN159" s="15" t="n">
        <v>0</v>
      </c>
      <c r="AO159" s="15" t="n">
        <v>0</v>
      </c>
      <c r="AP159" s="15" t="s">
        <v>63</v>
      </c>
      <c r="AQ159" s="15" t="s">
        <v>57</v>
      </c>
      <c r="AR159" s="9" t="s">
        <v>312</v>
      </c>
      <c r="AS159" s="9" t="s">
        <v>303</v>
      </c>
      <c r="AT159" s="9" t="s">
        <v>304</v>
      </c>
      <c r="AU159" s="15" t="s">
        <v>1156</v>
      </c>
      <c r="AV159" s="15" t="n">
        <v>24319849</v>
      </c>
      <c r="AW159" s="15" t="n">
        <v>9.91000394889702E+017</v>
      </c>
      <c r="AX159" s="15" t="n">
        <v>9.91000394889702E+017</v>
      </c>
      <c r="AY159" s="15" t="n">
        <v>2272054250002650</v>
      </c>
      <c r="AZ159" s="15" t="s">
        <v>77</v>
      </c>
      <c r="BA159" s="14"/>
      <c r="BB159" s="17" t="n">
        <v>9780465092550</v>
      </c>
      <c r="BC159" s="17" t="n">
        <v>32285005609986</v>
      </c>
      <c r="BD159" s="15" t="n">
        <v>893243209</v>
      </c>
      <c r="BE159" s="6" t="s">
        <v>306</v>
      </c>
    </row>
    <row r="160" customFormat="false" ht="36.5" hidden="false" customHeight="false" outlineLevel="0" collapsed="false">
      <c r="A160" s="4" t="s">
        <v>57</v>
      </c>
      <c r="B160" s="5" t="s">
        <v>1157</v>
      </c>
      <c r="C160" s="5" t="s">
        <v>1158</v>
      </c>
      <c r="D160" s="5" t="s">
        <v>1159</v>
      </c>
      <c r="E160" s="14"/>
      <c r="F160" s="15" t="s">
        <v>63</v>
      </c>
      <c r="G160" s="15" t="n">
        <v>1</v>
      </c>
      <c r="H160" s="15" t="s">
        <v>63</v>
      </c>
      <c r="I160" s="15" t="s">
        <v>63</v>
      </c>
      <c r="J160" s="15" t="n">
        <v>0</v>
      </c>
      <c r="K160" s="5" t="s">
        <v>1160</v>
      </c>
      <c r="L160" s="5" t="s">
        <v>1161</v>
      </c>
      <c r="M160" s="15" t="n">
        <v>1983</v>
      </c>
      <c r="N160" s="14"/>
      <c r="O160" s="15" t="s">
        <v>67</v>
      </c>
      <c r="P160" s="15" t="s">
        <v>318</v>
      </c>
      <c r="Q160" s="14"/>
      <c r="R160" s="15" t="s">
        <v>302</v>
      </c>
      <c r="S160" s="15" t="n">
        <v>7</v>
      </c>
      <c r="T160" s="15" t="n">
        <v>7</v>
      </c>
      <c r="U160" s="16" t="n">
        <v>35893</v>
      </c>
      <c r="V160" s="16" t="n">
        <v>35893</v>
      </c>
      <c r="W160" s="16" t="n">
        <v>33336</v>
      </c>
      <c r="X160" s="16" t="n">
        <v>33336</v>
      </c>
      <c r="Y160" s="15" t="n">
        <v>363</v>
      </c>
      <c r="Z160" s="15" t="n">
        <v>291</v>
      </c>
      <c r="AA160" s="15" t="n">
        <v>397</v>
      </c>
      <c r="AB160" s="15" t="n">
        <v>3</v>
      </c>
      <c r="AC160" s="15" t="n">
        <v>4</v>
      </c>
      <c r="AD160" s="15" t="n">
        <v>14</v>
      </c>
      <c r="AE160" s="15" t="n">
        <v>15</v>
      </c>
      <c r="AF160" s="15" t="n">
        <v>4</v>
      </c>
      <c r="AG160" s="15" t="n">
        <v>4</v>
      </c>
      <c r="AH160" s="15" t="n">
        <v>2</v>
      </c>
      <c r="AI160" s="15" t="n">
        <v>2</v>
      </c>
      <c r="AJ160" s="15" t="n">
        <v>8</v>
      </c>
      <c r="AK160" s="15" t="n">
        <v>8</v>
      </c>
      <c r="AL160" s="15" t="n">
        <v>2</v>
      </c>
      <c r="AM160" s="15" t="n">
        <v>3</v>
      </c>
      <c r="AN160" s="15" t="n">
        <v>0</v>
      </c>
      <c r="AO160" s="15" t="n">
        <v>0</v>
      </c>
      <c r="AP160" s="15" t="s">
        <v>63</v>
      </c>
      <c r="AQ160" s="15" t="s">
        <v>57</v>
      </c>
      <c r="AR160" s="9" t="s">
        <v>312</v>
      </c>
      <c r="AS160" s="9" t="s">
        <v>303</v>
      </c>
      <c r="AT160" s="9" t="s">
        <v>304</v>
      </c>
      <c r="AU160" s="15" t="s">
        <v>1162</v>
      </c>
      <c r="AV160" s="15" t="n">
        <v>8786142</v>
      </c>
      <c r="AW160" s="15" t="n">
        <v>9.91000072729702E+017</v>
      </c>
      <c r="AX160" s="15" t="n">
        <v>9.91000072729702E+017</v>
      </c>
      <c r="AY160" s="15" t="n">
        <v>2266533560002650</v>
      </c>
      <c r="AZ160" s="15" t="s">
        <v>77</v>
      </c>
      <c r="BA160" s="14"/>
      <c r="BB160" s="17" t="n">
        <v>9780310456711</v>
      </c>
      <c r="BC160" s="17" t="n">
        <v>32285000554484</v>
      </c>
      <c r="BD160" s="15" t="n">
        <v>893527773</v>
      </c>
      <c r="BE160" s="6" t="s">
        <v>306</v>
      </c>
    </row>
    <row r="161" customFormat="false" ht="48" hidden="false" customHeight="false" outlineLevel="0" collapsed="false">
      <c r="A161" s="4" t="s">
        <v>57</v>
      </c>
      <c r="B161" s="5" t="s">
        <v>1163</v>
      </c>
      <c r="C161" s="5" t="s">
        <v>1164</v>
      </c>
      <c r="D161" s="5" t="s">
        <v>1165</v>
      </c>
      <c r="E161" s="14"/>
      <c r="F161" s="15" t="s">
        <v>63</v>
      </c>
      <c r="G161" s="15" t="n">
        <v>1</v>
      </c>
      <c r="H161" s="15" t="s">
        <v>63</v>
      </c>
      <c r="I161" s="15" t="s">
        <v>63</v>
      </c>
      <c r="J161" s="15" t="n">
        <v>0</v>
      </c>
      <c r="K161" s="5" t="s">
        <v>1166</v>
      </c>
      <c r="L161" s="5" t="s">
        <v>1167</v>
      </c>
      <c r="M161" s="15" t="n">
        <v>1989</v>
      </c>
      <c r="N161" s="14"/>
      <c r="O161" s="15" t="s">
        <v>67</v>
      </c>
      <c r="P161" s="15" t="s">
        <v>68</v>
      </c>
      <c r="Q161" s="14"/>
      <c r="R161" s="15" t="s">
        <v>302</v>
      </c>
      <c r="S161" s="15" t="n">
        <v>8</v>
      </c>
      <c r="T161" s="15" t="n">
        <v>8</v>
      </c>
      <c r="U161" s="16" t="n">
        <v>35612</v>
      </c>
      <c r="V161" s="16" t="n">
        <v>35612</v>
      </c>
      <c r="W161" s="16" t="n">
        <v>32930</v>
      </c>
      <c r="X161" s="16" t="n">
        <v>32930</v>
      </c>
      <c r="Y161" s="15" t="n">
        <v>138</v>
      </c>
      <c r="Z161" s="15" t="n">
        <v>121</v>
      </c>
      <c r="AA161" s="15" t="n">
        <v>127</v>
      </c>
      <c r="AB161" s="15" t="n">
        <v>2</v>
      </c>
      <c r="AC161" s="15" t="n">
        <v>2</v>
      </c>
      <c r="AD161" s="15" t="n">
        <v>11</v>
      </c>
      <c r="AE161" s="15" t="n">
        <v>12</v>
      </c>
      <c r="AF161" s="15" t="n">
        <v>1</v>
      </c>
      <c r="AG161" s="15" t="n">
        <v>2</v>
      </c>
      <c r="AH161" s="15" t="n">
        <v>4</v>
      </c>
      <c r="AI161" s="15" t="n">
        <v>4</v>
      </c>
      <c r="AJ161" s="15" t="n">
        <v>8</v>
      </c>
      <c r="AK161" s="15" t="n">
        <v>9</v>
      </c>
      <c r="AL161" s="15" t="n">
        <v>0</v>
      </c>
      <c r="AM161" s="15" t="n">
        <v>0</v>
      </c>
      <c r="AN161" s="15" t="n">
        <v>0</v>
      </c>
      <c r="AO161" s="15" t="n">
        <v>0</v>
      </c>
      <c r="AP161" s="15" t="s">
        <v>63</v>
      </c>
      <c r="AQ161" s="15" t="s">
        <v>63</v>
      </c>
      <c r="AR161" s="14"/>
      <c r="AS161" s="9" t="s">
        <v>303</v>
      </c>
      <c r="AT161" s="9" t="s">
        <v>304</v>
      </c>
      <c r="AU161" s="15" t="s">
        <v>1168</v>
      </c>
      <c r="AV161" s="15" t="n">
        <v>18588190</v>
      </c>
      <c r="AW161" s="15" t="n">
        <v>9.91001372219702E+017</v>
      </c>
      <c r="AX161" s="15" t="n">
        <v>9.91001372219702E+017</v>
      </c>
      <c r="AY161" s="15" t="n">
        <v>2265928160002650</v>
      </c>
      <c r="AZ161" s="15" t="s">
        <v>77</v>
      </c>
      <c r="BA161" s="14"/>
      <c r="BB161" s="17" t="n">
        <v>9780809130450</v>
      </c>
      <c r="BC161" s="17" t="n">
        <v>32285000041094</v>
      </c>
      <c r="BD161" s="15" t="n">
        <v>893250197</v>
      </c>
      <c r="BE161" s="6" t="s">
        <v>306</v>
      </c>
    </row>
    <row r="162" customFormat="false" ht="36.5" hidden="false" customHeight="false" outlineLevel="0" collapsed="false">
      <c r="A162" s="4" t="s">
        <v>57</v>
      </c>
      <c r="B162" s="5" t="s">
        <v>1169</v>
      </c>
      <c r="C162" s="5" t="s">
        <v>1170</v>
      </c>
      <c r="D162" s="5" t="s">
        <v>1171</v>
      </c>
      <c r="E162" s="15" t="s">
        <v>1172</v>
      </c>
      <c r="F162" s="15" t="s">
        <v>63</v>
      </c>
      <c r="G162" s="15" t="n">
        <v>1</v>
      </c>
      <c r="H162" s="15" t="s">
        <v>63</v>
      </c>
      <c r="I162" s="15" t="s">
        <v>63</v>
      </c>
      <c r="J162" s="15" t="n">
        <v>0</v>
      </c>
      <c r="K162" s="5" t="s">
        <v>1173</v>
      </c>
      <c r="L162" s="5" t="s">
        <v>1174</v>
      </c>
      <c r="M162" s="15" t="n">
        <v>1970</v>
      </c>
      <c r="N162" s="14"/>
      <c r="O162" s="15" t="s">
        <v>67</v>
      </c>
      <c r="P162" s="15" t="s">
        <v>1059</v>
      </c>
      <c r="Q162" s="5" t="s">
        <v>1175</v>
      </c>
      <c r="R162" s="15" t="s">
        <v>302</v>
      </c>
      <c r="S162" s="15" t="n">
        <v>2</v>
      </c>
      <c r="T162" s="15" t="n">
        <v>2</v>
      </c>
      <c r="U162" s="16" t="n">
        <v>35905</v>
      </c>
      <c r="V162" s="16" t="n">
        <v>35905</v>
      </c>
      <c r="W162" s="16" t="n">
        <v>33338</v>
      </c>
      <c r="X162" s="16" t="n">
        <v>33338</v>
      </c>
      <c r="Y162" s="15" t="n">
        <v>337</v>
      </c>
      <c r="Z162" s="15" t="n">
        <v>318</v>
      </c>
      <c r="AA162" s="15" t="n">
        <v>501</v>
      </c>
      <c r="AB162" s="15" t="n">
        <v>3</v>
      </c>
      <c r="AC162" s="15" t="n">
        <v>5</v>
      </c>
      <c r="AD162" s="15" t="n">
        <v>23</v>
      </c>
      <c r="AE162" s="15" t="n">
        <v>30</v>
      </c>
      <c r="AF162" s="15" t="n">
        <v>8</v>
      </c>
      <c r="AG162" s="15" t="n">
        <v>12</v>
      </c>
      <c r="AH162" s="15" t="n">
        <v>6</v>
      </c>
      <c r="AI162" s="15" t="n">
        <v>7</v>
      </c>
      <c r="AJ162" s="15" t="n">
        <v>16</v>
      </c>
      <c r="AK162" s="15" t="n">
        <v>17</v>
      </c>
      <c r="AL162" s="15" t="n">
        <v>2</v>
      </c>
      <c r="AM162" s="15" t="n">
        <v>3</v>
      </c>
      <c r="AN162" s="15" t="n">
        <v>0</v>
      </c>
      <c r="AO162" s="15" t="n">
        <v>0</v>
      </c>
      <c r="AP162" s="15" t="s">
        <v>63</v>
      </c>
      <c r="AQ162" s="15" t="s">
        <v>57</v>
      </c>
      <c r="AR162" s="9" t="s">
        <v>312</v>
      </c>
      <c r="AS162" s="9" t="s">
        <v>303</v>
      </c>
      <c r="AT162" s="9" t="s">
        <v>304</v>
      </c>
      <c r="AU162" s="15" t="s">
        <v>1176</v>
      </c>
      <c r="AV162" s="15" t="n">
        <v>129748</v>
      </c>
      <c r="AW162" s="15" t="n">
        <v>9.91000743909702E+017</v>
      </c>
      <c r="AX162" s="15" t="n">
        <v>9.91000743909702E+017</v>
      </c>
      <c r="AY162" s="15" t="n">
        <v>2266724630002650</v>
      </c>
      <c r="AZ162" s="15" t="s">
        <v>77</v>
      </c>
      <c r="BA162" s="14"/>
      <c r="BB162" s="17" t="n">
        <v>9780840130679</v>
      </c>
      <c r="BC162" s="17" t="n">
        <v>32285000581297</v>
      </c>
      <c r="BD162" s="15" t="n">
        <v>893339848</v>
      </c>
      <c r="BE162" s="6" t="s">
        <v>306</v>
      </c>
    </row>
    <row r="163" customFormat="false" ht="36.5" hidden="false" customHeight="false" outlineLevel="0" collapsed="false">
      <c r="A163" s="4" t="s">
        <v>57</v>
      </c>
      <c r="B163" s="5" t="s">
        <v>1177</v>
      </c>
      <c r="C163" s="5" t="s">
        <v>1178</v>
      </c>
      <c r="D163" s="5" t="s">
        <v>1179</v>
      </c>
      <c r="E163" s="15" t="s">
        <v>1180</v>
      </c>
      <c r="F163" s="15" t="s">
        <v>63</v>
      </c>
      <c r="G163" s="15" t="n">
        <v>1</v>
      </c>
      <c r="H163" s="15" t="s">
        <v>63</v>
      </c>
      <c r="I163" s="15" t="s">
        <v>63</v>
      </c>
      <c r="J163" s="15" t="n">
        <v>0</v>
      </c>
      <c r="K163" s="5" t="s">
        <v>1181</v>
      </c>
      <c r="L163" s="5" t="s">
        <v>1182</v>
      </c>
      <c r="M163" s="15" t="n">
        <v>1971</v>
      </c>
      <c r="N163" s="14"/>
      <c r="O163" s="15" t="s">
        <v>67</v>
      </c>
      <c r="P163" s="15" t="s">
        <v>1059</v>
      </c>
      <c r="Q163" s="5" t="s">
        <v>1183</v>
      </c>
      <c r="R163" s="15" t="s">
        <v>302</v>
      </c>
      <c r="S163" s="15" t="n">
        <v>2</v>
      </c>
      <c r="T163" s="15" t="n">
        <v>2</v>
      </c>
      <c r="U163" s="16" t="n">
        <v>40148</v>
      </c>
      <c r="V163" s="16" t="n">
        <v>40148</v>
      </c>
      <c r="W163" s="16" t="n">
        <v>33338</v>
      </c>
      <c r="X163" s="16" t="n">
        <v>33338</v>
      </c>
      <c r="Y163" s="15" t="n">
        <v>284</v>
      </c>
      <c r="Z163" s="15" t="n">
        <v>271</v>
      </c>
      <c r="AA163" s="15" t="n">
        <v>358</v>
      </c>
      <c r="AB163" s="15" t="n">
        <v>4</v>
      </c>
      <c r="AC163" s="15" t="n">
        <v>4</v>
      </c>
      <c r="AD163" s="15" t="n">
        <v>25</v>
      </c>
      <c r="AE163" s="15" t="n">
        <v>27</v>
      </c>
      <c r="AF163" s="15" t="n">
        <v>4</v>
      </c>
      <c r="AG163" s="15" t="n">
        <v>5</v>
      </c>
      <c r="AH163" s="15" t="n">
        <v>7</v>
      </c>
      <c r="AI163" s="15" t="n">
        <v>8</v>
      </c>
      <c r="AJ163" s="15" t="n">
        <v>17</v>
      </c>
      <c r="AK163" s="15" t="n">
        <v>18</v>
      </c>
      <c r="AL163" s="15" t="n">
        <v>3</v>
      </c>
      <c r="AM163" s="15" t="n">
        <v>3</v>
      </c>
      <c r="AN163" s="15" t="n">
        <v>0</v>
      </c>
      <c r="AO163" s="15" t="n">
        <v>0</v>
      </c>
      <c r="AP163" s="15" t="s">
        <v>63</v>
      </c>
      <c r="AQ163" s="15" t="s">
        <v>57</v>
      </c>
      <c r="AR163" s="9" t="s">
        <v>312</v>
      </c>
      <c r="AS163" s="9" t="s">
        <v>303</v>
      </c>
      <c r="AT163" s="9" t="s">
        <v>304</v>
      </c>
      <c r="AU163" s="15" t="s">
        <v>1184</v>
      </c>
      <c r="AV163" s="15" t="n">
        <v>163480</v>
      </c>
      <c r="AW163" s="15" t="n">
        <v>9.91000926439702E+017</v>
      </c>
      <c r="AX163" s="15" t="n">
        <v>9.91000926439702E+017</v>
      </c>
      <c r="AY163" s="15" t="n">
        <v>2272179420002650</v>
      </c>
      <c r="AZ163" s="15" t="s">
        <v>77</v>
      </c>
      <c r="BA163" s="14"/>
      <c r="BB163" s="17" t="n">
        <v>9780840130686</v>
      </c>
      <c r="BC163" s="17" t="n">
        <v>32285000581305</v>
      </c>
      <c r="BD163" s="15" t="n">
        <v>893772115</v>
      </c>
      <c r="BE163" s="6" t="s">
        <v>306</v>
      </c>
    </row>
    <row r="164" customFormat="false" ht="36.5" hidden="false" customHeight="false" outlineLevel="0" collapsed="false">
      <c r="A164" s="4" t="s">
        <v>57</v>
      </c>
      <c r="B164" s="5" t="s">
        <v>1185</v>
      </c>
      <c r="C164" s="5" t="s">
        <v>1186</v>
      </c>
      <c r="D164" s="5" t="s">
        <v>1187</v>
      </c>
      <c r="E164" s="15" t="s">
        <v>1188</v>
      </c>
      <c r="F164" s="15" t="s">
        <v>63</v>
      </c>
      <c r="G164" s="15" t="n">
        <v>1</v>
      </c>
      <c r="H164" s="15" t="s">
        <v>63</v>
      </c>
      <c r="I164" s="15" t="s">
        <v>63</v>
      </c>
      <c r="J164" s="15" t="n">
        <v>0</v>
      </c>
      <c r="K164" s="5" t="s">
        <v>1189</v>
      </c>
      <c r="L164" s="5" t="s">
        <v>1190</v>
      </c>
      <c r="M164" s="15" t="n">
        <v>1971</v>
      </c>
      <c r="N164" s="14"/>
      <c r="O164" s="15" t="s">
        <v>67</v>
      </c>
      <c r="P164" s="15" t="s">
        <v>1059</v>
      </c>
      <c r="Q164" s="5" t="s">
        <v>1191</v>
      </c>
      <c r="R164" s="15" t="s">
        <v>302</v>
      </c>
      <c r="S164" s="15" t="n">
        <v>3</v>
      </c>
      <c r="T164" s="15" t="n">
        <v>3</v>
      </c>
      <c r="U164" s="16" t="n">
        <v>36130</v>
      </c>
      <c r="V164" s="16" t="n">
        <v>36130</v>
      </c>
      <c r="W164" s="16" t="n">
        <v>33338</v>
      </c>
      <c r="X164" s="16" t="n">
        <v>33338</v>
      </c>
      <c r="Y164" s="15" t="n">
        <v>234</v>
      </c>
      <c r="Z164" s="15" t="n">
        <v>229</v>
      </c>
      <c r="AA164" s="15" t="n">
        <v>355</v>
      </c>
      <c r="AB164" s="15" t="n">
        <v>3</v>
      </c>
      <c r="AC164" s="15" t="n">
        <v>4</v>
      </c>
      <c r="AD164" s="15" t="n">
        <v>20</v>
      </c>
      <c r="AE164" s="15" t="n">
        <v>30</v>
      </c>
      <c r="AF164" s="15" t="n">
        <v>7</v>
      </c>
      <c r="AG164" s="15" t="n">
        <v>11</v>
      </c>
      <c r="AH164" s="15" t="n">
        <v>4</v>
      </c>
      <c r="AI164" s="15" t="n">
        <v>7</v>
      </c>
      <c r="AJ164" s="15" t="n">
        <v>11</v>
      </c>
      <c r="AK164" s="15" t="n">
        <v>16</v>
      </c>
      <c r="AL164" s="15" t="n">
        <v>2</v>
      </c>
      <c r="AM164" s="15" t="n">
        <v>3</v>
      </c>
      <c r="AN164" s="15" t="n">
        <v>0</v>
      </c>
      <c r="AO164" s="15" t="n">
        <v>0</v>
      </c>
      <c r="AP164" s="15" t="s">
        <v>63</v>
      </c>
      <c r="AQ164" s="15" t="s">
        <v>57</v>
      </c>
      <c r="AR164" s="9" t="s">
        <v>312</v>
      </c>
      <c r="AS164" s="9" t="s">
        <v>303</v>
      </c>
      <c r="AT164" s="9" t="s">
        <v>304</v>
      </c>
      <c r="AU164" s="15" t="s">
        <v>1192</v>
      </c>
      <c r="AV164" s="15" t="n">
        <v>202620</v>
      </c>
      <c r="AW164" s="15" t="n">
        <v>9.91001229849702E+017</v>
      </c>
      <c r="AX164" s="15" t="n">
        <v>9.91001229849702E+017</v>
      </c>
      <c r="AY164" s="15" t="n">
        <v>2258750700002650</v>
      </c>
      <c r="AZ164" s="15" t="s">
        <v>77</v>
      </c>
      <c r="BA164" s="14"/>
      <c r="BB164" s="17" t="n">
        <v>9780840130693</v>
      </c>
      <c r="BC164" s="17" t="n">
        <v>32285000581313</v>
      </c>
      <c r="BD164" s="15" t="n">
        <v>893696592</v>
      </c>
      <c r="BE164" s="6" t="s">
        <v>306</v>
      </c>
    </row>
    <row r="165" customFormat="false" ht="36.5" hidden="false" customHeight="false" outlineLevel="0" collapsed="false">
      <c r="A165" s="4" t="s">
        <v>57</v>
      </c>
      <c r="B165" s="5" t="s">
        <v>1193</v>
      </c>
      <c r="C165" s="5" t="s">
        <v>1194</v>
      </c>
      <c r="D165" s="5" t="s">
        <v>1195</v>
      </c>
      <c r="E165" s="14"/>
      <c r="F165" s="15" t="s">
        <v>63</v>
      </c>
      <c r="G165" s="15" t="n">
        <v>1</v>
      </c>
      <c r="H165" s="15" t="s">
        <v>63</v>
      </c>
      <c r="I165" s="15" t="s">
        <v>63</v>
      </c>
      <c r="J165" s="15" t="n">
        <v>0</v>
      </c>
      <c r="K165" s="5" t="s">
        <v>1196</v>
      </c>
      <c r="L165" s="5" t="s">
        <v>1197</v>
      </c>
      <c r="M165" s="15" t="n">
        <v>1991</v>
      </c>
      <c r="N165" s="14"/>
      <c r="O165" s="15" t="s">
        <v>67</v>
      </c>
      <c r="P165" s="15" t="s">
        <v>68</v>
      </c>
      <c r="Q165" s="14"/>
      <c r="R165" s="15" t="s">
        <v>302</v>
      </c>
      <c r="S165" s="15" t="n">
        <v>4</v>
      </c>
      <c r="T165" s="15" t="n">
        <v>4</v>
      </c>
      <c r="U165" s="16" t="n">
        <v>39049</v>
      </c>
      <c r="V165" s="16" t="n">
        <v>39049</v>
      </c>
      <c r="W165" s="16" t="n">
        <v>33983</v>
      </c>
      <c r="X165" s="16" t="n">
        <v>33983</v>
      </c>
      <c r="Y165" s="15" t="n">
        <v>935</v>
      </c>
      <c r="Z165" s="15" t="n">
        <v>878</v>
      </c>
      <c r="AA165" s="15" t="n">
        <v>969</v>
      </c>
      <c r="AB165" s="15" t="n">
        <v>4</v>
      </c>
      <c r="AC165" s="15" t="n">
        <v>4</v>
      </c>
      <c r="AD165" s="15" t="n">
        <v>31</v>
      </c>
      <c r="AE165" s="15" t="n">
        <v>33</v>
      </c>
      <c r="AF165" s="15" t="n">
        <v>14</v>
      </c>
      <c r="AG165" s="15" t="n">
        <v>15</v>
      </c>
      <c r="AH165" s="15" t="n">
        <v>7</v>
      </c>
      <c r="AI165" s="15" t="n">
        <v>8</v>
      </c>
      <c r="AJ165" s="15" t="n">
        <v>17</v>
      </c>
      <c r="AK165" s="15" t="n">
        <v>18</v>
      </c>
      <c r="AL165" s="15" t="n">
        <v>3</v>
      </c>
      <c r="AM165" s="15" t="n">
        <v>3</v>
      </c>
      <c r="AN165" s="15" t="n">
        <v>0</v>
      </c>
      <c r="AO165" s="15" t="n">
        <v>0</v>
      </c>
      <c r="AP165" s="15" t="s">
        <v>63</v>
      </c>
      <c r="AQ165" s="15" t="s">
        <v>57</v>
      </c>
      <c r="AR165" s="9" t="s">
        <v>312</v>
      </c>
      <c r="AS165" s="9" t="s">
        <v>303</v>
      </c>
      <c r="AT165" s="9" t="s">
        <v>304</v>
      </c>
      <c r="AU165" s="15" t="s">
        <v>1198</v>
      </c>
      <c r="AV165" s="15" t="n">
        <v>24106789</v>
      </c>
      <c r="AW165" s="15" t="n">
        <v>9.91001908469702E+017</v>
      </c>
      <c r="AX165" s="15" t="n">
        <v>9.91001908469702E+017</v>
      </c>
      <c r="AY165" s="15" t="n">
        <v>2256093100002650</v>
      </c>
      <c r="AZ165" s="15" t="s">
        <v>77</v>
      </c>
      <c r="BA165" s="14"/>
      <c r="BB165" s="17" t="n">
        <v>9780671746797</v>
      </c>
      <c r="BC165" s="17" t="n">
        <v>32285001469989</v>
      </c>
      <c r="BD165" s="15" t="n">
        <v>893250599</v>
      </c>
      <c r="BE165" s="6" t="s">
        <v>306</v>
      </c>
    </row>
    <row r="166" customFormat="false" ht="59.5" hidden="false" customHeight="false" outlineLevel="0" collapsed="false">
      <c r="A166" s="4" t="s">
        <v>57</v>
      </c>
      <c r="B166" s="5" t="s">
        <v>1199</v>
      </c>
      <c r="C166" s="5" t="s">
        <v>1200</v>
      </c>
      <c r="D166" s="5" t="s">
        <v>1201</v>
      </c>
      <c r="E166" s="14"/>
      <c r="F166" s="15" t="s">
        <v>63</v>
      </c>
      <c r="G166" s="15" t="n">
        <v>1</v>
      </c>
      <c r="H166" s="15" t="s">
        <v>63</v>
      </c>
      <c r="I166" s="15" t="s">
        <v>63</v>
      </c>
      <c r="J166" s="15" t="n">
        <v>0</v>
      </c>
      <c r="K166" s="5" t="s">
        <v>1202</v>
      </c>
      <c r="L166" s="5" t="s">
        <v>1203</v>
      </c>
      <c r="M166" s="15" t="n">
        <v>1952</v>
      </c>
      <c r="N166" s="14"/>
      <c r="O166" s="15" t="s">
        <v>67</v>
      </c>
      <c r="P166" s="15" t="s">
        <v>123</v>
      </c>
      <c r="Q166" s="14"/>
      <c r="R166" s="15" t="s">
        <v>302</v>
      </c>
      <c r="S166" s="15" t="n">
        <v>14</v>
      </c>
      <c r="T166" s="15" t="n">
        <v>14</v>
      </c>
      <c r="U166" s="16" t="n">
        <v>39741</v>
      </c>
      <c r="V166" s="16" t="n">
        <v>39741</v>
      </c>
      <c r="W166" s="16" t="n">
        <v>33449</v>
      </c>
      <c r="X166" s="16" t="n">
        <v>33449</v>
      </c>
      <c r="Y166" s="15" t="n">
        <v>188</v>
      </c>
      <c r="Z166" s="15" t="n">
        <v>168</v>
      </c>
      <c r="AA166" s="15" t="n">
        <v>182</v>
      </c>
      <c r="AB166" s="15" t="n">
        <v>3</v>
      </c>
      <c r="AC166" s="15" t="n">
        <v>3</v>
      </c>
      <c r="AD166" s="15" t="n">
        <v>26</v>
      </c>
      <c r="AE166" s="15" t="n">
        <v>26</v>
      </c>
      <c r="AF166" s="15" t="n">
        <v>9</v>
      </c>
      <c r="AG166" s="15" t="n">
        <v>9</v>
      </c>
      <c r="AH166" s="15" t="n">
        <v>6</v>
      </c>
      <c r="AI166" s="15" t="n">
        <v>6</v>
      </c>
      <c r="AJ166" s="15" t="n">
        <v>20</v>
      </c>
      <c r="AK166" s="15" t="n">
        <v>20</v>
      </c>
      <c r="AL166" s="15" t="n">
        <v>0</v>
      </c>
      <c r="AM166" s="15" t="n">
        <v>0</v>
      </c>
      <c r="AN166" s="15" t="n">
        <v>0</v>
      </c>
      <c r="AO166" s="15" t="n">
        <v>0</v>
      </c>
      <c r="AP166" s="15" t="s">
        <v>63</v>
      </c>
      <c r="AQ166" s="15" t="s">
        <v>63</v>
      </c>
      <c r="AR166" s="14"/>
      <c r="AS166" s="9" t="s">
        <v>303</v>
      </c>
      <c r="AT166" s="9" t="s">
        <v>304</v>
      </c>
      <c r="AU166" s="15" t="s">
        <v>1204</v>
      </c>
      <c r="AV166" s="15" t="n">
        <v>2482797</v>
      </c>
      <c r="AW166" s="15" t="n">
        <v>9.91004134939702E+017</v>
      </c>
      <c r="AX166" s="15" t="n">
        <v>9.91004134939702E+017</v>
      </c>
      <c r="AY166" s="15" t="n">
        <v>2260882900002650</v>
      </c>
      <c r="AZ166" s="15" t="s">
        <v>77</v>
      </c>
      <c r="BA166" s="14"/>
      <c r="BB166" s="19"/>
      <c r="BC166" s="17" t="n">
        <v>32285000692854</v>
      </c>
      <c r="BD166" s="15" t="n">
        <v>893875729</v>
      </c>
      <c r="BE166" s="6" t="s">
        <v>306</v>
      </c>
    </row>
    <row r="167" customFormat="false" ht="48" hidden="false" customHeight="false" outlineLevel="0" collapsed="false">
      <c r="A167" s="4" t="s">
        <v>57</v>
      </c>
      <c r="B167" s="5" t="s">
        <v>1205</v>
      </c>
      <c r="C167" s="5" t="s">
        <v>1206</v>
      </c>
      <c r="D167" s="5" t="s">
        <v>1207</v>
      </c>
      <c r="E167" s="14"/>
      <c r="F167" s="15" t="s">
        <v>63</v>
      </c>
      <c r="G167" s="15" t="n">
        <v>1</v>
      </c>
      <c r="H167" s="15" t="s">
        <v>63</v>
      </c>
      <c r="I167" s="15" t="s">
        <v>63</v>
      </c>
      <c r="J167" s="15" t="n">
        <v>0</v>
      </c>
      <c r="K167" s="5" t="s">
        <v>740</v>
      </c>
      <c r="L167" s="5" t="s">
        <v>1208</v>
      </c>
      <c r="M167" s="15" t="n">
        <v>1979</v>
      </c>
      <c r="N167" s="14"/>
      <c r="O167" s="15" t="s">
        <v>67</v>
      </c>
      <c r="P167" s="15" t="s">
        <v>1093</v>
      </c>
      <c r="Q167" s="14"/>
      <c r="R167" s="15" t="s">
        <v>302</v>
      </c>
      <c r="S167" s="15" t="n">
        <v>7</v>
      </c>
      <c r="T167" s="15" t="n">
        <v>7</v>
      </c>
      <c r="U167" s="16" t="n">
        <v>35400</v>
      </c>
      <c r="V167" s="16" t="n">
        <v>35400</v>
      </c>
      <c r="W167" s="16" t="n">
        <v>33344</v>
      </c>
      <c r="X167" s="16" t="n">
        <v>33344</v>
      </c>
      <c r="Y167" s="15" t="n">
        <v>529</v>
      </c>
      <c r="Z167" s="15" t="n">
        <v>401</v>
      </c>
      <c r="AA167" s="15" t="n">
        <v>401</v>
      </c>
      <c r="AB167" s="15" t="n">
        <v>3</v>
      </c>
      <c r="AC167" s="15" t="n">
        <v>3</v>
      </c>
      <c r="AD167" s="15" t="n">
        <v>27</v>
      </c>
      <c r="AE167" s="15" t="n">
        <v>27</v>
      </c>
      <c r="AF167" s="15" t="n">
        <v>8</v>
      </c>
      <c r="AG167" s="15" t="n">
        <v>8</v>
      </c>
      <c r="AH167" s="15" t="n">
        <v>4</v>
      </c>
      <c r="AI167" s="15" t="n">
        <v>4</v>
      </c>
      <c r="AJ167" s="15" t="n">
        <v>10</v>
      </c>
      <c r="AK167" s="15" t="n">
        <v>10</v>
      </c>
      <c r="AL167" s="15" t="n">
        <v>2</v>
      </c>
      <c r="AM167" s="15" t="n">
        <v>2</v>
      </c>
      <c r="AN167" s="15" t="n">
        <v>8</v>
      </c>
      <c r="AO167" s="15" t="n">
        <v>8</v>
      </c>
      <c r="AP167" s="15" t="s">
        <v>63</v>
      </c>
      <c r="AQ167" s="15" t="s">
        <v>63</v>
      </c>
      <c r="AR167" s="14"/>
      <c r="AS167" s="9" t="s">
        <v>303</v>
      </c>
      <c r="AT167" s="9" t="s">
        <v>304</v>
      </c>
      <c r="AU167" s="15" t="s">
        <v>1209</v>
      </c>
      <c r="AV167" s="15" t="n">
        <v>6278184</v>
      </c>
      <c r="AW167" s="15" t="n">
        <v>9.91004955639702E+017</v>
      </c>
      <c r="AX167" s="15" t="n">
        <v>9.91004955639702E+017</v>
      </c>
      <c r="AY167" s="15" t="n">
        <v>2266734110002650</v>
      </c>
      <c r="AZ167" s="15" t="s">
        <v>77</v>
      </c>
      <c r="BA167" s="14"/>
      <c r="BB167" s="17" t="n">
        <v>9780852243640</v>
      </c>
      <c r="BC167" s="17" t="n">
        <v>32285000581842</v>
      </c>
      <c r="BD167" s="15" t="n">
        <v>893782843</v>
      </c>
      <c r="BE167" s="6" t="s">
        <v>306</v>
      </c>
    </row>
    <row r="168" customFormat="false" ht="36.5" hidden="false" customHeight="false" outlineLevel="0" collapsed="false">
      <c r="A168" s="4" t="s">
        <v>57</v>
      </c>
      <c r="B168" s="5" t="s">
        <v>1210</v>
      </c>
      <c r="C168" s="5" t="s">
        <v>1211</v>
      </c>
      <c r="D168" s="5" t="s">
        <v>1212</v>
      </c>
      <c r="E168" s="14"/>
      <c r="F168" s="15" t="s">
        <v>63</v>
      </c>
      <c r="G168" s="15" t="n">
        <v>1</v>
      </c>
      <c r="H168" s="15" t="s">
        <v>63</v>
      </c>
      <c r="I168" s="15" t="s">
        <v>63</v>
      </c>
      <c r="J168" s="15" t="n">
        <v>0</v>
      </c>
      <c r="K168" s="5" t="s">
        <v>457</v>
      </c>
      <c r="L168" s="5" t="s">
        <v>1100</v>
      </c>
      <c r="M168" s="15" t="n">
        <v>1990</v>
      </c>
      <c r="N168" s="14"/>
      <c r="O168" s="15" t="s">
        <v>67</v>
      </c>
      <c r="P168" s="15" t="s">
        <v>68</v>
      </c>
      <c r="Q168" s="14"/>
      <c r="R168" s="15" t="s">
        <v>302</v>
      </c>
      <c r="S168" s="15" t="n">
        <v>9</v>
      </c>
      <c r="T168" s="15" t="n">
        <v>9</v>
      </c>
      <c r="U168" s="16" t="n">
        <v>38773</v>
      </c>
      <c r="V168" s="16" t="n">
        <v>38773</v>
      </c>
      <c r="W168" s="16" t="n">
        <v>33211</v>
      </c>
      <c r="X168" s="16" t="n">
        <v>33211</v>
      </c>
      <c r="Y168" s="15" t="n">
        <v>597</v>
      </c>
      <c r="Z168" s="15" t="n">
        <v>537</v>
      </c>
      <c r="AA168" s="15" t="n">
        <v>546</v>
      </c>
      <c r="AB168" s="15" t="n">
        <v>4</v>
      </c>
      <c r="AC168" s="15" t="n">
        <v>4</v>
      </c>
      <c r="AD168" s="15" t="n">
        <v>33</v>
      </c>
      <c r="AE168" s="15" t="n">
        <v>33</v>
      </c>
      <c r="AF168" s="15" t="n">
        <v>14</v>
      </c>
      <c r="AG168" s="15" t="n">
        <v>14</v>
      </c>
      <c r="AH168" s="15" t="n">
        <v>6</v>
      </c>
      <c r="AI168" s="15" t="n">
        <v>6</v>
      </c>
      <c r="AJ168" s="15" t="n">
        <v>22</v>
      </c>
      <c r="AK168" s="15" t="n">
        <v>22</v>
      </c>
      <c r="AL168" s="15" t="n">
        <v>1</v>
      </c>
      <c r="AM168" s="15" t="n">
        <v>1</v>
      </c>
      <c r="AN168" s="15" t="n">
        <v>0</v>
      </c>
      <c r="AO168" s="15" t="n">
        <v>0</v>
      </c>
      <c r="AP168" s="15" t="s">
        <v>63</v>
      </c>
      <c r="AQ168" s="15" t="s">
        <v>63</v>
      </c>
      <c r="AR168" s="14"/>
      <c r="AS168" s="9" t="s">
        <v>303</v>
      </c>
      <c r="AT168" s="9" t="s">
        <v>304</v>
      </c>
      <c r="AU168" s="15" t="s">
        <v>1213</v>
      </c>
      <c r="AV168" s="15" t="n">
        <v>21483229</v>
      </c>
      <c r="AW168" s="15" t="n">
        <v>9.91001695629702E+017</v>
      </c>
      <c r="AX168" s="15" t="n">
        <v>9.91001695629702E+017</v>
      </c>
      <c r="AY168" s="15" t="n">
        <v>2261724160002650</v>
      </c>
      <c r="AZ168" s="15" t="s">
        <v>77</v>
      </c>
      <c r="BA168" s="14"/>
      <c r="BB168" s="17" t="n">
        <v>9780809131884</v>
      </c>
      <c r="BC168" s="17" t="n">
        <v>32285000357896</v>
      </c>
      <c r="BD168" s="15" t="n">
        <v>893703251</v>
      </c>
      <c r="BE168" s="6" t="s">
        <v>306</v>
      </c>
    </row>
    <row r="169" customFormat="false" ht="36.5" hidden="false" customHeight="false" outlineLevel="0" collapsed="false">
      <c r="A169" s="4" t="s">
        <v>57</v>
      </c>
      <c r="B169" s="5" t="s">
        <v>1214</v>
      </c>
      <c r="C169" s="5" t="s">
        <v>1215</v>
      </c>
      <c r="D169" s="5" t="s">
        <v>1216</v>
      </c>
      <c r="E169" s="14"/>
      <c r="F169" s="15" t="s">
        <v>63</v>
      </c>
      <c r="G169" s="15" t="n">
        <v>1</v>
      </c>
      <c r="H169" s="15" t="s">
        <v>63</v>
      </c>
      <c r="I169" s="15" t="s">
        <v>63</v>
      </c>
      <c r="J169" s="15" t="n">
        <v>0</v>
      </c>
      <c r="K169" s="5" t="s">
        <v>457</v>
      </c>
      <c r="L169" s="5" t="s">
        <v>1217</v>
      </c>
      <c r="M169" s="15" t="n">
        <v>1983</v>
      </c>
      <c r="N169" s="14"/>
      <c r="O169" s="15" t="s">
        <v>67</v>
      </c>
      <c r="P169" s="15" t="s">
        <v>533</v>
      </c>
      <c r="Q169" s="5" t="s">
        <v>1218</v>
      </c>
      <c r="R169" s="15" t="s">
        <v>302</v>
      </c>
      <c r="S169" s="15" t="n">
        <v>6</v>
      </c>
      <c r="T169" s="15" t="n">
        <v>6</v>
      </c>
      <c r="U169" s="16" t="n">
        <v>37777</v>
      </c>
      <c r="V169" s="16" t="n">
        <v>37777</v>
      </c>
      <c r="W169" s="16" t="n">
        <v>33345</v>
      </c>
      <c r="X169" s="16" t="n">
        <v>33345</v>
      </c>
      <c r="Y169" s="15" t="n">
        <v>424</v>
      </c>
      <c r="Z169" s="15" t="n">
        <v>350</v>
      </c>
      <c r="AA169" s="15" t="n">
        <v>386</v>
      </c>
      <c r="AB169" s="15" t="n">
        <v>5</v>
      </c>
      <c r="AC169" s="15" t="n">
        <v>5</v>
      </c>
      <c r="AD169" s="15" t="n">
        <v>36</v>
      </c>
      <c r="AE169" s="15" t="n">
        <v>37</v>
      </c>
      <c r="AF169" s="15" t="n">
        <v>15</v>
      </c>
      <c r="AG169" s="15" t="n">
        <v>16</v>
      </c>
      <c r="AH169" s="15" t="n">
        <v>7</v>
      </c>
      <c r="AI169" s="15" t="n">
        <v>7</v>
      </c>
      <c r="AJ169" s="15" t="n">
        <v>21</v>
      </c>
      <c r="AK169" s="15" t="n">
        <v>21</v>
      </c>
      <c r="AL169" s="15" t="n">
        <v>2</v>
      </c>
      <c r="AM169" s="15" t="n">
        <v>2</v>
      </c>
      <c r="AN169" s="15" t="n">
        <v>0</v>
      </c>
      <c r="AO169" s="15" t="n">
        <v>0</v>
      </c>
      <c r="AP169" s="15" t="s">
        <v>63</v>
      </c>
      <c r="AQ169" s="15" t="s">
        <v>63</v>
      </c>
      <c r="AR169" s="14"/>
      <c r="AS169" s="9" t="s">
        <v>303</v>
      </c>
      <c r="AT169" s="9" t="s">
        <v>304</v>
      </c>
      <c r="AU169" s="15" t="s">
        <v>1219</v>
      </c>
      <c r="AV169" s="15" t="n">
        <v>10535867</v>
      </c>
      <c r="AW169" s="15" t="n">
        <v>9.91000389709702E+017</v>
      </c>
      <c r="AX169" s="15" t="n">
        <v>9.91000389709702E+017</v>
      </c>
      <c r="AY169" s="15" t="n">
        <v>2258685180002650</v>
      </c>
      <c r="AZ169" s="15" t="s">
        <v>77</v>
      </c>
      <c r="BA169" s="14"/>
      <c r="BB169" s="19"/>
      <c r="BC169" s="17" t="n">
        <v>32285000582634</v>
      </c>
      <c r="BD169" s="15" t="n">
        <v>893339502</v>
      </c>
      <c r="BE169" s="6" t="s">
        <v>306</v>
      </c>
    </row>
    <row r="170" customFormat="false" ht="48" hidden="false" customHeight="false" outlineLevel="0" collapsed="false">
      <c r="A170" s="4" t="s">
        <v>57</v>
      </c>
      <c r="B170" s="5" t="s">
        <v>1220</v>
      </c>
      <c r="C170" s="5" t="s">
        <v>1221</v>
      </c>
      <c r="D170" s="5" t="s">
        <v>1222</v>
      </c>
      <c r="E170" s="14"/>
      <c r="F170" s="15" t="s">
        <v>63</v>
      </c>
      <c r="G170" s="15" t="n">
        <v>1</v>
      </c>
      <c r="H170" s="15" t="s">
        <v>63</v>
      </c>
      <c r="I170" s="15" t="s">
        <v>63</v>
      </c>
      <c r="J170" s="15" t="n">
        <v>0</v>
      </c>
      <c r="K170" s="5" t="s">
        <v>531</v>
      </c>
      <c r="L170" s="5" t="s">
        <v>1223</v>
      </c>
      <c r="M170" s="15" t="n">
        <v>1986</v>
      </c>
      <c r="N170" s="14"/>
      <c r="O170" s="15" t="s">
        <v>67</v>
      </c>
      <c r="P170" s="15" t="s">
        <v>1224</v>
      </c>
      <c r="Q170" s="5" t="s">
        <v>1225</v>
      </c>
      <c r="R170" s="15" t="s">
        <v>302</v>
      </c>
      <c r="S170" s="15" t="n">
        <v>1</v>
      </c>
      <c r="T170" s="15" t="n">
        <v>1</v>
      </c>
      <c r="U170" s="16" t="n">
        <v>35854</v>
      </c>
      <c r="V170" s="16" t="n">
        <v>35854</v>
      </c>
      <c r="W170" s="16" t="n">
        <v>33346</v>
      </c>
      <c r="X170" s="16" t="n">
        <v>33346</v>
      </c>
      <c r="Y170" s="15" t="n">
        <v>246</v>
      </c>
      <c r="Z170" s="15" t="n">
        <v>184</v>
      </c>
      <c r="AA170" s="15" t="n">
        <v>186</v>
      </c>
      <c r="AB170" s="15" t="n">
        <v>2</v>
      </c>
      <c r="AC170" s="15" t="n">
        <v>2</v>
      </c>
      <c r="AD170" s="15" t="n">
        <v>13</v>
      </c>
      <c r="AE170" s="15" t="n">
        <v>13</v>
      </c>
      <c r="AF170" s="15" t="n">
        <v>4</v>
      </c>
      <c r="AG170" s="15" t="n">
        <v>4</v>
      </c>
      <c r="AH170" s="15" t="n">
        <v>3</v>
      </c>
      <c r="AI170" s="15" t="n">
        <v>3</v>
      </c>
      <c r="AJ170" s="15" t="n">
        <v>9</v>
      </c>
      <c r="AK170" s="15" t="n">
        <v>9</v>
      </c>
      <c r="AL170" s="15" t="n">
        <v>1</v>
      </c>
      <c r="AM170" s="15" t="n">
        <v>1</v>
      </c>
      <c r="AN170" s="15" t="n">
        <v>0</v>
      </c>
      <c r="AO170" s="15" t="n">
        <v>0</v>
      </c>
      <c r="AP170" s="15" t="s">
        <v>63</v>
      </c>
      <c r="AQ170" s="15" t="s">
        <v>57</v>
      </c>
      <c r="AR170" s="9" t="s">
        <v>312</v>
      </c>
      <c r="AS170" s="9" t="s">
        <v>303</v>
      </c>
      <c r="AT170" s="9" t="s">
        <v>304</v>
      </c>
      <c r="AU170" s="15" t="s">
        <v>1226</v>
      </c>
      <c r="AV170" s="15" t="n">
        <v>14272266</v>
      </c>
      <c r="AW170" s="15" t="n">
        <v>9.91000931279702E+017</v>
      </c>
      <c r="AX170" s="15" t="n">
        <v>9.91000931279702E+017</v>
      </c>
      <c r="AY170" s="15" t="n">
        <v>2261356400002650</v>
      </c>
      <c r="AZ170" s="15" t="s">
        <v>77</v>
      </c>
      <c r="BA170" s="14"/>
      <c r="BB170" s="17" t="n">
        <v>9780819157324</v>
      </c>
      <c r="BC170" s="17" t="n">
        <v>32285000584820</v>
      </c>
      <c r="BD170" s="15" t="n">
        <v>893243728</v>
      </c>
      <c r="BE170" s="6" t="s">
        <v>306</v>
      </c>
    </row>
    <row r="171" customFormat="false" ht="59.5" hidden="false" customHeight="false" outlineLevel="0" collapsed="false">
      <c r="A171" s="4" t="s">
        <v>57</v>
      </c>
      <c r="B171" s="5" t="s">
        <v>1227</v>
      </c>
      <c r="C171" s="5" t="s">
        <v>1228</v>
      </c>
      <c r="D171" s="5" t="s">
        <v>1229</v>
      </c>
      <c r="E171" s="14"/>
      <c r="F171" s="15" t="s">
        <v>63</v>
      </c>
      <c r="G171" s="15" t="n">
        <v>1</v>
      </c>
      <c r="H171" s="15" t="s">
        <v>63</v>
      </c>
      <c r="I171" s="15" t="s">
        <v>63</v>
      </c>
      <c r="J171" s="15" t="n">
        <v>0</v>
      </c>
      <c r="K171" s="5" t="s">
        <v>1230</v>
      </c>
      <c r="L171" s="5" t="s">
        <v>1231</v>
      </c>
      <c r="M171" s="15" t="n">
        <v>1968</v>
      </c>
      <c r="N171" s="14"/>
      <c r="O171" s="15" t="s">
        <v>67</v>
      </c>
      <c r="P171" s="15" t="s">
        <v>367</v>
      </c>
      <c r="Q171" s="5" t="s">
        <v>1232</v>
      </c>
      <c r="R171" s="15" t="s">
        <v>302</v>
      </c>
      <c r="S171" s="15" t="n">
        <v>3</v>
      </c>
      <c r="T171" s="15" t="n">
        <v>3</v>
      </c>
      <c r="U171" s="16" t="n">
        <v>38887</v>
      </c>
      <c r="V171" s="16" t="n">
        <v>38887</v>
      </c>
      <c r="W171" s="16" t="n">
        <v>33346</v>
      </c>
      <c r="X171" s="16" t="n">
        <v>33346</v>
      </c>
      <c r="Y171" s="15" t="n">
        <v>193</v>
      </c>
      <c r="Z171" s="15" t="n">
        <v>184</v>
      </c>
      <c r="AA171" s="15" t="n">
        <v>227</v>
      </c>
      <c r="AB171" s="15" t="n">
        <v>1</v>
      </c>
      <c r="AC171" s="15" t="n">
        <v>1</v>
      </c>
      <c r="AD171" s="15" t="n">
        <v>9</v>
      </c>
      <c r="AE171" s="15" t="n">
        <v>11</v>
      </c>
      <c r="AF171" s="15" t="n">
        <v>3</v>
      </c>
      <c r="AG171" s="15" t="n">
        <v>4</v>
      </c>
      <c r="AH171" s="15" t="n">
        <v>3</v>
      </c>
      <c r="AI171" s="15" t="n">
        <v>3</v>
      </c>
      <c r="AJ171" s="15" t="n">
        <v>5</v>
      </c>
      <c r="AK171" s="15" t="n">
        <v>6</v>
      </c>
      <c r="AL171" s="15" t="n">
        <v>0</v>
      </c>
      <c r="AM171" s="15" t="n">
        <v>0</v>
      </c>
      <c r="AN171" s="15" t="n">
        <v>0</v>
      </c>
      <c r="AO171" s="15" t="n">
        <v>0</v>
      </c>
      <c r="AP171" s="15" t="s">
        <v>63</v>
      </c>
      <c r="AQ171" s="15" t="s">
        <v>57</v>
      </c>
      <c r="AR171" s="9" t="s">
        <v>312</v>
      </c>
      <c r="AS171" s="9" t="s">
        <v>303</v>
      </c>
      <c r="AT171" s="9" t="s">
        <v>304</v>
      </c>
      <c r="AU171" s="15" t="s">
        <v>1233</v>
      </c>
      <c r="AV171" s="15" t="n">
        <v>916631</v>
      </c>
      <c r="AW171" s="15" t="n">
        <v>9.91002639409702E+017</v>
      </c>
      <c r="AX171" s="15" t="n">
        <v>9.91002639409702E+017</v>
      </c>
      <c r="AY171" s="15" t="n">
        <v>2260602880002650</v>
      </c>
      <c r="AZ171" s="15" t="s">
        <v>77</v>
      </c>
      <c r="BA171" s="14"/>
      <c r="BB171" s="19"/>
      <c r="BC171" s="17" t="n">
        <v>32285000584911</v>
      </c>
      <c r="BD171" s="15" t="n">
        <v>893710503</v>
      </c>
      <c r="BE171" s="6" t="s">
        <v>306</v>
      </c>
    </row>
    <row r="172" customFormat="false" ht="25" hidden="false" customHeight="false" outlineLevel="0" collapsed="false">
      <c r="A172" s="4" t="s">
        <v>57</v>
      </c>
      <c r="B172" s="1" t="s">
        <v>1234</v>
      </c>
      <c r="C172" s="1"/>
      <c r="D172" s="1" t="s">
        <v>1235</v>
      </c>
      <c r="E172" s="1"/>
      <c r="F172" s="1"/>
      <c r="BE172" s="6" t="s">
        <v>1236</v>
      </c>
    </row>
    <row r="173" customFormat="false" ht="36.5" hidden="false" customHeight="false" outlineLevel="0" collapsed="false">
      <c r="A173" s="4" t="s">
        <v>57</v>
      </c>
      <c r="B173" s="1" t="s">
        <v>1237</v>
      </c>
      <c r="C173" s="1"/>
      <c r="D173" s="1" t="s">
        <v>1238</v>
      </c>
      <c r="E173" s="1"/>
      <c r="F173" s="1"/>
      <c r="BE173" s="6" t="s">
        <v>1236</v>
      </c>
    </row>
    <row r="174" customFormat="false" ht="25" hidden="false" customHeight="false" outlineLevel="0" collapsed="false">
      <c r="A174" s="4" t="s">
        <v>57</v>
      </c>
      <c r="B174" s="1" t="s">
        <v>1239</v>
      </c>
      <c r="C174" s="1"/>
      <c r="D174" s="1" t="s">
        <v>1240</v>
      </c>
      <c r="E174" s="1"/>
      <c r="F174" s="1"/>
      <c r="BE174" s="6" t="s">
        <v>1236</v>
      </c>
    </row>
    <row r="175" customFormat="false" ht="48" hidden="false" customHeight="false" outlineLevel="0" collapsed="false">
      <c r="A175" s="4" t="s">
        <v>57</v>
      </c>
      <c r="B175" s="1" t="s">
        <v>1241</v>
      </c>
      <c r="C175" s="1"/>
      <c r="D175" s="1" t="s">
        <v>1242</v>
      </c>
      <c r="E175" s="1"/>
      <c r="F175" s="1"/>
      <c r="BE175" s="6" t="s">
        <v>1236</v>
      </c>
    </row>
    <row r="176" customFormat="false" ht="25" hidden="false" customHeight="false" outlineLevel="0" collapsed="false">
      <c r="A176" s="4" t="s">
        <v>57</v>
      </c>
      <c r="B176" s="1" t="s">
        <v>1243</v>
      </c>
      <c r="C176" s="1"/>
      <c r="D176" s="1" t="s">
        <v>1244</v>
      </c>
      <c r="E176" s="1"/>
      <c r="F176" s="1"/>
      <c r="BE176" s="6" t="s">
        <v>1236</v>
      </c>
    </row>
    <row r="177" customFormat="false" ht="25" hidden="false" customHeight="false" outlineLevel="0" collapsed="false">
      <c r="A177" s="4" t="s">
        <v>57</v>
      </c>
      <c r="B177" s="1" t="s">
        <v>1245</v>
      </c>
      <c r="C177" s="1"/>
      <c r="D177" s="1" t="s">
        <v>1246</v>
      </c>
      <c r="E177" s="1"/>
      <c r="F177" s="1"/>
      <c r="BE177" s="6" t="s">
        <v>1236</v>
      </c>
    </row>
    <row r="178" customFormat="false" ht="25" hidden="false" customHeight="false" outlineLevel="0" collapsed="false">
      <c r="A178" s="4" t="s">
        <v>57</v>
      </c>
      <c r="B178" s="1" t="s">
        <v>1247</v>
      </c>
      <c r="C178" s="1"/>
      <c r="D178" s="1" t="s">
        <v>1248</v>
      </c>
      <c r="E178" s="1"/>
      <c r="F178" s="1"/>
      <c r="BE178" s="6" t="s">
        <v>1236</v>
      </c>
    </row>
    <row r="179" customFormat="false" ht="36.5" hidden="false" customHeight="false" outlineLevel="0" collapsed="false">
      <c r="A179" s="4" t="s">
        <v>57</v>
      </c>
      <c r="B179" s="1" t="s">
        <v>1249</v>
      </c>
      <c r="C179" s="1"/>
      <c r="D179" s="1" t="s">
        <v>1250</v>
      </c>
      <c r="E179" s="1"/>
      <c r="F179" s="1"/>
      <c r="BE179" s="6" t="s">
        <v>1236</v>
      </c>
    </row>
    <row r="180" customFormat="false" ht="48" hidden="false" customHeight="false" outlineLevel="0" collapsed="false">
      <c r="A180" s="4" t="s">
        <v>57</v>
      </c>
      <c r="B180" s="1" t="s">
        <v>1251</v>
      </c>
      <c r="C180" s="1"/>
      <c r="D180" s="1" t="s">
        <v>1252</v>
      </c>
      <c r="E180" s="1"/>
      <c r="F180" s="1"/>
      <c r="BE180" s="6" t="s">
        <v>1236</v>
      </c>
    </row>
    <row r="181" customFormat="false" ht="13.8" hidden="false" customHeight="false" outlineLevel="0" collapsed="false">
      <c r="A181" s="4" t="s">
        <v>57</v>
      </c>
      <c r="B181" s="1" t="s">
        <v>1253</v>
      </c>
      <c r="C181" s="1"/>
      <c r="D181" s="1" t="s">
        <v>1254</v>
      </c>
      <c r="E181" s="1"/>
      <c r="F181" s="1"/>
      <c r="BE181" s="6" t="s">
        <v>1236</v>
      </c>
    </row>
    <row r="182" customFormat="false" ht="36.5" hidden="false" customHeight="false" outlineLevel="0" collapsed="false">
      <c r="A182" s="4" t="s">
        <v>57</v>
      </c>
      <c r="B182" s="1" t="s">
        <v>1255</v>
      </c>
      <c r="C182" s="1"/>
      <c r="D182" s="1" t="s">
        <v>1256</v>
      </c>
      <c r="E182" s="1"/>
      <c r="F182" s="1"/>
      <c r="BE182" s="6" t="s">
        <v>1236</v>
      </c>
    </row>
    <row r="183" customFormat="false" ht="48" hidden="false" customHeight="false" outlineLevel="0" collapsed="false">
      <c r="A183" s="4" t="s">
        <v>57</v>
      </c>
      <c r="B183" s="1" t="s">
        <v>1257</v>
      </c>
      <c r="C183" s="1"/>
      <c r="D183" s="1" t="s">
        <v>1258</v>
      </c>
      <c r="E183" s="1"/>
      <c r="F183" s="1"/>
      <c r="BE183" s="6" t="s">
        <v>1236</v>
      </c>
    </row>
    <row r="184" customFormat="false" ht="36.5" hidden="false" customHeight="false" outlineLevel="0" collapsed="false">
      <c r="A184" s="4" t="s">
        <v>57</v>
      </c>
      <c r="B184" s="1" t="s">
        <v>1259</v>
      </c>
      <c r="C184" s="1"/>
      <c r="D184" s="1" t="s">
        <v>1260</v>
      </c>
      <c r="E184" s="1"/>
      <c r="F184" s="1"/>
      <c r="BE184" s="6" t="s">
        <v>1236</v>
      </c>
    </row>
    <row r="185" customFormat="false" ht="25.5" hidden="false" customHeight="true" outlineLevel="0" collapsed="false">
      <c r="A185" s="4" t="s">
        <v>57</v>
      </c>
      <c r="B185" s="1" t="s">
        <v>1261</v>
      </c>
      <c r="C185" s="1"/>
      <c r="D185" s="1" t="s">
        <v>1262</v>
      </c>
      <c r="E185" s="1"/>
      <c r="F185" s="1"/>
      <c r="BE185" s="6" t="s">
        <v>1236</v>
      </c>
    </row>
    <row r="186" customFormat="false" ht="59.5" hidden="false" customHeight="false" outlineLevel="0" collapsed="false">
      <c r="A186" s="4" t="s">
        <v>57</v>
      </c>
      <c r="B186" s="1" t="s">
        <v>1263</v>
      </c>
      <c r="C186" s="1"/>
      <c r="D186" s="1" t="s">
        <v>1264</v>
      </c>
      <c r="E186" s="1"/>
      <c r="F186" s="1"/>
      <c r="BE186" s="6" t="s">
        <v>1236</v>
      </c>
    </row>
    <row r="187" customFormat="false" ht="13.8" hidden="false" customHeight="false" outlineLevel="0" collapsed="false">
      <c r="A187" s="4" t="s">
        <v>57</v>
      </c>
      <c r="B187" s="1" t="s">
        <v>1265</v>
      </c>
      <c r="C187" s="1"/>
      <c r="D187" s="1" t="s">
        <v>1266</v>
      </c>
      <c r="E187" s="1"/>
      <c r="F187" s="1"/>
      <c r="BE187" s="6" t="s">
        <v>1236</v>
      </c>
    </row>
    <row r="188" customFormat="false" ht="36.5" hidden="false" customHeight="false" outlineLevel="0" collapsed="false">
      <c r="A188" s="4" t="s">
        <v>57</v>
      </c>
      <c r="B188" s="1" t="s">
        <v>1267</v>
      </c>
      <c r="C188" s="1"/>
      <c r="D188" s="1" t="s">
        <v>1268</v>
      </c>
      <c r="E188" s="1"/>
      <c r="F188" s="1"/>
      <c r="BE188" s="6" t="s">
        <v>1236</v>
      </c>
    </row>
    <row r="189" customFormat="false" ht="25" hidden="false" customHeight="false" outlineLevel="0" collapsed="false">
      <c r="A189" s="4" t="s">
        <v>57</v>
      </c>
      <c r="B189" s="1" t="s">
        <v>1269</v>
      </c>
      <c r="C189" s="1"/>
      <c r="D189" s="1" t="s">
        <v>1270</v>
      </c>
      <c r="E189" s="1"/>
      <c r="F189" s="1"/>
      <c r="BE189" s="6" t="s">
        <v>1236</v>
      </c>
    </row>
    <row r="190" customFormat="false" ht="48" hidden="false" customHeight="false" outlineLevel="0" collapsed="false">
      <c r="A190" s="4" t="s">
        <v>57</v>
      </c>
      <c r="B190" s="1" t="s">
        <v>1271</v>
      </c>
      <c r="C190" s="1"/>
      <c r="D190" s="1" t="s">
        <v>1272</v>
      </c>
      <c r="E190" s="1"/>
      <c r="F190" s="1"/>
      <c r="BE190" s="6" t="s">
        <v>1236</v>
      </c>
    </row>
    <row r="191" customFormat="false" ht="48" hidden="false" customHeight="false" outlineLevel="0" collapsed="false">
      <c r="A191" s="4" t="s">
        <v>57</v>
      </c>
      <c r="B191" s="1" t="s">
        <v>1273</v>
      </c>
      <c r="C191" s="1"/>
      <c r="D191" s="1" t="s">
        <v>1274</v>
      </c>
      <c r="E191" s="1"/>
      <c r="F191" s="1"/>
      <c r="BE191" s="6" t="s">
        <v>1236</v>
      </c>
    </row>
    <row r="192" customFormat="false" ht="36.5" hidden="false" customHeight="false" outlineLevel="0" collapsed="false">
      <c r="A192" s="4" t="s">
        <v>57</v>
      </c>
      <c r="B192" s="1" t="s">
        <v>1275</v>
      </c>
      <c r="C192" s="1"/>
      <c r="D192" s="1" t="s">
        <v>1276</v>
      </c>
      <c r="E192" s="1"/>
      <c r="F192" s="1"/>
      <c r="BE192" s="6" t="s">
        <v>1236</v>
      </c>
    </row>
    <row r="193" customFormat="false" ht="36.5" hidden="false" customHeight="false" outlineLevel="0" collapsed="false">
      <c r="A193" s="4" t="s">
        <v>57</v>
      </c>
      <c r="B193" s="1" t="s">
        <v>1277</v>
      </c>
      <c r="C193" s="1"/>
      <c r="D193" s="1" t="s">
        <v>1278</v>
      </c>
      <c r="E193" s="1"/>
      <c r="F193" s="1"/>
      <c r="BE193" s="6" t="s">
        <v>1236</v>
      </c>
    </row>
    <row r="194" customFormat="false" ht="36.5" hidden="false" customHeight="false" outlineLevel="0" collapsed="false">
      <c r="A194" s="4" t="s">
        <v>57</v>
      </c>
      <c r="B194" s="1" t="s">
        <v>1279</v>
      </c>
      <c r="C194" s="1"/>
      <c r="D194" s="1" t="s">
        <v>1280</v>
      </c>
      <c r="E194" s="1"/>
      <c r="F194" s="1"/>
      <c r="BE194" s="6" t="s">
        <v>1236</v>
      </c>
    </row>
    <row r="195" customFormat="false" ht="59.5" hidden="false" customHeight="false" outlineLevel="0" collapsed="false">
      <c r="A195" s="4" t="s">
        <v>57</v>
      </c>
      <c r="B195" s="1" t="s">
        <v>1281</v>
      </c>
      <c r="C195" s="1"/>
      <c r="D195" s="1" t="s">
        <v>1282</v>
      </c>
      <c r="E195" s="1"/>
      <c r="F195" s="1"/>
      <c r="BE195" s="6" t="s">
        <v>1236</v>
      </c>
    </row>
    <row r="196" customFormat="false" ht="48" hidden="false" customHeight="false" outlineLevel="0" collapsed="false">
      <c r="A196" s="4" t="s">
        <v>57</v>
      </c>
      <c r="B196" s="1" t="s">
        <v>1283</v>
      </c>
      <c r="C196" s="1"/>
      <c r="D196" s="1" t="s">
        <v>1284</v>
      </c>
      <c r="E196" s="1"/>
      <c r="F196" s="1"/>
      <c r="BE196" s="6" t="s">
        <v>1236</v>
      </c>
    </row>
    <row r="197" customFormat="false" ht="13.8" hidden="false" customHeight="false" outlineLevel="0" collapsed="false">
      <c r="A197" s="4" t="s">
        <v>57</v>
      </c>
      <c r="B197" s="1" t="s">
        <v>1285</v>
      </c>
      <c r="C197" s="1"/>
      <c r="D197" s="1" t="s">
        <v>1286</v>
      </c>
      <c r="E197" s="1"/>
      <c r="F197" s="1"/>
      <c r="BE197" s="6" t="s">
        <v>1236</v>
      </c>
    </row>
    <row r="198" customFormat="false" ht="36.5" hidden="false" customHeight="false" outlineLevel="0" collapsed="false">
      <c r="A198" s="4" t="s">
        <v>57</v>
      </c>
      <c r="B198" s="1" t="s">
        <v>1287</v>
      </c>
      <c r="C198" s="1"/>
      <c r="D198" s="1" t="s">
        <v>1288</v>
      </c>
      <c r="E198" s="1"/>
      <c r="F198" s="1"/>
      <c r="BE198" s="6" t="s">
        <v>1236</v>
      </c>
    </row>
    <row r="199" customFormat="false" ht="48" hidden="false" customHeight="false" outlineLevel="0" collapsed="false">
      <c r="A199" s="4" t="s">
        <v>57</v>
      </c>
      <c r="B199" s="1" t="s">
        <v>1289</v>
      </c>
      <c r="C199" s="1"/>
      <c r="D199" s="1" t="s">
        <v>1290</v>
      </c>
      <c r="E199" s="1"/>
      <c r="F199" s="1"/>
      <c r="BE199" s="6" t="s">
        <v>1236</v>
      </c>
    </row>
    <row r="200" customFormat="false" ht="25" hidden="false" customHeight="false" outlineLevel="0" collapsed="false">
      <c r="A200" s="4" t="s">
        <v>57</v>
      </c>
      <c r="B200" s="1" t="s">
        <v>1291</v>
      </c>
      <c r="C200" s="1"/>
      <c r="D200" s="1" t="s">
        <v>1292</v>
      </c>
      <c r="E200" s="1"/>
      <c r="F200" s="1"/>
      <c r="BE200" s="6" t="s">
        <v>1236</v>
      </c>
    </row>
    <row r="201" customFormat="false" ht="25" hidden="false" customHeight="false" outlineLevel="0" collapsed="false">
      <c r="A201" s="4" t="s">
        <v>57</v>
      </c>
      <c r="B201" s="1" t="s">
        <v>1293</v>
      </c>
      <c r="C201" s="1"/>
      <c r="D201" s="1" t="s">
        <v>1294</v>
      </c>
      <c r="E201" s="1"/>
      <c r="F201" s="1"/>
      <c r="BE201" s="6" t="s">
        <v>1236</v>
      </c>
    </row>
    <row r="202" customFormat="false" ht="59.5" hidden="false" customHeight="false" outlineLevel="0" collapsed="false">
      <c r="A202" s="4" t="s">
        <v>57</v>
      </c>
      <c r="B202" s="1" t="s">
        <v>1295</v>
      </c>
      <c r="C202" s="1"/>
      <c r="D202" s="1" t="s">
        <v>1296</v>
      </c>
      <c r="E202" s="1"/>
      <c r="F202" s="1"/>
      <c r="BE202" s="6" t="s">
        <v>1236</v>
      </c>
    </row>
    <row r="203" customFormat="false" ht="48" hidden="false" customHeight="false" outlineLevel="0" collapsed="false">
      <c r="A203" s="4" t="s">
        <v>57</v>
      </c>
      <c r="B203" s="1" t="s">
        <v>1297</v>
      </c>
      <c r="C203" s="1"/>
      <c r="D203" s="1" t="s">
        <v>1298</v>
      </c>
      <c r="E203" s="1"/>
      <c r="F203" s="1"/>
      <c r="BE203" s="6" t="s">
        <v>1236</v>
      </c>
    </row>
    <row r="204" customFormat="false" ht="36.5" hidden="false" customHeight="false" outlineLevel="0" collapsed="false">
      <c r="A204" s="4" t="s">
        <v>57</v>
      </c>
      <c r="B204" s="1" t="s">
        <v>1299</v>
      </c>
      <c r="C204" s="1"/>
      <c r="D204" s="1" t="s">
        <v>1300</v>
      </c>
      <c r="E204" s="1"/>
      <c r="F204" s="1"/>
      <c r="BE204" s="6" t="s">
        <v>1236</v>
      </c>
    </row>
    <row r="205" customFormat="false" ht="25" hidden="false" customHeight="false" outlineLevel="0" collapsed="false">
      <c r="A205" s="4" t="s">
        <v>57</v>
      </c>
      <c r="B205" s="1" t="s">
        <v>1301</v>
      </c>
      <c r="C205" s="1"/>
      <c r="D205" s="1" t="s">
        <v>1302</v>
      </c>
      <c r="E205" s="1"/>
      <c r="F205" s="1"/>
      <c r="BE205" s="6" t="s">
        <v>1236</v>
      </c>
    </row>
    <row r="206" customFormat="false" ht="36.5" hidden="false" customHeight="false" outlineLevel="0" collapsed="false">
      <c r="A206" s="4" t="s">
        <v>57</v>
      </c>
      <c r="B206" s="1" t="s">
        <v>1303</v>
      </c>
      <c r="C206" s="1"/>
      <c r="D206" s="1" t="s">
        <v>1304</v>
      </c>
      <c r="E206" s="1"/>
      <c r="F206" s="1"/>
      <c r="BE206" s="6" t="s">
        <v>1236</v>
      </c>
    </row>
    <row r="207" customFormat="false" ht="48" hidden="false" customHeight="false" outlineLevel="0" collapsed="false">
      <c r="A207" s="4" t="s">
        <v>57</v>
      </c>
      <c r="B207" s="1" t="s">
        <v>1305</v>
      </c>
      <c r="C207" s="1"/>
      <c r="D207" s="1" t="s">
        <v>1306</v>
      </c>
      <c r="E207" s="1"/>
      <c r="F207" s="1"/>
      <c r="BE207" s="6" t="s">
        <v>1236</v>
      </c>
    </row>
    <row r="208" customFormat="false" ht="48" hidden="false" customHeight="false" outlineLevel="0" collapsed="false">
      <c r="A208" s="4" t="s">
        <v>57</v>
      </c>
      <c r="B208" s="1" t="s">
        <v>1307</v>
      </c>
      <c r="C208" s="1"/>
      <c r="D208" s="1" t="s">
        <v>1308</v>
      </c>
      <c r="E208" s="1"/>
      <c r="F208" s="1"/>
      <c r="BE208" s="6" t="s">
        <v>1236</v>
      </c>
    </row>
    <row r="209" customFormat="false" ht="36.5" hidden="false" customHeight="false" outlineLevel="0" collapsed="false">
      <c r="A209" s="4" t="s">
        <v>57</v>
      </c>
      <c r="B209" s="1" t="s">
        <v>1309</v>
      </c>
      <c r="C209" s="1"/>
      <c r="D209" s="1" t="s">
        <v>1310</v>
      </c>
      <c r="E209" s="1"/>
      <c r="F209" s="1"/>
      <c r="BE209" s="6" t="s">
        <v>1236</v>
      </c>
    </row>
    <row r="210" customFormat="false" ht="48" hidden="false" customHeight="false" outlineLevel="0" collapsed="false">
      <c r="A210" s="4" t="s">
        <v>57</v>
      </c>
      <c r="B210" s="1" t="s">
        <v>1311</v>
      </c>
      <c r="C210" s="1"/>
      <c r="D210" s="1" t="s">
        <v>1312</v>
      </c>
      <c r="E210" s="1"/>
      <c r="F210" s="1"/>
      <c r="BE210" s="6" t="s">
        <v>1236</v>
      </c>
    </row>
    <row r="211" customFormat="false" ht="48" hidden="false" customHeight="false" outlineLevel="0" collapsed="false">
      <c r="A211" s="4" t="s">
        <v>57</v>
      </c>
      <c r="B211" s="1" t="s">
        <v>1313</v>
      </c>
      <c r="C211" s="1"/>
      <c r="D211" s="1" t="s">
        <v>1314</v>
      </c>
      <c r="E211" s="1"/>
      <c r="F211" s="1"/>
      <c r="BE211" s="6" t="s">
        <v>1236</v>
      </c>
    </row>
    <row r="212" customFormat="false" ht="25" hidden="false" customHeight="false" outlineLevel="0" collapsed="false">
      <c r="A212" s="4" t="s">
        <v>57</v>
      </c>
      <c r="B212" s="1" t="s">
        <v>1315</v>
      </c>
      <c r="C212" s="1"/>
      <c r="D212" s="1" t="s">
        <v>1316</v>
      </c>
      <c r="E212" s="1"/>
      <c r="F212" s="1"/>
      <c r="BE212" s="6" t="s">
        <v>1236</v>
      </c>
    </row>
    <row r="213" customFormat="false" ht="36.5" hidden="false" customHeight="false" outlineLevel="0" collapsed="false">
      <c r="A213" s="4" t="s">
        <v>57</v>
      </c>
      <c r="B213" s="1" t="s">
        <v>1317</v>
      </c>
      <c r="C213" s="1"/>
      <c r="D213" s="1" t="s">
        <v>1318</v>
      </c>
      <c r="E213" s="1"/>
      <c r="F213" s="1"/>
      <c r="BE213" s="6" t="s">
        <v>1236</v>
      </c>
    </row>
    <row r="214" customFormat="false" ht="36.5" hidden="false" customHeight="false" outlineLevel="0" collapsed="false">
      <c r="A214" s="4" t="s">
        <v>57</v>
      </c>
      <c r="B214" s="1" t="s">
        <v>1319</v>
      </c>
      <c r="C214" s="1"/>
      <c r="D214" s="1" t="s">
        <v>1320</v>
      </c>
      <c r="E214" s="1"/>
      <c r="F214" s="1"/>
      <c r="BE214" s="6" t="s">
        <v>1236</v>
      </c>
    </row>
    <row r="215" customFormat="false" ht="25" hidden="false" customHeight="false" outlineLevel="0" collapsed="false">
      <c r="A215" s="4" t="s">
        <v>57</v>
      </c>
      <c r="B215" s="1" t="s">
        <v>1321</v>
      </c>
      <c r="C215" s="1"/>
      <c r="D215" s="1" t="s">
        <v>1322</v>
      </c>
      <c r="E215" s="1"/>
      <c r="F215" s="1"/>
      <c r="BE215" s="6" t="s">
        <v>1236</v>
      </c>
    </row>
    <row r="216" customFormat="false" ht="82.5" hidden="false" customHeight="false" outlineLevel="0" collapsed="false">
      <c r="A216" s="4" t="s">
        <v>57</v>
      </c>
      <c r="B216" s="1" t="s">
        <v>1323</v>
      </c>
      <c r="C216" s="1"/>
      <c r="D216" s="1" t="s">
        <v>1324</v>
      </c>
      <c r="E216" s="1"/>
      <c r="F216" s="1"/>
      <c r="BE216" s="6" t="s">
        <v>1236</v>
      </c>
    </row>
    <row r="217" customFormat="false" ht="25" hidden="false" customHeight="false" outlineLevel="0" collapsed="false">
      <c r="A217" s="4" t="s">
        <v>57</v>
      </c>
      <c r="B217" s="1" t="s">
        <v>1325</v>
      </c>
      <c r="C217" s="1"/>
      <c r="D217" s="1" t="s">
        <v>1326</v>
      </c>
      <c r="E217" s="1"/>
      <c r="F217" s="1"/>
      <c r="BE217" s="6" t="s">
        <v>1236</v>
      </c>
    </row>
    <row r="218" customFormat="false" ht="25" hidden="false" customHeight="false" outlineLevel="0" collapsed="false">
      <c r="A218" s="4" t="s">
        <v>57</v>
      </c>
      <c r="B218" s="1" t="s">
        <v>1327</v>
      </c>
      <c r="C218" s="1"/>
      <c r="D218" s="1" t="s">
        <v>1328</v>
      </c>
      <c r="E218" s="1"/>
      <c r="F218" s="1"/>
      <c r="BE218" s="6" t="s">
        <v>1236</v>
      </c>
    </row>
    <row r="219" customFormat="false" ht="62" hidden="false" customHeight="false" outlineLevel="0" collapsed="false">
      <c r="A219" s="4" t="s">
        <v>57</v>
      </c>
      <c r="B219" s="20" t="s">
        <v>1329</v>
      </c>
      <c r="C219" s="1"/>
      <c r="D219" s="20" t="s">
        <v>1330</v>
      </c>
      <c r="BE219" s="6" t="s">
        <v>1331</v>
      </c>
    </row>
    <row r="220" customFormat="false" ht="50" hidden="false" customHeight="false" outlineLevel="0" collapsed="false">
      <c r="A220" s="4" t="s">
        <v>57</v>
      </c>
      <c r="B220" s="20" t="s">
        <v>1332</v>
      </c>
      <c r="C220" s="1"/>
      <c r="D220" s="20" t="s">
        <v>1333</v>
      </c>
      <c r="BE220" s="6" t="s">
        <v>1331</v>
      </c>
    </row>
    <row r="221" customFormat="false" ht="62" hidden="false" customHeight="false" outlineLevel="0" collapsed="false">
      <c r="A221" s="4" t="s">
        <v>57</v>
      </c>
      <c r="B221" s="20" t="s">
        <v>1334</v>
      </c>
      <c r="C221" s="1"/>
      <c r="D221" s="20" t="s">
        <v>1335</v>
      </c>
      <c r="BE221" s="6" t="s">
        <v>1331</v>
      </c>
    </row>
    <row r="222" customFormat="false" ht="38" hidden="false" customHeight="false" outlineLevel="0" collapsed="false">
      <c r="A222" s="4" t="s">
        <v>57</v>
      </c>
      <c r="B222" s="20" t="s">
        <v>1336</v>
      </c>
      <c r="C222" s="1"/>
      <c r="D222" s="20" t="s">
        <v>1337</v>
      </c>
      <c r="BE222" s="6" t="s">
        <v>1331</v>
      </c>
    </row>
    <row r="223" customFormat="false" ht="26" hidden="false" customHeight="false" outlineLevel="0" collapsed="false">
      <c r="A223" s="4" t="s">
        <v>57</v>
      </c>
      <c r="B223" s="20" t="s">
        <v>1338</v>
      </c>
      <c r="C223" s="1"/>
      <c r="D223" s="20" t="s">
        <v>1339</v>
      </c>
      <c r="BE223" s="6" t="s">
        <v>1331</v>
      </c>
    </row>
    <row r="224" customFormat="false" ht="86" hidden="false" customHeight="false" outlineLevel="0" collapsed="false">
      <c r="A224" s="4" t="s">
        <v>57</v>
      </c>
      <c r="B224" s="20" t="s">
        <v>1340</v>
      </c>
      <c r="C224" s="1"/>
      <c r="D224" s="20" t="s">
        <v>1341</v>
      </c>
      <c r="BE224" s="6" t="s">
        <v>1331</v>
      </c>
    </row>
    <row r="225" customFormat="false" ht="50" hidden="false" customHeight="false" outlineLevel="0" collapsed="false">
      <c r="A225" s="4" t="s">
        <v>57</v>
      </c>
      <c r="B225" s="20" t="s">
        <v>1342</v>
      </c>
      <c r="C225" s="1"/>
      <c r="D225" s="20" t="s">
        <v>1343</v>
      </c>
      <c r="BE225" s="6" t="s">
        <v>1331</v>
      </c>
    </row>
    <row r="226" customFormat="false" ht="15" hidden="false" customHeight="false" outlineLevel="0" collapsed="false">
      <c r="A226" s="4" t="s">
        <v>57</v>
      </c>
      <c r="B226" s="20" t="s">
        <v>1344</v>
      </c>
      <c r="C226" s="1"/>
      <c r="D226" s="20" t="s">
        <v>1345</v>
      </c>
      <c r="BE226" s="6" t="s">
        <v>1331</v>
      </c>
    </row>
    <row r="227" customFormat="false" ht="86" hidden="false" customHeight="false" outlineLevel="0" collapsed="false">
      <c r="A227" s="4" t="s">
        <v>57</v>
      </c>
      <c r="B227" s="20" t="s">
        <v>1346</v>
      </c>
      <c r="C227" s="1"/>
      <c r="D227" s="20" t="s">
        <v>1347</v>
      </c>
      <c r="BE227" s="6" t="s">
        <v>1331</v>
      </c>
    </row>
    <row r="228" customFormat="false" ht="62" hidden="false" customHeight="false" outlineLevel="0" collapsed="false">
      <c r="A228" s="4" t="s">
        <v>57</v>
      </c>
      <c r="B228" s="20" t="s">
        <v>1348</v>
      </c>
      <c r="C228" s="1"/>
      <c r="D228" s="20" t="s">
        <v>1349</v>
      </c>
      <c r="BE228" s="6" t="s">
        <v>1331</v>
      </c>
    </row>
    <row r="229" customFormat="false" ht="50" hidden="false" customHeight="false" outlineLevel="0" collapsed="false">
      <c r="A229" s="4" t="s">
        <v>57</v>
      </c>
      <c r="B229" s="20" t="s">
        <v>1350</v>
      </c>
      <c r="C229" s="1"/>
      <c r="D229" s="20" t="s">
        <v>1351</v>
      </c>
      <c r="BE229" s="6" t="s">
        <v>1331</v>
      </c>
    </row>
    <row r="230" customFormat="false" ht="50" hidden="false" customHeight="false" outlineLevel="0" collapsed="false">
      <c r="A230" s="4" t="s">
        <v>57</v>
      </c>
      <c r="B230" s="20" t="s">
        <v>1352</v>
      </c>
      <c r="C230" s="1"/>
      <c r="D230" s="20" t="s">
        <v>1353</v>
      </c>
      <c r="BE230" s="6" t="s">
        <v>1331</v>
      </c>
    </row>
    <row r="231" customFormat="false" ht="38" hidden="false" customHeight="false" outlineLevel="0" collapsed="false">
      <c r="A231" s="4" t="s">
        <v>57</v>
      </c>
      <c r="B231" s="20" t="s">
        <v>1354</v>
      </c>
      <c r="C231" s="1"/>
      <c r="D231" s="20" t="s">
        <v>1355</v>
      </c>
      <c r="BE231" s="6" t="s">
        <v>1331</v>
      </c>
    </row>
    <row r="232" customFormat="false" ht="50" hidden="false" customHeight="false" outlineLevel="0" collapsed="false">
      <c r="A232" s="4" t="s">
        <v>57</v>
      </c>
      <c r="B232" s="20" t="s">
        <v>1356</v>
      </c>
      <c r="C232" s="1"/>
      <c r="D232" s="20" t="s">
        <v>1357</v>
      </c>
      <c r="BE232" s="6" t="s">
        <v>1331</v>
      </c>
    </row>
    <row r="233" customFormat="false" ht="26" hidden="false" customHeight="false" outlineLevel="0" collapsed="false">
      <c r="A233" s="4" t="s">
        <v>57</v>
      </c>
      <c r="B233" s="20" t="s">
        <v>1358</v>
      </c>
      <c r="C233" s="1"/>
      <c r="D233" s="20" t="s">
        <v>1359</v>
      </c>
      <c r="BE233" s="6" t="s">
        <v>1331</v>
      </c>
    </row>
    <row r="234" customFormat="false" ht="74" hidden="false" customHeight="false" outlineLevel="0" collapsed="false">
      <c r="A234" s="4" t="s">
        <v>57</v>
      </c>
      <c r="B234" s="20" t="s">
        <v>1360</v>
      </c>
      <c r="C234" s="1"/>
      <c r="D234" s="20" t="s">
        <v>1361</v>
      </c>
      <c r="BE234" s="6" t="s">
        <v>1331</v>
      </c>
    </row>
    <row r="235" customFormat="false" ht="26" hidden="false" customHeight="false" outlineLevel="0" collapsed="false">
      <c r="A235" s="4" t="s">
        <v>57</v>
      </c>
      <c r="B235" s="20" t="s">
        <v>1362</v>
      </c>
      <c r="C235" s="1"/>
      <c r="D235" s="20" t="s">
        <v>1363</v>
      </c>
      <c r="BE235" s="6" t="s">
        <v>1331</v>
      </c>
    </row>
    <row r="236" customFormat="false" ht="50" hidden="false" customHeight="false" outlineLevel="0" collapsed="false">
      <c r="A236" s="4" t="s">
        <v>57</v>
      </c>
      <c r="B236" s="20" t="s">
        <v>1364</v>
      </c>
      <c r="C236" s="1"/>
      <c r="D236" s="20" t="s">
        <v>1365</v>
      </c>
      <c r="BE236" s="6" t="s">
        <v>1331</v>
      </c>
    </row>
    <row r="237" customFormat="false" ht="38" hidden="false" customHeight="false" outlineLevel="0" collapsed="false">
      <c r="A237" s="4" t="s">
        <v>57</v>
      </c>
      <c r="B237" s="20" t="s">
        <v>1366</v>
      </c>
      <c r="C237" s="1"/>
      <c r="D237" s="20" t="s">
        <v>1367</v>
      </c>
      <c r="BE237" s="6" t="s">
        <v>1331</v>
      </c>
    </row>
    <row r="238" customFormat="false" ht="26" hidden="false" customHeight="false" outlineLevel="0" collapsed="false">
      <c r="A238" s="4" t="s">
        <v>57</v>
      </c>
      <c r="B238" s="20" t="s">
        <v>1368</v>
      </c>
      <c r="C238" s="1"/>
      <c r="D238" s="20" t="s">
        <v>1369</v>
      </c>
      <c r="BE238" s="6" t="s">
        <v>1331</v>
      </c>
    </row>
    <row r="239" customFormat="false" ht="26" hidden="false" customHeight="false" outlineLevel="0" collapsed="false">
      <c r="A239" s="4" t="s">
        <v>57</v>
      </c>
      <c r="B239" s="20" t="s">
        <v>1370</v>
      </c>
      <c r="C239" s="1"/>
      <c r="D239" s="20" t="s">
        <v>1371</v>
      </c>
      <c r="BE239" s="6" t="s">
        <v>1331</v>
      </c>
    </row>
    <row r="240" customFormat="false" ht="26" hidden="false" customHeight="false" outlineLevel="0" collapsed="false">
      <c r="A240" s="4" t="s">
        <v>57</v>
      </c>
      <c r="B240" s="20" t="s">
        <v>1372</v>
      </c>
      <c r="C240" s="1"/>
      <c r="D240" s="20" t="s">
        <v>1373</v>
      </c>
      <c r="BE240" s="6" t="s">
        <v>1331</v>
      </c>
    </row>
    <row r="241" customFormat="false" ht="26" hidden="false" customHeight="false" outlineLevel="0" collapsed="false">
      <c r="A241" s="4" t="s">
        <v>57</v>
      </c>
      <c r="B241" s="20" t="s">
        <v>1374</v>
      </c>
      <c r="C241" s="1"/>
      <c r="D241" s="20" t="s">
        <v>1375</v>
      </c>
      <c r="BE241" s="6" t="s">
        <v>1331</v>
      </c>
    </row>
    <row r="242" customFormat="false" ht="15" hidden="false" customHeight="false" outlineLevel="0" collapsed="false">
      <c r="A242" s="4" t="s">
        <v>57</v>
      </c>
      <c r="B242" s="20" t="s">
        <v>1376</v>
      </c>
      <c r="C242" s="1"/>
      <c r="D242" s="20" t="s">
        <v>1377</v>
      </c>
      <c r="BE242" s="6" t="s">
        <v>1331</v>
      </c>
    </row>
    <row r="243" customFormat="false" ht="38" hidden="false" customHeight="false" outlineLevel="0" collapsed="false">
      <c r="A243" s="4" t="s">
        <v>57</v>
      </c>
      <c r="B243" s="20" t="s">
        <v>1378</v>
      </c>
      <c r="C243" s="1"/>
      <c r="D243" s="20" t="s">
        <v>1379</v>
      </c>
      <c r="BE243" s="6" t="s">
        <v>1331</v>
      </c>
    </row>
    <row r="244" customFormat="false" ht="38" hidden="false" customHeight="false" outlineLevel="0" collapsed="false">
      <c r="A244" s="4" t="s">
        <v>57</v>
      </c>
      <c r="B244" s="20" t="s">
        <v>1380</v>
      </c>
      <c r="C244" s="1"/>
      <c r="D244" s="20" t="s">
        <v>1381</v>
      </c>
      <c r="BE244" s="6" t="s">
        <v>1331</v>
      </c>
    </row>
    <row r="245" customFormat="false" ht="26" hidden="false" customHeight="false" outlineLevel="0" collapsed="false">
      <c r="A245" s="4" t="s">
        <v>57</v>
      </c>
      <c r="B245" s="20" t="s">
        <v>1382</v>
      </c>
      <c r="C245" s="1"/>
      <c r="D245" s="20" t="s">
        <v>1383</v>
      </c>
      <c r="BE245" s="6" t="s">
        <v>1331</v>
      </c>
    </row>
    <row r="246" customFormat="false" ht="38" hidden="false" customHeight="false" outlineLevel="0" collapsed="false">
      <c r="A246" s="4" t="s">
        <v>57</v>
      </c>
      <c r="B246" s="20" t="s">
        <v>1384</v>
      </c>
      <c r="C246" s="1"/>
      <c r="D246" s="20" t="s">
        <v>1385</v>
      </c>
      <c r="BE246" s="6" t="s">
        <v>1331</v>
      </c>
    </row>
    <row r="247" customFormat="false" ht="38" hidden="false" customHeight="false" outlineLevel="0" collapsed="false">
      <c r="A247" s="4" t="s">
        <v>57</v>
      </c>
      <c r="B247" s="20" t="s">
        <v>1386</v>
      </c>
      <c r="C247" s="1"/>
      <c r="D247" s="20" t="s">
        <v>1387</v>
      </c>
      <c r="BE247" s="6" t="s">
        <v>1331</v>
      </c>
    </row>
    <row r="248" customFormat="false" ht="62" hidden="false" customHeight="false" outlineLevel="0" collapsed="false">
      <c r="A248" s="4" t="s">
        <v>57</v>
      </c>
      <c r="B248" s="20" t="s">
        <v>1388</v>
      </c>
      <c r="C248" s="1"/>
      <c r="D248" s="20" t="s">
        <v>1389</v>
      </c>
      <c r="BE248" s="6" t="s">
        <v>1331</v>
      </c>
    </row>
    <row r="249" customFormat="false" ht="26" hidden="false" customHeight="false" outlineLevel="0" collapsed="false">
      <c r="A249" s="4" t="s">
        <v>57</v>
      </c>
      <c r="B249" s="20" t="s">
        <v>1390</v>
      </c>
      <c r="C249" s="1"/>
      <c r="D249" s="20" t="s">
        <v>1391</v>
      </c>
      <c r="BE249" s="6" t="s">
        <v>1331</v>
      </c>
    </row>
    <row r="250" customFormat="false" ht="62" hidden="false" customHeight="false" outlineLevel="0" collapsed="false">
      <c r="A250" s="4" t="s">
        <v>57</v>
      </c>
      <c r="B250" s="20" t="s">
        <v>1392</v>
      </c>
      <c r="C250" s="1"/>
      <c r="D250" s="20" t="s">
        <v>1393</v>
      </c>
      <c r="BE250" s="6" t="s">
        <v>1331</v>
      </c>
    </row>
    <row r="251" customFormat="false" ht="25" hidden="false" customHeight="false" outlineLevel="0" collapsed="false">
      <c r="A251" s="4" t="s">
        <v>57</v>
      </c>
      <c r="B251" s="5" t="s">
        <v>1394</v>
      </c>
      <c r="C251" s="1"/>
      <c r="D251" s="5" t="s">
        <v>1395</v>
      </c>
      <c r="E251" s="21"/>
      <c r="BE251" s="6" t="s">
        <v>1396</v>
      </c>
    </row>
    <row r="252" customFormat="false" ht="25" hidden="false" customHeight="false" outlineLevel="0" collapsed="false">
      <c r="A252" s="4" t="s">
        <v>57</v>
      </c>
      <c r="B252" s="5" t="s">
        <v>1397</v>
      </c>
      <c r="C252" s="1"/>
      <c r="D252" s="5" t="s">
        <v>1398</v>
      </c>
      <c r="E252" s="21"/>
      <c r="BE252" s="6" t="s">
        <v>1396</v>
      </c>
    </row>
    <row r="253" customFormat="false" ht="25" hidden="false" customHeight="false" outlineLevel="0" collapsed="false">
      <c r="A253" s="4" t="s">
        <v>57</v>
      </c>
      <c r="B253" s="5" t="s">
        <v>1399</v>
      </c>
      <c r="C253" s="1"/>
      <c r="D253" s="5" t="s">
        <v>1400</v>
      </c>
      <c r="E253" s="21"/>
      <c r="BE253" s="6" t="s">
        <v>1396</v>
      </c>
    </row>
    <row r="254" customFormat="false" ht="25" hidden="false" customHeight="false" outlineLevel="0" collapsed="false">
      <c r="A254" s="4" t="s">
        <v>57</v>
      </c>
      <c r="B254" s="5" t="s">
        <v>1401</v>
      </c>
      <c r="C254" s="1"/>
      <c r="D254" s="5" t="s">
        <v>1402</v>
      </c>
      <c r="E254" s="21"/>
      <c r="BE254" s="6" t="s">
        <v>1396</v>
      </c>
    </row>
    <row r="255" customFormat="false" ht="36.5" hidden="false" customHeight="false" outlineLevel="0" collapsed="false">
      <c r="A255" s="4" t="s">
        <v>57</v>
      </c>
      <c r="B255" s="5" t="s">
        <v>1403</v>
      </c>
      <c r="C255" s="1"/>
      <c r="D255" s="5" t="s">
        <v>1404</v>
      </c>
      <c r="E255" s="21"/>
      <c r="BE255" s="6" t="s">
        <v>1396</v>
      </c>
    </row>
    <row r="256" customFormat="false" ht="59.5" hidden="false" customHeight="false" outlineLevel="0" collapsed="false">
      <c r="A256" s="4" t="s">
        <v>57</v>
      </c>
      <c r="B256" s="5" t="s">
        <v>1405</v>
      </c>
      <c r="C256" s="1"/>
      <c r="D256" s="5" t="s">
        <v>1406</v>
      </c>
      <c r="E256" s="21"/>
      <c r="BE256" s="6" t="s">
        <v>1396</v>
      </c>
    </row>
    <row r="257" customFormat="false" ht="25" hidden="false" customHeight="false" outlineLevel="0" collapsed="false">
      <c r="A257" s="4" t="s">
        <v>57</v>
      </c>
      <c r="B257" s="5" t="s">
        <v>1407</v>
      </c>
      <c r="C257" s="1"/>
      <c r="D257" s="5" t="s">
        <v>1408</v>
      </c>
      <c r="E257" s="21"/>
      <c r="BE257" s="6" t="s">
        <v>1396</v>
      </c>
    </row>
    <row r="258" customFormat="false" ht="48" hidden="false" customHeight="false" outlineLevel="0" collapsed="false">
      <c r="A258" s="4" t="s">
        <v>57</v>
      </c>
      <c r="B258" s="5" t="s">
        <v>1409</v>
      </c>
      <c r="C258" s="1"/>
      <c r="D258" s="5" t="s">
        <v>1410</v>
      </c>
      <c r="E258" s="21"/>
      <c r="BE258" s="6" t="s">
        <v>1396</v>
      </c>
    </row>
    <row r="259" customFormat="false" ht="25" hidden="false" customHeight="false" outlineLevel="0" collapsed="false">
      <c r="A259" s="4" t="s">
        <v>57</v>
      </c>
      <c r="B259" s="5" t="s">
        <v>1411</v>
      </c>
      <c r="C259" s="1"/>
      <c r="D259" s="5" t="s">
        <v>1412</v>
      </c>
      <c r="E259" s="21"/>
      <c r="BE259" s="6" t="s">
        <v>1396</v>
      </c>
    </row>
    <row r="260" customFormat="false" ht="48" hidden="false" customHeight="false" outlineLevel="0" collapsed="false">
      <c r="A260" s="4" t="s">
        <v>57</v>
      </c>
      <c r="B260" s="5" t="s">
        <v>1413</v>
      </c>
      <c r="C260" s="1"/>
      <c r="D260" s="5" t="s">
        <v>1414</v>
      </c>
      <c r="E260" s="21"/>
      <c r="BE260" s="6" t="s">
        <v>1396</v>
      </c>
    </row>
    <row r="261" customFormat="false" ht="36.5" hidden="false" customHeight="false" outlineLevel="0" collapsed="false">
      <c r="A261" s="4" t="s">
        <v>57</v>
      </c>
      <c r="B261" s="5" t="s">
        <v>1415</v>
      </c>
      <c r="C261" s="1"/>
      <c r="D261" s="5" t="s">
        <v>1416</v>
      </c>
      <c r="E261" s="21"/>
      <c r="BE261" s="6" t="s">
        <v>1396</v>
      </c>
    </row>
    <row r="262" customFormat="false" ht="13.8" hidden="false" customHeight="false" outlineLevel="0" collapsed="false">
      <c r="A262" s="4" t="s">
        <v>57</v>
      </c>
      <c r="B262" s="5" t="s">
        <v>1417</v>
      </c>
      <c r="C262" s="1"/>
      <c r="D262" s="5" t="s">
        <v>1418</v>
      </c>
      <c r="E262" s="21"/>
      <c r="BE262" s="6" t="s">
        <v>1396</v>
      </c>
    </row>
    <row r="263" customFormat="false" ht="36.5" hidden="false" customHeight="false" outlineLevel="0" collapsed="false">
      <c r="A263" s="4" t="s">
        <v>57</v>
      </c>
      <c r="B263" s="5" t="s">
        <v>1419</v>
      </c>
      <c r="C263" s="1"/>
      <c r="D263" s="5" t="s">
        <v>1420</v>
      </c>
      <c r="E263" s="21"/>
      <c r="BE263" s="6" t="s">
        <v>1396</v>
      </c>
    </row>
    <row r="264" customFormat="false" ht="36.5" hidden="false" customHeight="false" outlineLevel="0" collapsed="false">
      <c r="A264" s="4" t="s">
        <v>57</v>
      </c>
      <c r="B264" s="5" t="s">
        <v>1421</v>
      </c>
      <c r="C264" s="1"/>
      <c r="D264" s="5" t="s">
        <v>1422</v>
      </c>
      <c r="E264" s="21"/>
      <c r="BE264" s="6" t="s">
        <v>1396</v>
      </c>
    </row>
    <row r="265" customFormat="false" ht="59.5" hidden="false" customHeight="false" outlineLevel="0" collapsed="false">
      <c r="A265" s="4" t="s">
        <v>57</v>
      </c>
      <c r="B265" s="5" t="s">
        <v>1423</v>
      </c>
      <c r="C265" s="1"/>
      <c r="D265" s="5" t="s">
        <v>1424</v>
      </c>
      <c r="E265" s="21"/>
      <c r="BE265" s="6" t="s">
        <v>1396</v>
      </c>
    </row>
    <row r="266" customFormat="false" ht="25" hidden="false" customHeight="false" outlineLevel="0" collapsed="false">
      <c r="A266" s="4" t="s">
        <v>57</v>
      </c>
      <c r="B266" s="5" t="s">
        <v>1425</v>
      </c>
      <c r="C266" s="1"/>
      <c r="D266" s="5" t="s">
        <v>1426</v>
      </c>
      <c r="E266" s="21"/>
      <c r="BE266" s="6" t="s">
        <v>1396</v>
      </c>
    </row>
    <row r="267" customFormat="false" ht="36.5" hidden="false" customHeight="false" outlineLevel="0" collapsed="false">
      <c r="A267" s="4" t="s">
        <v>57</v>
      </c>
      <c r="B267" s="5" t="s">
        <v>1427</v>
      </c>
      <c r="C267" s="1"/>
      <c r="D267" s="5" t="s">
        <v>1428</v>
      </c>
      <c r="E267" s="21"/>
      <c r="BE267" s="6" t="s">
        <v>1396</v>
      </c>
    </row>
    <row r="268" customFormat="false" ht="36.5" hidden="false" customHeight="false" outlineLevel="0" collapsed="false">
      <c r="A268" s="4" t="s">
        <v>57</v>
      </c>
      <c r="B268" s="5" t="s">
        <v>1429</v>
      </c>
      <c r="C268" s="1"/>
      <c r="D268" s="5" t="s">
        <v>1430</v>
      </c>
      <c r="E268" s="21"/>
      <c r="BE268" s="6" t="s">
        <v>1396</v>
      </c>
    </row>
    <row r="269" customFormat="false" ht="59.5" hidden="false" customHeight="false" outlineLevel="0" collapsed="false">
      <c r="A269" s="4" t="s">
        <v>57</v>
      </c>
      <c r="B269" s="5" t="s">
        <v>1431</v>
      </c>
      <c r="C269" s="1"/>
      <c r="D269" s="5" t="s">
        <v>1432</v>
      </c>
      <c r="E269" s="21"/>
      <c r="BE269" s="6" t="s">
        <v>1396</v>
      </c>
    </row>
    <row r="270" customFormat="false" ht="13.8" hidden="false" customHeight="false" outlineLevel="0" collapsed="false">
      <c r="A270" s="4" t="s">
        <v>57</v>
      </c>
      <c r="B270" s="5" t="s">
        <v>1433</v>
      </c>
      <c r="C270" s="1"/>
      <c r="D270" s="5" t="s">
        <v>1434</v>
      </c>
      <c r="E270" s="21"/>
      <c r="BE270" s="6" t="s">
        <v>1396</v>
      </c>
    </row>
    <row r="271" customFormat="false" ht="48" hidden="false" customHeight="false" outlineLevel="0" collapsed="false">
      <c r="A271" s="4" t="s">
        <v>57</v>
      </c>
      <c r="B271" s="5" t="s">
        <v>1435</v>
      </c>
      <c r="C271" s="1"/>
      <c r="D271" s="5" t="s">
        <v>1436</v>
      </c>
      <c r="E271" s="21"/>
      <c r="BE271" s="6" t="s">
        <v>1396</v>
      </c>
    </row>
    <row r="272" customFormat="false" ht="59.5" hidden="false" customHeight="false" outlineLevel="0" collapsed="false">
      <c r="A272" s="4" t="s">
        <v>57</v>
      </c>
      <c r="B272" s="5" t="s">
        <v>1437</v>
      </c>
      <c r="C272" s="1"/>
      <c r="D272" s="5" t="s">
        <v>1438</v>
      </c>
      <c r="E272" s="21"/>
      <c r="BE272" s="6" t="s">
        <v>1396</v>
      </c>
    </row>
    <row r="273" customFormat="false" ht="36.5" hidden="false" customHeight="false" outlineLevel="0" collapsed="false">
      <c r="A273" s="4" t="s">
        <v>57</v>
      </c>
      <c r="B273" s="5" t="s">
        <v>1439</v>
      </c>
      <c r="C273" s="1"/>
      <c r="D273" s="5" t="s">
        <v>1440</v>
      </c>
      <c r="E273" s="21"/>
      <c r="BE273" s="6" t="s">
        <v>1396</v>
      </c>
    </row>
    <row r="274" customFormat="false" ht="25" hidden="false" customHeight="false" outlineLevel="0" collapsed="false">
      <c r="A274" s="4" t="s">
        <v>57</v>
      </c>
      <c r="B274" s="5" t="s">
        <v>1441</v>
      </c>
      <c r="C274" s="1"/>
      <c r="D274" s="5" t="s">
        <v>1442</v>
      </c>
      <c r="E274" s="21"/>
      <c r="BE274" s="6" t="s">
        <v>1396</v>
      </c>
    </row>
    <row r="275" customFormat="false" ht="36.5" hidden="false" customHeight="false" outlineLevel="0" collapsed="false">
      <c r="A275" s="4" t="s">
        <v>57</v>
      </c>
      <c r="B275" s="5" t="s">
        <v>1443</v>
      </c>
      <c r="C275" s="1"/>
      <c r="D275" s="5" t="s">
        <v>1444</v>
      </c>
      <c r="E275" s="21"/>
      <c r="BE275" s="6" t="s">
        <v>1396</v>
      </c>
    </row>
    <row r="276" customFormat="false" ht="71" hidden="false" customHeight="false" outlineLevel="0" collapsed="false">
      <c r="A276" s="4" t="s">
        <v>57</v>
      </c>
      <c r="B276" s="5" t="s">
        <v>1445</v>
      </c>
      <c r="C276" s="1"/>
      <c r="D276" s="5" t="s">
        <v>1446</v>
      </c>
      <c r="E276" s="21"/>
      <c r="BE276" s="6" t="s">
        <v>1396</v>
      </c>
    </row>
    <row r="277" customFormat="false" ht="36.5" hidden="false" customHeight="false" outlineLevel="0" collapsed="false">
      <c r="A277" s="4" t="s">
        <v>57</v>
      </c>
      <c r="B277" s="5" t="s">
        <v>1447</v>
      </c>
      <c r="C277" s="1"/>
      <c r="D277" s="5" t="s">
        <v>1448</v>
      </c>
      <c r="E277" s="21"/>
      <c r="BE277" s="6" t="s">
        <v>1396</v>
      </c>
    </row>
    <row r="278" customFormat="false" ht="36.5" hidden="false" customHeight="false" outlineLevel="0" collapsed="false">
      <c r="A278" s="4" t="s">
        <v>57</v>
      </c>
      <c r="B278" s="5" t="s">
        <v>1449</v>
      </c>
      <c r="C278" s="1"/>
      <c r="D278" s="5" t="s">
        <v>1450</v>
      </c>
      <c r="E278" s="21"/>
      <c r="BE278" s="6" t="s">
        <v>1396</v>
      </c>
    </row>
    <row r="279" customFormat="false" ht="36.5" hidden="false" customHeight="false" outlineLevel="0" collapsed="false">
      <c r="A279" s="4" t="s">
        <v>57</v>
      </c>
      <c r="B279" s="5" t="s">
        <v>1451</v>
      </c>
      <c r="C279" s="1"/>
      <c r="D279" s="5" t="s">
        <v>1452</v>
      </c>
      <c r="E279" s="21"/>
      <c r="BE279" s="6" t="s">
        <v>1396</v>
      </c>
    </row>
    <row r="280" customFormat="false" ht="36.5" hidden="false" customHeight="false" outlineLevel="0" collapsed="false">
      <c r="A280" s="4" t="s">
        <v>57</v>
      </c>
      <c r="B280" s="5" t="s">
        <v>1453</v>
      </c>
      <c r="C280" s="1"/>
      <c r="D280" s="5" t="s">
        <v>1454</v>
      </c>
      <c r="E280" s="21"/>
      <c r="BE280" s="6" t="s">
        <v>1396</v>
      </c>
    </row>
    <row r="281" customFormat="false" ht="48" hidden="false" customHeight="false" outlineLevel="0" collapsed="false">
      <c r="A281" s="4" t="s">
        <v>57</v>
      </c>
      <c r="B281" s="5" t="s">
        <v>1455</v>
      </c>
      <c r="C281" s="1"/>
      <c r="D281" s="5" t="s">
        <v>1456</v>
      </c>
      <c r="E281" s="21"/>
      <c r="BE281" s="6" t="s">
        <v>1396</v>
      </c>
    </row>
    <row r="282" customFormat="false" ht="36.5" hidden="false" customHeight="false" outlineLevel="0" collapsed="false">
      <c r="A282" s="4" t="s">
        <v>57</v>
      </c>
      <c r="B282" s="5" t="s">
        <v>1457</v>
      </c>
      <c r="C282" s="1"/>
      <c r="D282" s="5" t="s">
        <v>1458</v>
      </c>
      <c r="E282" s="21"/>
      <c r="BE282" s="6" t="s">
        <v>1396</v>
      </c>
    </row>
    <row r="283" customFormat="false" ht="105.5" hidden="false" customHeight="false" outlineLevel="0" collapsed="false">
      <c r="A283" s="4" t="s">
        <v>57</v>
      </c>
      <c r="B283" s="5" t="s">
        <v>1459</v>
      </c>
      <c r="C283" s="1"/>
      <c r="D283" s="5" t="s">
        <v>1460</v>
      </c>
      <c r="E283" s="21"/>
      <c r="BE283" s="6" t="s">
        <v>1396</v>
      </c>
    </row>
    <row r="284" customFormat="false" ht="105.5" hidden="false" customHeight="false" outlineLevel="0" collapsed="false">
      <c r="A284" s="4" t="s">
        <v>57</v>
      </c>
      <c r="B284" s="5" t="s">
        <v>1459</v>
      </c>
      <c r="C284" s="1"/>
      <c r="D284" s="5" t="s">
        <v>1460</v>
      </c>
      <c r="E284" s="21"/>
      <c r="BE284" s="6" t="s">
        <v>1396</v>
      </c>
    </row>
    <row r="285" customFormat="false" ht="36.5" hidden="false" customHeight="false" outlineLevel="0" collapsed="false">
      <c r="A285" s="4" t="s">
        <v>57</v>
      </c>
      <c r="B285" s="5" t="s">
        <v>1461</v>
      </c>
      <c r="C285" s="1"/>
      <c r="D285" s="5" t="s">
        <v>1462</v>
      </c>
      <c r="E285" s="21"/>
      <c r="BE285" s="6" t="s">
        <v>1396</v>
      </c>
    </row>
    <row r="286" customFormat="false" ht="71" hidden="false" customHeight="false" outlineLevel="0" collapsed="false">
      <c r="A286" s="4" t="s">
        <v>57</v>
      </c>
      <c r="B286" s="5" t="s">
        <v>1463</v>
      </c>
      <c r="C286" s="1"/>
      <c r="D286" s="5" t="s">
        <v>1464</v>
      </c>
      <c r="E286" s="21"/>
      <c r="BE286" s="6" t="s">
        <v>1396</v>
      </c>
    </row>
    <row r="287" customFormat="false" ht="82.5" hidden="false" customHeight="false" outlineLevel="0" collapsed="false">
      <c r="A287" s="4" t="s">
        <v>57</v>
      </c>
      <c r="B287" s="5" t="s">
        <v>1465</v>
      </c>
      <c r="C287" s="1"/>
      <c r="D287" s="5" t="s">
        <v>1466</v>
      </c>
      <c r="E287" s="21"/>
      <c r="BE287" s="6" t="s">
        <v>1396</v>
      </c>
    </row>
    <row r="288" customFormat="false" ht="13.8" hidden="false" customHeight="false" outlineLevel="0" collapsed="false">
      <c r="A288" s="4" t="s">
        <v>57</v>
      </c>
      <c r="B288" s="5" t="s">
        <v>1467</v>
      </c>
      <c r="C288" s="1"/>
      <c r="D288" s="5" t="s">
        <v>1468</v>
      </c>
      <c r="E288" s="21"/>
      <c r="BE288" s="6" t="s">
        <v>1396</v>
      </c>
    </row>
    <row r="289" customFormat="false" ht="71" hidden="false" customHeight="false" outlineLevel="0" collapsed="false">
      <c r="A289" s="4" t="s">
        <v>57</v>
      </c>
      <c r="B289" s="5" t="s">
        <v>1469</v>
      </c>
      <c r="C289" s="1"/>
      <c r="D289" s="5" t="s">
        <v>1470</v>
      </c>
      <c r="E289" s="21"/>
      <c r="BE289" s="6" t="s">
        <v>1396</v>
      </c>
    </row>
    <row r="290" customFormat="false" ht="59.5" hidden="false" customHeight="false" outlineLevel="0" collapsed="false">
      <c r="A290" s="4" t="s">
        <v>57</v>
      </c>
      <c r="B290" s="5" t="s">
        <v>1471</v>
      </c>
      <c r="C290" s="1"/>
      <c r="D290" s="5" t="s">
        <v>1472</v>
      </c>
      <c r="E290" s="21"/>
      <c r="BE290" s="6" t="s">
        <v>1396</v>
      </c>
    </row>
    <row r="291" customFormat="false" ht="48" hidden="false" customHeight="false" outlineLevel="0" collapsed="false">
      <c r="A291" s="4" t="s">
        <v>57</v>
      </c>
      <c r="B291" s="5" t="s">
        <v>1473</v>
      </c>
      <c r="C291" s="1"/>
      <c r="D291" s="5" t="s">
        <v>1474</v>
      </c>
      <c r="E291" s="21"/>
      <c r="BE291" s="6" t="s">
        <v>1396</v>
      </c>
    </row>
    <row r="292" customFormat="false" ht="25" hidden="false" customHeight="false" outlineLevel="0" collapsed="false">
      <c r="A292" s="4" t="s">
        <v>57</v>
      </c>
      <c r="B292" s="5" t="s">
        <v>1475</v>
      </c>
      <c r="C292" s="1"/>
      <c r="D292" s="5" t="s">
        <v>1476</v>
      </c>
      <c r="E292" s="21"/>
      <c r="BE292" s="6" t="s">
        <v>1396</v>
      </c>
    </row>
    <row r="293" customFormat="false" ht="25" hidden="false" customHeight="false" outlineLevel="0" collapsed="false">
      <c r="A293" s="4" t="s">
        <v>57</v>
      </c>
      <c r="B293" s="5" t="s">
        <v>1475</v>
      </c>
      <c r="C293" s="1"/>
      <c r="D293" s="5" t="s">
        <v>1477</v>
      </c>
      <c r="E293" s="21"/>
      <c r="BE293" s="6" t="s">
        <v>1396</v>
      </c>
    </row>
    <row r="294" customFormat="false" ht="36.5" hidden="false" customHeight="false" outlineLevel="0" collapsed="false">
      <c r="A294" s="4" t="s">
        <v>57</v>
      </c>
      <c r="B294" s="5" t="s">
        <v>1478</v>
      </c>
      <c r="C294" s="1"/>
      <c r="D294" s="5" t="s">
        <v>1479</v>
      </c>
      <c r="E294" s="21"/>
      <c r="BE294" s="6" t="s">
        <v>1396</v>
      </c>
    </row>
    <row r="295" customFormat="false" ht="36.5" hidden="false" customHeight="false" outlineLevel="0" collapsed="false">
      <c r="A295" s="4" t="s">
        <v>57</v>
      </c>
      <c r="B295" s="5" t="s">
        <v>1480</v>
      </c>
      <c r="C295" s="1"/>
      <c r="D295" s="5" t="s">
        <v>1481</v>
      </c>
      <c r="E295" s="21"/>
      <c r="BE295" s="6" t="s">
        <v>1396</v>
      </c>
    </row>
    <row r="296" customFormat="false" ht="36.5" hidden="false" customHeight="false" outlineLevel="0" collapsed="false">
      <c r="A296" s="4" t="s">
        <v>57</v>
      </c>
      <c r="B296" s="5" t="s">
        <v>1482</v>
      </c>
      <c r="C296" s="1"/>
      <c r="D296" s="5" t="s">
        <v>1483</v>
      </c>
      <c r="E296" s="21"/>
      <c r="BE296" s="6" t="s">
        <v>1396</v>
      </c>
    </row>
    <row r="297" customFormat="false" ht="36.5" hidden="false" customHeight="false" outlineLevel="0" collapsed="false">
      <c r="A297" s="4" t="s">
        <v>57</v>
      </c>
      <c r="B297" s="5" t="s">
        <v>1484</v>
      </c>
      <c r="C297" s="1"/>
      <c r="D297" s="5" t="s">
        <v>1485</v>
      </c>
      <c r="E297" s="21"/>
      <c r="BE297" s="6" t="s">
        <v>1396</v>
      </c>
    </row>
    <row r="298" customFormat="false" ht="25" hidden="false" customHeight="false" outlineLevel="0" collapsed="false">
      <c r="A298" s="4" t="s">
        <v>57</v>
      </c>
      <c r="B298" s="5" t="s">
        <v>1486</v>
      </c>
      <c r="C298" s="1"/>
      <c r="D298" s="5" t="s">
        <v>1487</v>
      </c>
      <c r="E298" s="21"/>
      <c r="BE298" s="6" t="s">
        <v>1396</v>
      </c>
    </row>
    <row r="299" customFormat="false" ht="48" hidden="false" customHeight="false" outlineLevel="0" collapsed="false">
      <c r="A299" s="4" t="s">
        <v>57</v>
      </c>
      <c r="B299" s="5" t="s">
        <v>1488</v>
      </c>
      <c r="C299" s="1"/>
      <c r="D299" s="5" t="s">
        <v>1489</v>
      </c>
      <c r="E299" s="21"/>
      <c r="BE299" s="6" t="s">
        <v>1396</v>
      </c>
    </row>
    <row r="300" customFormat="false" ht="48" hidden="false" customHeight="false" outlineLevel="0" collapsed="false">
      <c r="A300" s="4" t="s">
        <v>57</v>
      </c>
      <c r="B300" s="5" t="s">
        <v>1490</v>
      </c>
      <c r="C300" s="1"/>
      <c r="D300" s="5" t="s">
        <v>1491</v>
      </c>
      <c r="E300" s="21"/>
      <c r="BE300" s="6" t="s">
        <v>1396</v>
      </c>
    </row>
    <row r="301" customFormat="false" ht="48" hidden="false" customHeight="false" outlineLevel="0" collapsed="false">
      <c r="A301" s="4" t="s">
        <v>57</v>
      </c>
      <c r="B301" s="5" t="s">
        <v>1492</v>
      </c>
      <c r="C301" s="1"/>
      <c r="D301" s="5" t="s">
        <v>1493</v>
      </c>
      <c r="E301" s="21"/>
      <c r="BE301" s="6" t="s">
        <v>1396</v>
      </c>
    </row>
    <row r="302" customFormat="false" ht="48" hidden="false" customHeight="false" outlineLevel="0" collapsed="false">
      <c r="A302" s="4" t="s">
        <v>57</v>
      </c>
      <c r="B302" s="5" t="s">
        <v>1494</v>
      </c>
      <c r="C302" s="1"/>
      <c r="D302" s="5" t="s">
        <v>1495</v>
      </c>
      <c r="E302" s="21"/>
      <c r="BE302" s="6" t="s">
        <v>1396</v>
      </c>
    </row>
    <row r="303" customFormat="false" ht="48" hidden="false" customHeight="false" outlineLevel="0" collapsed="false">
      <c r="A303" s="4" t="s">
        <v>57</v>
      </c>
      <c r="B303" s="5" t="s">
        <v>1496</v>
      </c>
      <c r="C303" s="1"/>
      <c r="D303" s="5" t="s">
        <v>1497</v>
      </c>
      <c r="E303" s="21"/>
      <c r="BE303" s="6" t="s">
        <v>1396</v>
      </c>
    </row>
    <row r="304" customFormat="false" ht="36.5" hidden="false" customHeight="false" outlineLevel="0" collapsed="false">
      <c r="A304" s="4" t="s">
        <v>57</v>
      </c>
      <c r="B304" s="5" t="s">
        <v>1498</v>
      </c>
      <c r="C304" s="1"/>
      <c r="D304" s="5" t="s">
        <v>1499</v>
      </c>
      <c r="E304" s="21"/>
      <c r="BE304" s="6" t="s">
        <v>1396</v>
      </c>
    </row>
    <row r="305" customFormat="false" ht="59.5" hidden="false" customHeight="false" outlineLevel="0" collapsed="false">
      <c r="A305" s="4" t="s">
        <v>57</v>
      </c>
      <c r="B305" s="5" t="s">
        <v>1500</v>
      </c>
      <c r="C305" s="1"/>
      <c r="D305" s="5" t="s">
        <v>1501</v>
      </c>
      <c r="E305" s="21"/>
      <c r="BE305" s="6" t="s">
        <v>1396</v>
      </c>
    </row>
    <row r="306" customFormat="false" ht="59.5" hidden="false" customHeight="false" outlineLevel="0" collapsed="false">
      <c r="A306" s="4" t="s">
        <v>57</v>
      </c>
      <c r="B306" s="5" t="s">
        <v>1502</v>
      </c>
      <c r="C306" s="1"/>
      <c r="D306" s="5" t="s">
        <v>1503</v>
      </c>
      <c r="E306" s="21"/>
      <c r="BE306" s="6" t="s">
        <v>1396</v>
      </c>
    </row>
    <row r="307" customFormat="false" ht="48" hidden="false" customHeight="false" outlineLevel="0" collapsed="false">
      <c r="A307" s="4" t="s">
        <v>57</v>
      </c>
      <c r="B307" s="5" t="s">
        <v>1504</v>
      </c>
      <c r="C307" s="1"/>
      <c r="D307" s="5" t="s">
        <v>1505</v>
      </c>
      <c r="E307" s="21"/>
      <c r="BE307" s="6" t="s">
        <v>1396</v>
      </c>
    </row>
    <row r="308" customFormat="false" ht="48" hidden="false" customHeight="false" outlineLevel="0" collapsed="false">
      <c r="A308" s="4" t="s">
        <v>57</v>
      </c>
      <c r="B308" s="5" t="s">
        <v>1506</v>
      </c>
      <c r="C308" s="1"/>
      <c r="D308" s="5" t="s">
        <v>1507</v>
      </c>
      <c r="E308" s="21"/>
      <c r="BE308" s="6" t="s">
        <v>1396</v>
      </c>
    </row>
    <row r="309" customFormat="false" ht="48" hidden="false" customHeight="false" outlineLevel="0" collapsed="false">
      <c r="A309" s="4" t="s">
        <v>57</v>
      </c>
      <c r="B309" s="5" t="s">
        <v>1506</v>
      </c>
      <c r="C309" s="1"/>
      <c r="D309" s="5" t="s">
        <v>1507</v>
      </c>
      <c r="E309" s="21"/>
      <c r="BE309" s="6" t="s">
        <v>1396</v>
      </c>
    </row>
    <row r="310" customFormat="false" ht="48" hidden="false" customHeight="false" outlineLevel="0" collapsed="false">
      <c r="A310" s="4" t="s">
        <v>57</v>
      </c>
      <c r="B310" s="5" t="s">
        <v>1506</v>
      </c>
      <c r="C310" s="1"/>
      <c r="D310" s="5" t="s">
        <v>1507</v>
      </c>
      <c r="E310" s="21"/>
      <c r="BE310" s="6" t="s">
        <v>1396</v>
      </c>
    </row>
    <row r="311" customFormat="false" ht="48" hidden="false" customHeight="false" outlineLevel="0" collapsed="false">
      <c r="A311" s="4" t="s">
        <v>57</v>
      </c>
      <c r="B311" s="5" t="s">
        <v>1506</v>
      </c>
      <c r="C311" s="1"/>
      <c r="D311" s="5" t="s">
        <v>1507</v>
      </c>
      <c r="E311" s="21"/>
      <c r="BE311" s="6" t="s">
        <v>1396</v>
      </c>
    </row>
    <row r="312" customFormat="false" ht="48" hidden="false" customHeight="false" outlineLevel="0" collapsed="false">
      <c r="A312" s="4" t="s">
        <v>57</v>
      </c>
      <c r="B312" s="5" t="s">
        <v>1506</v>
      </c>
      <c r="C312" s="1"/>
      <c r="D312" s="5" t="s">
        <v>1507</v>
      </c>
      <c r="E312" s="21"/>
      <c r="BE312" s="6" t="s">
        <v>1396</v>
      </c>
    </row>
    <row r="313" customFormat="false" ht="48" hidden="false" customHeight="false" outlineLevel="0" collapsed="false">
      <c r="A313" s="4" t="s">
        <v>57</v>
      </c>
      <c r="B313" s="5" t="s">
        <v>1506</v>
      </c>
      <c r="C313" s="1"/>
      <c r="D313" s="5" t="s">
        <v>1507</v>
      </c>
      <c r="E313" s="21"/>
      <c r="BE313" s="6" t="s">
        <v>1396</v>
      </c>
    </row>
    <row r="314" customFormat="false" ht="25" hidden="false" customHeight="false" outlineLevel="0" collapsed="false">
      <c r="A314" s="4" t="s">
        <v>57</v>
      </c>
      <c r="B314" s="5" t="s">
        <v>1508</v>
      </c>
      <c r="C314" s="1"/>
      <c r="D314" s="5" t="s">
        <v>1509</v>
      </c>
      <c r="E314" s="15" t="s">
        <v>1510</v>
      </c>
      <c r="BE314" s="6" t="s">
        <v>1396</v>
      </c>
    </row>
    <row r="315" customFormat="false" ht="25" hidden="false" customHeight="false" outlineLevel="0" collapsed="false">
      <c r="A315" s="4" t="s">
        <v>57</v>
      </c>
      <c r="B315" s="5" t="s">
        <v>1508</v>
      </c>
      <c r="C315" s="1"/>
      <c r="D315" s="5" t="s">
        <v>1509</v>
      </c>
      <c r="E315" s="15" t="s">
        <v>1511</v>
      </c>
      <c r="BE315" s="6" t="s">
        <v>1396</v>
      </c>
    </row>
    <row r="316" customFormat="false" ht="25" hidden="false" customHeight="false" outlineLevel="0" collapsed="false">
      <c r="A316" s="4" t="s">
        <v>57</v>
      </c>
      <c r="B316" s="5" t="s">
        <v>1508</v>
      </c>
      <c r="C316" s="1"/>
      <c r="D316" s="5" t="s">
        <v>1509</v>
      </c>
      <c r="E316" s="15" t="s">
        <v>502</v>
      </c>
      <c r="BE316" s="6" t="s">
        <v>1396</v>
      </c>
    </row>
    <row r="317" customFormat="false" ht="25" hidden="false" customHeight="false" outlineLevel="0" collapsed="false">
      <c r="A317" s="4" t="s">
        <v>57</v>
      </c>
      <c r="B317" s="5" t="s">
        <v>1508</v>
      </c>
      <c r="C317" s="1"/>
      <c r="D317" s="5" t="s">
        <v>1509</v>
      </c>
      <c r="E317" s="15" t="s">
        <v>498</v>
      </c>
      <c r="BE317" s="6" t="s">
        <v>1396</v>
      </c>
    </row>
    <row r="318" customFormat="false" ht="25" hidden="false" customHeight="false" outlineLevel="0" collapsed="false">
      <c r="A318" s="4" t="s">
        <v>57</v>
      </c>
      <c r="B318" s="5" t="s">
        <v>1508</v>
      </c>
      <c r="C318" s="1"/>
      <c r="D318" s="5" t="s">
        <v>1509</v>
      </c>
      <c r="E318" s="15" t="s">
        <v>1512</v>
      </c>
      <c r="BE318" s="6" t="s">
        <v>1396</v>
      </c>
    </row>
    <row r="319" customFormat="false" ht="25" hidden="false" customHeight="false" outlineLevel="0" collapsed="false">
      <c r="A319" s="4" t="s">
        <v>57</v>
      </c>
      <c r="B319" s="5" t="s">
        <v>1508</v>
      </c>
      <c r="C319" s="1"/>
      <c r="D319" s="5" t="s">
        <v>1509</v>
      </c>
      <c r="E319" s="15" t="s">
        <v>1513</v>
      </c>
      <c r="BE319" s="6" t="s">
        <v>1396</v>
      </c>
    </row>
    <row r="320" customFormat="false" ht="25" hidden="false" customHeight="false" outlineLevel="0" collapsed="false">
      <c r="A320" s="4" t="s">
        <v>57</v>
      </c>
      <c r="B320" s="5" t="s">
        <v>1508</v>
      </c>
      <c r="C320" s="1"/>
      <c r="D320" s="5" t="s">
        <v>1509</v>
      </c>
      <c r="E320" s="15" t="s">
        <v>1514</v>
      </c>
      <c r="BE320" s="6" t="s">
        <v>1396</v>
      </c>
    </row>
    <row r="321" customFormat="false" ht="25" hidden="false" customHeight="false" outlineLevel="0" collapsed="false">
      <c r="A321" s="4" t="s">
        <v>57</v>
      </c>
      <c r="B321" s="5" t="s">
        <v>1508</v>
      </c>
      <c r="C321" s="1"/>
      <c r="D321" s="5" t="s">
        <v>1509</v>
      </c>
      <c r="E321" s="15" t="s">
        <v>1515</v>
      </c>
      <c r="BE321" s="6" t="s">
        <v>1396</v>
      </c>
    </row>
    <row r="322" customFormat="false" ht="71" hidden="false" customHeight="false" outlineLevel="0" collapsed="false">
      <c r="A322" s="4" t="s">
        <v>57</v>
      </c>
      <c r="B322" s="5" t="s">
        <v>1516</v>
      </c>
      <c r="C322" s="1"/>
      <c r="D322" s="5" t="s">
        <v>1517</v>
      </c>
      <c r="E322" s="21"/>
      <c r="BE322" s="6" t="s">
        <v>1396</v>
      </c>
    </row>
    <row r="323" customFormat="false" ht="36.5" hidden="false" customHeight="false" outlineLevel="0" collapsed="false">
      <c r="A323" s="4" t="s">
        <v>57</v>
      </c>
      <c r="B323" s="5" t="s">
        <v>1518</v>
      </c>
      <c r="C323" s="1"/>
      <c r="D323" s="5" t="s">
        <v>1519</v>
      </c>
      <c r="E323" s="15" t="s">
        <v>498</v>
      </c>
      <c r="BE323" s="6" t="s">
        <v>1396</v>
      </c>
    </row>
    <row r="324" customFormat="false" ht="36.5" hidden="false" customHeight="false" outlineLevel="0" collapsed="false">
      <c r="A324" s="4" t="s">
        <v>57</v>
      </c>
      <c r="B324" s="5" t="s">
        <v>1520</v>
      </c>
      <c r="C324" s="1"/>
      <c r="D324" s="5" t="s">
        <v>1521</v>
      </c>
      <c r="E324" s="14"/>
      <c r="BE324" s="6" t="s">
        <v>1396</v>
      </c>
    </row>
    <row r="325" customFormat="false" ht="36.5" hidden="false" customHeight="false" outlineLevel="0" collapsed="false">
      <c r="A325" s="4" t="s">
        <v>57</v>
      </c>
      <c r="B325" s="5" t="s">
        <v>1522</v>
      </c>
      <c r="C325" s="1"/>
      <c r="D325" s="5" t="s">
        <v>1523</v>
      </c>
      <c r="E325" s="15" t="s">
        <v>498</v>
      </c>
      <c r="BE325" s="6" t="s">
        <v>1396</v>
      </c>
    </row>
    <row r="326" customFormat="false" ht="36.5" hidden="false" customHeight="false" outlineLevel="0" collapsed="false">
      <c r="A326" s="4" t="s">
        <v>57</v>
      </c>
      <c r="B326" s="5" t="s">
        <v>1522</v>
      </c>
      <c r="C326" s="1"/>
      <c r="D326" s="5" t="s">
        <v>1523</v>
      </c>
      <c r="E326" s="15" t="s">
        <v>502</v>
      </c>
      <c r="BE326" s="6" t="s">
        <v>1396</v>
      </c>
    </row>
    <row r="327" customFormat="false" ht="36.5" hidden="false" customHeight="false" outlineLevel="0" collapsed="false">
      <c r="A327" s="4" t="s">
        <v>57</v>
      </c>
      <c r="B327" s="5" t="s">
        <v>1524</v>
      </c>
      <c r="C327" s="1"/>
      <c r="D327" s="5" t="s">
        <v>1525</v>
      </c>
      <c r="E327" s="15" t="s">
        <v>502</v>
      </c>
      <c r="BE327" s="6" t="s">
        <v>1396</v>
      </c>
    </row>
    <row r="328" customFormat="false" ht="36.5" hidden="false" customHeight="false" outlineLevel="0" collapsed="false">
      <c r="A328" s="4" t="s">
        <v>57</v>
      </c>
      <c r="B328" s="5" t="s">
        <v>1524</v>
      </c>
      <c r="C328" s="1"/>
      <c r="D328" s="5" t="s">
        <v>1525</v>
      </c>
      <c r="E328" s="15" t="s">
        <v>1513</v>
      </c>
      <c r="BE328" s="6" t="s">
        <v>1396</v>
      </c>
    </row>
    <row r="329" customFormat="false" ht="36.5" hidden="false" customHeight="false" outlineLevel="0" collapsed="false">
      <c r="A329" s="4" t="s">
        <v>57</v>
      </c>
      <c r="B329" s="5" t="s">
        <v>1524</v>
      </c>
      <c r="C329" s="1"/>
      <c r="D329" s="5" t="s">
        <v>1525</v>
      </c>
      <c r="E329" s="15" t="s">
        <v>498</v>
      </c>
      <c r="BE329" s="6" t="s">
        <v>1396</v>
      </c>
    </row>
    <row r="330" customFormat="false" ht="71" hidden="false" customHeight="false" outlineLevel="0" collapsed="false">
      <c r="A330" s="4" t="s">
        <v>57</v>
      </c>
      <c r="B330" s="5" t="s">
        <v>1526</v>
      </c>
      <c r="C330" s="1"/>
      <c r="D330" s="5" t="s">
        <v>1527</v>
      </c>
      <c r="E330" s="15" t="s">
        <v>502</v>
      </c>
      <c r="BE330" s="6" t="s">
        <v>1396</v>
      </c>
    </row>
    <row r="331" customFormat="false" ht="71" hidden="false" customHeight="false" outlineLevel="0" collapsed="false">
      <c r="A331" s="4" t="s">
        <v>57</v>
      </c>
      <c r="B331" s="5" t="s">
        <v>1526</v>
      </c>
      <c r="C331" s="1"/>
      <c r="D331" s="5" t="s">
        <v>1527</v>
      </c>
      <c r="E331" s="15" t="s">
        <v>498</v>
      </c>
      <c r="BE331" s="6" t="s">
        <v>1396</v>
      </c>
    </row>
    <row r="332" customFormat="false" ht="71" hidden="false" customHeight="false" outlineLevel="0" collapsed="false">
      <c r="A332" s="4" t="s">
        <v>57</v>
      </c>
      <c r="B332" s="5" t="s">
        <v>1526</v>
      </c>
      <c r="C332" s="1"/>
      <c r="D332" s="5" t="s">
        <v>1527</v>
      </c>
      <c r="E332" s="15" t="s">
        <v>1513</v>
      </c>
      <c r="BE332" s="6" t="s">
        <v>1396</v>
      </c>
    </row>
    <row r="333" customFormat="false" ht="25" hidden="false" customHeight="false" outlineLevel="0" collapsed="false">
      <c r="A333" s="4" t="s">
        <v>57</v>
      </c>
      <c r="B333" s="5" t="s">
        <v>1528</v>
      </c>
      <c r="C333" s="1"/>
      <c r="D333" s="5" t="s">
        <v>1529</v>
      </c>
      <c r="E333" s="15" t="s">
        <v>1512</v>
      </c>
      <c r="BE333" s="6" t="s">
        <v>1396</v>
      </c>
    </row>
    <row r="334" customFormat="false" ht="25" hidden="false" customHeight="false" outlineLevel="0" collapsed="false">
      <c r="A334" s="4" t="s">
        <v>57</v>
      </c>
      <c r="B334" s="5" t="s">
        <v>1528</v>
      </c>
      <c r="C334" s="1"/>
      <c r="D334" s="5" t="s">
        <v>1529</v>
      </c>
      <c r="E334" s="15" t="s">
        <v>502</v>
      </c>
      <c r="BE334" s="6" t="s">
        <v>1396</v>
      </c>
    </row>
    <row r="335" customFormat="false" ht="25" hidden="false" customHeight="false" outlineLevel="0" collapsed="false">
      <c r="A335" s="4" t="s">
        <v>57</v>
      </c>
      <c r="B335" s="5" t="s">
        <v>1528</v>
      </c>
      <c r="C335" s="1"/>
      <c r="D335" s="5" t="s">
        <v>1529</v>
      </c>
      <c r="E335" s="15" t="s">
        <v>498</v>
      </c>
      <c r="BE335" s="6" t="s">
        <v>1396</v>
      </c>
    </row>
    <row r="336" customFormat="false" ht="25" hidden="false" customHeight="false" outlineLevel="0" collapsed="false">
      <c r="A336" s="4" t="s">
        <v>57</v>
      </c>
      <c r="B336" s="5" t="s">
        <v>1528</v>
      </c>
      <c r="C336" s="1"/>
      <c r="D336" s="5" t="s">
        <v>1529</v>
      </c>
      <c r="E336" s="15" t="s">
        <v>1513</v>
      </c>
      <c r="BE336" s="6" t="s">
        <v>1396</v>
      </c>
    </row>
    <row r="337" customFormat="false" ht="36.5" hidden="false" customHeight="false" outlineLevel="0" collapsed="false">
      <c r="A337" s="4" t="s">
        <v>57</v>
      </c>
      <c r="B337" s="5" t="s">
        <v>1530</v>
      </c>
      <c r="C337" s="1"/>
      <c r="D337" s="5" t="s">
        <v>1531</v>
      </c>
      <c r="E337" s="15" t="s">
        <v>502</v>
      </c>
      <c r="BE337" s="6" t="s">
        <v>1396</v>
      </c>
    </row>
    <row r="338" customFormat="false" ht="36.5" hidden="false" customHeight="false" outlineLevel="0" collapsed="false">
      <c r="A338" s="4" t="s">
        <v>57</v>
      </c>
      <c r="B338" s="5" t="s">
        <v>1530</v>
      </c>
      <c r="C338" s="1"/>
      <c r="D338" s="5" t="s">
        <v>1531</v>
      </c>
      <c r="E338" s="15" t="s">
        <v>498</v>
      </c>
      <c r="BE338" s="6" t="s">
        <v>1396</v>
      </c>
    </row>
    <row r="339" customFormat="false" ht="71" hidden="false" customHeight="false" outlineLevel="0" collapsed="false">
      <c r="A339" s="4" t="s">
        <v>57</v>
      </c>
      <c r="B339" s="5" t="s">
        <v>1532</v>
      </c>
      <c r="C339" s="1"/>
      <c r="D339" s="5" t="s">
        <v>1533</v>
      </c>
      <c r="E339" s="14"/>
      <c r="BE339" s="6" t="s">
        <v>1396</v>
      </c>
    </row>
    <row r="340" customFormat="false" ht="48" hidden="false" customHeight="false" outlineLevel="0" collapsed="false">
      <c r="A340" s="4" t="s">
        <v>57</v>
      </c>
      <c r="B340" s="5" t="s">
        <v>1534</v>
      </c>
      <c r="C340" s="1"/>
      <c r="D340" s="5" t="s">
        <v>1535</v>
      </c>
      <c r="E340" s="14"/>
      <c r="BE340" s="6" t="s">
        <v>1396</v>
      </c>
    </row>
    <row r="341" customFormat="false" ht="59.5" hidden="false" customHeight="false" outlineLevel="0" collapsed="false">
      <c r="A341" s="4" t="s">
        <v>57</v>
      </c>
      <c r="B341" s="5" t="s">
        <v>1536</v>
      </c>
      <c r="C341" s="1"/>
      <c r="D341" s="5" t="s">
        <v>1537</v>
      </c>
      <c r="E341" s="15" t="s">
        <v>1512</v>
      </c>
      <c r="BE341" s="6" t="s">
        <v>1396</v>
      </c>
    </row>
    <row r="342" customFormat="false" ht="59.5" hidden="false" customHeight="false" outlineLevel="0" collapsed="false">
      <c r="A342" s="4" t="s">
        <v>57</v>
      </c>
      <c r="B342" s="5" t="s">
        <v>1536</v>
      </c>
      <c r="C342" s="1"/>
      <c r="D342" s="5" t="s">
        <v>1537</v>
      </c>
      <c r="E342" s="15" t="s">
        <v>1514</v>
      </c>
      <c r="BE342" s="6" t="s">
        <v>1396</v>
      </c>
    </row>
    <row r="343" customFormat="false" ht="59.5" hidden="false" customHeight="false" outlineLevel="0" collapsed="false">
      <c r="A343" s="4" t="s">
        <v>57</v>
      </c>
      <c r="B343" s="5" t="s">
        <v>1536</v>
      </c>
      <c r="C343" s="1"/>
      <c r="D343" s="5" t="s">
        <v>1537</v>
      </c>
      <c r="E343" s="15" t="s">
        <v>1515</v>
      </c>
      <c r="BE343" s="6" t="s">
        <v>1396</v>
      </c>
    </row>
    <row r="344" customFormat="false" ht="59.5" hidden="false" customHeight="false" outlineLevel="0" collapsed="false">
      <c r="A344" s="4" t="s">
        <v>57</v>
      </c>
      <c r="B344" s="5" t="s">
        <v>1536</v>
      </c>
      <c r="C344" s="1"/>
      <c r="D344" s="5" t="s">
        <v>1537</v>
      </c>
      <c r="E344" s="15" t="s">
        <v>502</v>
      </c>
      <c r="BE344" s="6" t="s">
        <v>1396</v>
      </c>
    </row>
    <row r="345" customFormat="false" ht="59.5" hidden="false" customHeight="false" outlineLevel="0" collapsed="false">
      <c r="A345" s="4" t="s">
        <v>57</v>
      </c>
      <c r="B345" s="5" t="s">
        <v>1536</v>
      </c>
      <c r="C345" s="1"/>
      <c r="D345" s="5" t="s">
        <v>1537</v>
      </c>
      <c r="E345" s="15" t="s">
        <v>1513</v>
      </c>
      <c r="BE345" s="6" t="s">
        <v>1396</v>
      </c>
    </row>
    <row r="346" customFormat="false" ht="59.5" hidden="false" customHeight="false" outlineLevel="0" collapsed="false">
      <c r="A346" s="4" t="s">
        <v>57</v>
      </c>
      <c r="B346" s="5" t="s">
        <v>1536</v>
      </c>
      <c r="C346" s="1"/>
      <c r="D346" s="5" t="s">
        <v>1537</v>
      </c>
      <c r="E346" s="15" t="s">
        <v>498</v>
      </c>
      <c r="BE346" s="6" t="s">
        <v>1396</v>
      </c>
    </row>
    <row r="347" customFormat="false" ht="59.5" hidden="false" customHeight="false" outlineLevel="0" collapsed="false">
      <c r="A347" s="4" t="s">
        <v>57</v>
      </c>
      <c r="B347" s="5" t="s">
        <v>1536</v>
      </c>
      <c r="C347" s="1"/>
      <c r="D347" s="5" t="s">
        <v>1537</v>
      </c>
      <c r="E347" s="15" t="s">
        <v>1510</v>
      </c>
      <c r="BE347" s="6" t="s">
        <v>1396</v>
      </c>
    </row>
    <row r="348" customFormat="false" ht="25" hidden="false" customHeight="false" outlineLevel="0" collapsed="false">
      <c r="A348" s="4" t="s">
        <v>57</v>
      </c>
      <c r="B348" s="5" t="s">
        <v>1538</v>
      </c>
      <c r="C348" s="1"/>
      <c r="D348" s="5" t="s">
        <v>1539</v>
      </c>
      <c r="E348" s="21"/>
      <c r="BE348" s="6" t="s">
        <v>1396</v>
      </c>
    </row>
    <row r="349" customFormat="false" ht="25" hidden="false" customHeight="false" outlineLevel="0" collapsed="false">
      <c r="A349" s="4" t="s">
        <v>57</v>
      </c>
      <c r="B349" s="5" t="s">
        <v>1538</v>
      </c>
      <c r="C349" s="1"/>
      <c r="D349" s="5" t="s">
        <v>1539</v>
      </c>
      <c r="E349" s="21"/>
      <c r="BE349" s="6" t="s">
        <v>1396</v>
      </c>
    </row>
    <row r="350" customFormat="false" ht="25" hidden="false" customHeight="false" outlineLevel="0" collapsed="false">
      <c r="A350" s="4" t="s">
        <v>57</v>
      </c>
      <c r="B350" s="5" t="s">
        <v>1540</v>
      </c>
      <c r="C350" s="1"/>
      <c r="D350" s="5" t="s">
        <v>1541</v>
      </c>
      <c r="E350" s="15" t="s">
        <v>498</v>
      </c>
      <c r="BE350" s="6" t="s">
        <v>1396</v>
      </c>
    </row>
    <row r="351" customFormat="false" ht="25" hidden="false" customHeight="false" outlineLevel="0" collapsed="false">
      <c r="A351" s="4" t="s">
        <v>57</v>
      </c>
      <c r="B351" s="5" t="s">
        <v>1542</v>
      </c>
      <c r="C351" s="1"/>
      <c r="D351" s="5" t="s">
        <v>1543</v>
      </c>
      <c r="E351" s="14"/>
      <c r="BE351" s="6" t="s">
        <v>1396</v>
      </c>
    </row>
    <row r="352" customFormat="false" ht="25" hidden="false" customHeight="false" outlineLevel="0" collapsed="false">
      <c r="A352" s="4" t="s">
        <v>57</v>
      </c>
      <c r="B352" s="5" t="s">
        <v>1544</v>
      </c>
      <c r="C352" s="1"/>
      <c r="D352" s="5" t="s">
        <v>1545</v>
      </c>
      <c r="E352" s="14"/>
      <c r="BE352" s="6" t="s">
        <v>1396</v>
      </c>
    </row>
    <row r="353" customFormat="false" ht="25" hidden="false" customHeight="false" outlineLevel="0" collapsed="false">
      <c r="A353" s="4" t="s">
        <v>57</v>
      </c>
      <c r="B353" s="5" t="s">
        <v>1546</v>
      </c>
      <c r="C353" s="1"/>
      <c r="D353" s="5" t="s">
        <v>1547</v>
      </c>
      <c r="E353" s="14"/>
      <c r="BE353" s="6" t="s">
        <v>1396</v>
      </c>
    </row>
    <row r="354" customFormat="false" ht="13.8" hidden="false" customHeight="false" outlineLevel="0" collapsed="false">
      <c r="A354" s="4" t="s">
        <v>57</v>
      </c>
      <c r="B354" s="5" t="s">
        <v>1548</v>
      </c>
      <c r="C354" s="1"/>
      <c r="D354" s="5" t="s">
        <v>1549</v>
      </c>
      <c r="E354" s="15" t="s">
        <v>498</v>
      </c>
      <c r="BE354" s="6" t="s">
        <v>1396</v>
      </c>
    </row>
    <row r="355" customFormat="false" ht="71" hidden="false" customHeight="false" outlineLevel="0" collapsed="false">
      <c r="A355" s="4" t="s">
        <v>57</v>
      </c>
      <c r="B355" s="5" t="s">
        <v>1550</v>
      </c>
      <c r="C355" s="1"/>
      <c r="D355" s="5" t="s">
        <v>1551</v>
      </c>
      <c r="E355" s="14"/>
      <c r="BE355" s="6" t="s">
        <v>1396</v>
      </c>
    </row>
    <row r="356" customFormat="false" ht="25" hidden="false" customHeight="false" outlineLevel="0" collapsed="false">
      <c r="A356" s="4" t="s">
        <v>57</v>
      </c>
      <c r="B356" s="5" t="s">
        <v>1552</v>
      </c>
      <c r="C356" s="1"/>
      <c r="D356" s="5" t="s">
        <v>1553</v>
      </c>
      <c r="E356" s="15" t="s">
        <v>498</v>
      </c>
      <c r="BE356" s="6" t="s">
        <v>1396</v>
      </c>
    </row>
    <row r="357" customFormat="false" ht="25" hidden="false" customHeight="false" outlineLevel="0" collapsed="false">
      <c r="A357" s="4" t="s">
        <v>57</v>
      </c>
      <c r="B357" s="5" t="s">
        <v>1552</v>
      </c>
      <c r="C357" s="1"/>
      <c r="D357" s="5" t="s">
        <v>1553</v>
      </c>
      <c r="E357" s="15" t="s">
        <v>502</v>
      </c>
      <c r="BE357" s="6" t="s">
        <v>1396</v>
      </c>
    </row>
    <row r="358" customFormat="false" ht="59.5" hidden="false" customHeight="false" outlineLevel="0" collapsed="false">
      <c r="A358" s="4" t="s">
        <v>57</v>
      </c>
      <c r="B358" s="5" t="s">
        <v>1554</v>
      </c>
      <c r="C358" s="1"/>
      <c r="D358" s="5" t="s">
        <v>1555</v>
      </c>
      <c r="E358" s="14"/>
      <c r="BE358" s="6" t="s">
        <v>1396</v>
      </c>
    </row>
    <row r="359" customFormat="false" ht="25" hidden="false" customHeight="false" outlineLevel="0" collapsed="false">
      <c r="A359" s="4" t="s">
        <v>57</v>
      </c>
      <c r="B359" s="5" t="s">
        <v>1556</v>
      </c>
      <c r="C359" s="1"/>
      <c r="D359" s="5" t="s">
        <v>1557</v>
      </c>
      <c r="E359" s="21"/>
      <c r="BE359" s="6" t="s">
        <v>1396</v>
      </c>
    </row>
    <row r="360" customFormat="false" ht="25" hidden="false" customHeight="false" outlineLevel="0" collapsed="false">
      <c r="A360" s="4" t="s">
        <v>57</v>
      </c>
      <c r="B360" s="5" t="s">
        <v>1558</v>
      </c>
      <c r="C360" s="1"/>
      <c r="D360" s="5" t="s">
        <v>1559</v>
      </c>
      <c r="E360" s="14"/>
      <c r="BE360" s="6" t="s">
        <v>1396</v>
      </c>
    </row>
    <row r="361" customFormat="false" ht="36.5" hidden="false" customHeight="false" outlineLevel="0" collapsed="false">
      <c r="A361" s="4" t="s">
        <v>57</v>
      </c>
      <c r="B361" s="5" t="s">
        <v>1560</v>
      </c>
      <c r="C361" s="1"/>
      <c r="D361" s="5" t="s">
        <v>1561</v>
      </c>
      <c r="E361" s="14"/>
      <c r="BE361" s="6" t="s">
        <v>1396</v>
      </c>
    </row>
    <row r="362" customFormat="false" ht="25" hidden="false" customHeight="false" outlineLevel="0" collapsed="false">
      <c r="A362" s="4" t="s">
        <v>57</v>
      </c>
      <c r="B362" s="5" t="s">
        <v>1562</v>
      </c>
      <c r="C362" s="1"/>
      <c r="D362" s="5" t="s">
        <v>1563</v>
      </c>
      <c r="E362" s="14"/>
      <c r="BE362" s="6" t="s">
        <v>1396</v>
      </c>
    </row>
    <row r="363" customFormat="false" ht="71" hidden="false" customHeight="false" outlineLevel="0" collapsed="false">
      <c r="A363" s="4" t="s">
        <v>57</v>
      </c>
      <c r="B363" s="5" t="s">
        <v>1564</v>
      </c>
      <c r="C363" s="1"/>
      <c r="D363" s="5" t="s">
        <v>1565</v>
      </c>
      <c r="E363" s="14"/>
      <c r="BE363" s="6" t="s">
        <v>1396</v>
      </c>
    </row>
    <row r="364" customFormat="false" ht="36.5" hidden="false" customHeight="false" outlineLevel="0" collapsed="false">
      <c r="A364" s="4" t="s">
        <v>57</v>
      </c>
      <c r="B364" s="5" t="s">
        <v>1566</v>
      </c>
      <c r="C364" s="1"/>
      <c r="D364" s="5" t="s">
        <v>1567</v>
      </c>
      <c r="E364" s="14"/>
      <c r="BE364" s="6" t="s">
        <v>1396</v>
      </c>
    </row>
    <row r="365" customFormat="false" ht="48" hidden="false" customHeight="false" outlineLevel="0" collapsed="false">
      <c r="A365" s="4" t="s">
        <v>57</v>
      </c>
      <c r="B365" s="5" t="s">
        <v>1568</v>
      </c>
      <c r="C365" s="1"/>
      <c r="D365" s="5" t="s">
        <v>1569</v>
      </c>
      <c r="E365" s="14"/>
      <c r="BE365" s="6" t="s">
        <v>1396</v>
      </c>
    </row>
    <row r="366" customFormat="false" ht="48" hidden="false" customHeight="false" outlineLevel="0" collapsed="false">
      <c r="A366" s="4" t="s">
        <v>57</v>
      </c>
      <c r="B366" s="5" t="s">
        <v>1570</v>
      </c>
      <c r="C366" s="1"/>
      <c r="D366" s="5" t="s">
        <v>1571</v>
      </c>
      <c r="E366" s="14"/>
      <c r="BE366" s="6" t="s">
        <v>1396</v>
      </c>
    </row>
    <row r="367" customFormat="false" ht="25" hidden="false" customHeight="false" outlineLevel="0" collapsed="false">
      <c r="A367" s="4" t="s">
        <v>57</v>
      </c>
      <c r="B367" s="5" t="s">
        <v>1572</v>
      </c>
      <c r="C367" s="1"/>
      <c r="D367" s="5" t="s">
        <v>1573</v>
      </c>
      <c r="E367" s="14"/>
      <c r="BE367" s="6" t="s">
        <v>1396</v>
      </c>
    </row>
    <row r="368" customFormat="false" ht="36.5" hidden="false" customHeight="false" outlineLevel="0" collapsed="false">
      <c r="A368" s="4" t="s">
        <v>57</v>
      </c>
      <c r="B368" s="5" t="s">
        <v>1574</v>
      </c>
      <c r="C368" s="1"/>
      <c r="D368" s="5" t="s">
        <v>1575</v>
      </c>
      <c r="E368" s="14"/>
      <c r="BE368" s="6" t="s">
        <v>1396</v>
      </c>
    </row>
    <row r="369" customFormat="false" ht="25" hidden="false" customHeight="false" outlineLevel="0" collapsed="false">
      <c r="A369" s="4" t="s">
        <v>57</v>
      </c>
      <c r="B369" s="5" t="s">
        <v>1576</v>
      </c>
      <c r="C369" s="1"/>
      <c r="D369" s="5" t="s">
        <v>1577</v>
      </c>
      <c r="E369" s="14"/>
      <c r="BE369" s="6" t="s">
        <v>1396</v>
      </c>
    </row>
    <row r="370" customFormat="false" ht="25" hidden="false" customHeight="false" outlineLevel="0" collapsed="false">
      <c r="A370" s="4" t="s">
        <v>57</v>
      </c>
      <c r="B370" s="5" t="s">
        <v>1578</v>
      </c>
      <c r="C370" s="1"/>
      <c r="D370" s="5" t="s">
        <v>1579</v>
      </c>
      <c r="E370" s="14"/>
      <c r="BE370" s="6" t="s">
        <v>1396</v>
      </c>
    </row>
    <row r="371" customFormat="false" ht="59.5" hidden="false" customHeight="false" outlineLevel="0" collapsed="false">
      <c r="A371" s="4" t="s">
        <v>57</v>
      </c>
      <c r="B371" s="5" t="s">
        <v>1580</v>
      </c>
      <c r="C371" s="1"/>
      <c r="D371" s="5" t="s">
        <v>1581</v>
      </c>
      <c r="E371" s="21"/>
      <c r="BE371" s="6" t="s">
        <v>1396</v>
      </c>
    </row>
    <row r="372" customFormat="false" ht="25" hidden="false" customHeight="false" outlineLevel="0" collapsed="false">
      <c r="A372" s="4" t="s">
        <v>57</v>
      </c>
      <c r="B372" s="5" t="s">
        <v>1582</v>
      </c>
      <c r="C372" s="1"/>
      <c r="D372" s="5" t="s">
        <v>1583</v>
      </c>
      <c r="E372" s="14"/>
      <c r="BE372" s="6" t="s">
        <v>1396</v>
      </c>
    </row>
    <row r="373" customFormat="false" ht="25" hidden="false" customHeight="false" outlineLevel="0" collapsed="false">
      <c r="A373" s="4" t="s">
        <v>57</v>
      </c>
      <c r="B373" s="5" t="s">
        <v>1584</v>
      </c>
      <c r="C373" s="1"/>
      <c r="D373" s="5" t="s">
        <v>1585</v>
      </c>
      <c r="E373" s="15" t="s">
        <v>517</v>
      </c>
      <c r="BE373" s="6" t="s">
        <v>1396</v>
      </c>
    </row>
    <row r="374" customFormat="false" ht="25" hidden="false" customHeight="false" outlineLevel="0" collapsed="false">
      <c r="A374" s="4" t="s">
        <v>57</v>
      </c>
      <c r="B374" s="5" t="s">
        <v>1584</v>
      </c>
      <c r="C374" s="1"/>
      <c r="D374" s="5" t="s">
        <v>1585</v>
      </c>
      <c r="E374" s="15" t="s">
        <v>1586</v>
      </c>
      <c r="BE374" s="6" t="s">
        <v>1396</v>
      </c>
    </row>
    <row r="375" customFormat="false" ht="25" hidden="false" customHeight="false" outlineLevel="0" collapsed="false">
      <c r="A375" s="4" t="s">
        <v>57</v>
      </c>
      <c r="B375" s="5" t="s">
        <v>1587</v>
      </c>
      <c r="C375" s="1"/>
      <c r="D375" s="5" t="s">
        <v>1588</v>
      </c>
      <c r="E375" s="15" t="s">
        <v>517</v>
      </c>
      <c r="BE375" s="6" t="s">
        <v>1396</v>
      </c>
    </row>
    <row r="376" customFormat="false" ht="25" hidden="false" customHeight="false" outlineLevel="0" collapsed="false">
      <c r="A376" s="4" t="s">
        <v>57</v>
      </c>
      <c r="B376" s="5" t="s">
        <v>1587</v>
      </c>
      <c r="C376" s="1"/>
      <c r="D376" s="5" t="s">
        <v>1588</v>
      </c>
      <c r="E376" s="15" t="s">
        <v>1586</v>
      </c>
      <c r="BE376" s="6" t="s">
        <v>1396</v>
      </c>
    </row>
    <row r="377" customFormat="false" ht="25" hidden="false" customHeight="false" outlineLevel="0" collapsed="false">
      <c r="A377" s="4" t="s">
        <v>57</v>
      </c>
      <c r="B377" s="5" t="s">
        <v>1589</v>
      </c>
      <c r="C377" s="1"/>
      <c r="D377" s="5" t="s">
        <v>1590</v>
      </c>
      <c r="E377" s="15" t="s">
        <v>502</v>
      </c>
      <c r="BE377" s="6" t="s">
        <v>1396</v>
      </c>
    </row>
    <row r="378" customFormat="false" ht="25" hidden="false" customHeight="false" outlineLevel="0" collapsed="false">
      <c r="A378" s="4" t="s">
        <v>57</v>
      </c>
      <c r="B378" s="5" t="s">
        <v>1589</v>
      </c>
      <c r="C378" s="1"/>
      <c r="D378" s="5" t="s">
        <v>1590</v>
      </c>
      <c r="E378" s="15" t="s">
        <v>498</v>
      </c>
      <c r="BE378" s="6" t="s">
        <v>1396</v>
      </c>
    </row>
    <row r="379" customFormat="false" ht="25" hidden="false" customHeight="false" outlineLevel="0" collapsed="false">
      <c r="A379" s="4" t="s">
        <v>57</v>
      </c>
      <c r="B379" s="5" t="s">
        <v>1589</v>
      </c>
      <c r="C379" s="1"/>
      <c r="D379" s="5" t="s">
        <v>1590</v>
      </c>
      <c r="E379" s="15" t="s">
        <v>1513</v>
      </c>
      <c r="BE379" s="6" t="s">
        <v>1396</v>
      </c>
    </row>
    <row r="380" customFormat="false" ht="36.5" hidden="false" customHeight="false" outlineLevel="0" collapsed="false">
      <c r="A380" s="4" t="s">
        <v>57</v>
      </c>
      <c r="B380" s="5" t="s">
        <v>1591</v>
      </c>
      <c r="C380" s="1"/>
      <c r="D380" s="5" t="s">
        <v>1592</v>
      </c>
      <c r="E380" s="14"/>
      <c r="BE380" s="6" t="s">
        <v>1396</v>
      </c>
    </row>
    <row r="381" customFormat="false" ht="25" hidden="false" customHeight="false" outlineLevel="0" collapsed="false">
      <c r="A381" s="4" t="s">
        <v>57</v>
      </c>
      <c r="B381" s="5" t="s">
        <v>1593</v>
      </c>
      <c r="C381" s="1"/>
      <c r="D381" s="5" t="s">
        <v>1594</v>
      </c>
      <c r="E381" s="14"/>
      <c r="BE381" s="6" t="s">
        <v>1396</v>
      </c>
    </row>
    <row r="382" customFormat="false" ht="48" hidden="false" customHeight="false" outlineLevel="0" collapsed="false">
      <c r="A382" s="4" t="s">
        <v>57</v>
      </c>
      <c r="B382" s="5" t="s">
        <v>1595</v>
      </c>
      <c r="C382" s="1"/>
      <c r="D382" s="5" t="s">
        <v>1596</v>
      </c>
      <c r="E382" s="14"/>
      <c r="BE382" s="6" t="s">
        <v>1396</v>
      </c>
    </row>
    <row r="383" customFormat="false" ht="25" hidden="false" customHeight="false" outlineLevel="0" collapsed="false">
      <c r="A383" s="4" t="s">
        <v>57</v>
      </c>
      <c r="B383" s="5" t="s">
        <v>1597</v>
      </c>
      <c r="C383" s="1"/>
      <c r="D383" s="5" t="s">
        <v>1598</v>
      </c>
      <c r="E383" s="14"/>
      <c r="BE383" s="6" t="s">
        <v>1396</v>
      </c>
    </row>
    <row r="384" customFormat="false" ht="25" hidden="false" customHeight="false" outlineLevel="0" collapsed="false">
      <c r="A384" s="4" t="s">
        <v>57</v>
      </c>
      <c r="B384" s="5" t="s">
        <v>1599</v>
      </c>
      <c r="C384" s="1"/>
      <c r="D384" s="5" t="s">
        <v>1600</v>
      </c>
      <c r="E384" s="14"/>
      <c r="BE384" s="6" t="s">
        <v>1396</v>
      </c>
    </row>
    <row r="385" customFormat="false" ht="36.5" hidden="false" customHeight="false" outlineLevel="0" collapsed="false">
      <c r="A385" s="4" t="s">
        <v>57</v>
      </c>
      <c r="B385" s="5" t="s">
        <v>1601</v>
      </c>
      <c r="C385" s="1"/>
      <c r="D385" s="5" t="s">
        <v>1602</v>
      </c>
      <c r="E385" s="14"/>
      <c r="BE385" s="6" t="s">
        <v>1396</v>
      </c>
    </row>
    <row r="386" customFormat="false" ht="25" hidden="false" customHeight="false" outlineLevel="0" collapsed="false">
      <c r="A386" s="4" t="s">
        <v>57</v>
      </c>
      <c r="B386" s="5" t="s">
        <v>1603</v>
      </c>
      <c r="C386" s="1"/>
      <c r="D386" s="5" t="s">
        <v>1604</v>
      </c>
      <c r="E386" s="15" t="s">
        <v>502</v>
      </c>
      <c r="BE386" s="6" t="s">
        <v>1396</v>
      </c>
    </row>
    <row r="387" customFormat="false" ht="25" hidden="false" customHeight="false" outlineLevel="0" collapsed="false">
      <c r="A387" s="4" t="s">
        <v>57</v>
      </c>
      <c r="B387" s="5" t="s">
        <v>1603</v>
      </c>
      <c r="C387" s="1"/>
      <c r="D387" s="5" t="s">
        <v>1604</v>
      </c>
      <c r="E387" s="15" t="s">
        <v>498</v>
      </c>
      <c r="BE387" s="6" t="s">
        <v>1396</v>
      </c>
    </row>
    <row r="388" customFormat="false" ht="25" hidden="false" customHeight="false" outlineLevel="0" collapsed="false">
      <c r="A388" s="4" t="s">
        <v>57</v>
      </c>
      <c r="B388" s="5" t="s">
        <v>1605</v>
      </c>
      <c r="C388" s="1"/>
      <c r="D388" s="5" t="s">
        <v>1606</v>
      </c>
      <c r="E388" s="15" t="s">
        <v>517</v>
      </c>
      <c r="BE388" s="6" t="s">
        <v>1396</v>
      </c>
    </row>
    <row r="389" customFormat="false" ht="25" hidden="false" customHeight="false" outlineLevel="0" collapsed="false">
      <c r="A389" s="4" t="s">
        <v>57</v>
      </c>
      <c r="B389" s="5" t="s">
        <v>1605</v>
      </c>
      <c r="C389" s="1"/>
      <c r="D389" s="5" t="s">
        <v>1606</v>
      </c>
      <c r="E389" s="15" t="s">
        <v>1586</v>
      </c>
      <c r="BE389" s="6" t="s">
        <v>1396</v>
      </c>
    </row>
    <row r="390" customFormat="false" ht="59.5" hidden="false" customHeight="false" outlineLevel="0" collapsed="false">
      <c r="A390" s="4" t="s">
        <v>57</v>
      </c>
      <c r="B390" s="5" t="s">
        <v>1607</v>
      </c>
      <c r="C390" s="1"/>
      <c r="D390" s="5" t="s">
        <v>1608</v>
      </c>
      <c r="E390" s="15" t="s">
        <v>1609</v>
      </c>
      <c r="BE390" s="6" t="s">
        <v>1396</v>
      </c>
    </row>
    <row r="391" customFormat="false" ht="59.5" hidden="false" customHeight="false" outlineLevel="0" collapsed="false">
      <c r="A391" s="4" t="s">
        <v>57</v>
      </c>
      <c r="B391" s="5" t="s">
        <v>1607</v>
      </c>
      <c r="C391" s="1"/>
      <c r="D391" s="5" t="s">
        <v>1608</v>
      </c>
      <c r="E391" s="15" t="s">
        <v>502</v>
      </c>
      <c r="BE391" s="6" t="s">
        <v>1396</v>
      </c>
    </row>
    <row r="392" customFormat="false" ht="59.5" hidden="false" customHeight="false" outlineLevel="0" collapsed="false">
      <c r="A392" s="4" t="s">
        <v>57</v>
      </c>
      <c r="B392" s="5" t="s">
        <v>1607</v>
      </c>
      <c r="C392" s="1"/>
      <c r="D392" s="5" t="s">
        <v>1608</v>
      </c>
      <c r="E392" s="15" t="s">
        <v>1610</v>
      </c>
      <c r="BE392" s="6" t="s">
        <v>1396</v>
      </c>
    </row>
    <row r="393" customFormat="false" ht="13.8" hidden="false" customHeight="false" outlineLevel="0" collapsed="false">
      <c r="A393" s="4" t="s">
        <v>57</v>
      </c>
      <c r="B393" s="5" t="s">
        <v>1611</v>
      </c>
      <c r="C393" s="1"/>
      <c r="D393" s="5" t="s">
        <v>1612</v>
      </c>
      <c r="E393" s="15" t="s">
        <v>502</v>
      </c>
      <c r="BE393" s="6" t="s">
        <v>1396</v>
      </c>
    </row>
    <row r="394" customFormat="false" ht="13.8" hidden="false" customHeight="false" outlineLevel="0" collapsed="false">
      <c r="A394" s="4" t="s">
        <v>57</v>
      </c>
      <c r="B394" s="5" t="s">
        <v>1613</v>
      </c>
      <c r="C394" s="1"/>
      <c r="D394" s="5" t="s">
        <v>1614</v>
      </c>
      <c r="E394" s="14"/>
      <c r="BE394" s="6" t="s">
        <v>1396</v>
      </c>
    </row>
    <row r="395" customFormat="false" ht="36.5" hidden="false" customHeight="false" outlineLevel="0" collapsed="false">
      <c r="A395" s="4" t="s">
        <v>57</v>
      </c>
      <c r="B395" s="5" t="s">
        <v>1615</v>
      </c>
      <c r="C395" s="1"/>
      <c r="D395" s="5" t="s">
        <v>1616</v>
      </c>
      <c r="E395" s="15" t="s">
        <v>502</v>
      </c>
      <c r="BE395" s="6" t="s">
        <v>1396</v>
      </c>
    </row>
    <row r="396" customFormat="false" ht="25" hidden="false" customHeight="false" outlineLevel="0" collapsed="false">
      <c r="A396" s="4" t="s">
        <v>57</v>
      </c>
      <c r="B396" s="5" t="s">
        <v>1617</v>
      </c>
      <c r="C396" s="1"/>
      <c r="D396" s="5" t="s">
        <v>1618</v>
      </c>
      <c r="E396" s="15" t="s">
        <v>1513</v>
      </c>
      <c r="BE396" s="6" t="s">
        <v>1396</v>
      </c>
    </row>
    <row r="397" customFormat="false" ht="25" hidden="false" customHeight="false" outlineLevel="0" collapsed="false">
      <c r="A397" s="4" t="s">
        <v>57</v>
      </c>
      <c r="B397" s="5" t="s">
        <v>1617</v>
      </c>
      <c r="C397" s="1"/>
      <c r="D397" s="5" t="s">
        <v>1618</v>
      </c>
      <c r="E397" s="15" t="s">
        <v>498</v>
      </c>
      <c r="BE397" s="6" t="s">
        <v>1396</v>
      </c>
    </row>
    <row r="398" customFormat="false" ht="25" hidden="false" customHeight="false" outlineLevel="0" collapsed="false">
      <c r="A398" s="4" t="s">
        <v>57</v>
      </c>
      <c r="B398" s="5" t="s">
        <v>1617</v>
      </c>
      <c r="C398" s="1"/>
      <c r="D398" s="5" t="s">
        <v>1618</v>
      </c>
      <c r="E398" s="15" t="s">
        <v>502</v>
      </c>
      <c r="BE398" s="6" t="s">
        <v>1396</v>
      </c>
    </row>
    <row r="399" customFormat="false" ht="36.5" hidden="false" customHeight="false" outlineLevel="0" collapsed="false">
      <c r="A399" s="4" t="s">
        <v>57</v>
      </c>
      <c r="B399" s="5" t="s">
        <v>1619</v>
      </c>
      <c r="C399" s="1"/>
      <c r="D399" s="5" t="s">
        <v>1620</v>
      </c>
      <c r="E399" s="14"/>
      <c r="BE399" s="6" t="s">
        <v>1396</v>
      </c>
    </row>
    <row r="400" customFormat="false" ht="59.5" hidden="false" customHeight="false" outlineLevel="0" collapsed="false">
      <c r="A400" s="4" t="s">
        <v>57</v>
      </c>
      <c r="B400" s="5" t="s">
        <v>1621</v>
      </c>
      <c r="C400" s="1"/>
      <c r="D400" s="5" t="s">
        <v>1622</v>
      </c>
      <c r="E400" s="14"/>
      <c r="BE400" s="6" t="s">
        <v>1396</v>
      </c>
    </row>
    <row r="401" customFormat="false" ht="25" hidden="false" customHeight="false" outlineLevel="0" collapsed="false">
      <c r="A401" s="4" t="s">
        <v>57</v>
      </c>
      <c r="B401" s="5" t="s">
        <v>1623</v>
      </c>
      <c r="C401" s="1"/>
      <c r="D401" s="5" t="s">
        <v>1624</v>
      </c>
      <c r="E401" s="14"/>
      <c r="BE401" s="6" t="s">
        <v>1396</v>
      </c>
    </row>
    <row r="402" customFormat="false" ht="25" hidden="false" customHeight="false" outlineLevel="0" collapsed="false">
      <c r="A402" s="4" t="s">
        <v>57</v>
      </c>
      <c r="B402" s="5" t="s">
        <v>1625</v>
      </c>
      <c r="C402" s="1"/>
      <c r="D402" s="5" t="s">
        <v>1626</v>
      </c>
      <c r="E402" s="14"/>
      <c r="BE402" s="6" t="s">
        <v>1396</v>
      </c>
    </row>
    <row r="403" customFormat="false" ht="71" hidden="false" customHeight="false" outlineLevel="0" collapsed="false">
      <c r="A403" s="4" t="s">
        <v>57</v>
      </c>
      <c r="B403" s="5" t="s">
        <v>1627</v>
      </c>
      <c r="C403" s="1"/>
      <c r="D403" s="5" t="s">
        <v>1628</v>
      </c>
      <c r="E403" s="15" t="s">
        <v>498</v>
      </c>
      <c r="BE403" s="6" t="s">
        <v>1396</v>
      </c>
    </row>
    <row r="404" customFormat="false" ht="71" hidden="false" customHeight="false" outlineLevel="0" collapsed="false">
      <c r="A404" s="4" t="s">
        <v>57</v>
      </c>
      <c r="B404" s="5" t="s">
        <v>1627</v>
      </c>
      <c r="C404" s="1"/>
      <c r="D404" s="5" t="s">
        <v>1628</v>
      </c>
      <c r="E404" s="15" t="s">
        <v>502</v>
      </c>
      <c r="BE404" s="6" t="s">
        <v>1396</v>
      </c>
    </row>
    <row r="405" customFormat="false" ht="36.5" hidden="false" customHeight="false" outlineLevel="0" collapsed="false">
      <c r="A405" s="4" t="s">
        <v>57</v>
      </c>
      <c r="B405" s="5" t="s">
        <v>1629</v>
      </c>
      <c r="C405" s="1"/>
      <c r="D405" s="5" t="s">
        <v>1630</v>
      </c>
      <c r="E405" s="21"/>
      <c r="BE405" s="6" t="s">
        <v>1396</v>
      </c>
    </row>
    <row r="406" customFormat="false" ht="71" hidden="false" customHeight="false" outlineLevel="0" collapsed="false">
      <c r="A406" s="4" t="s">
        <v>57</v>
      </c>
      <c r="B406" s="5" t="s">
        <v>1631</v>
      </c>
      <c r="C406" s="1"/>
      <c r="D406" s="5" t="s">
        <v>1632</v>
      </c>
      <c r="E406" s="21"/>
      <c r="BE406" s="6" t="s">
        <v>1396</v>
      </c>
    </row>
    <row r="407" customFormat="false" ht="13.8" hidden="false" customHeight="false" outlineLevel="0" collapsed="false">
      <c r="A407" s="4" t="s">
        <v>57</v>
      </c>
      <c r="B407" s="5" t="s">
        <v>1633</v>
      </c>
      <c r="C407" s="1"/>
      <c r="D407" s="5" t="s">
        <v>1634</v>
      </c>
      <c r="E407" s="15" t="s">
        <v>517</v>
      </c>
      <c r="BE407" s="6" t="s">
        <v>1396</v>
      </c>
    </row>
    <row r="408" customFormat="false" ht="13.8" hidden="false" customHeight="false" outlineLevel="0" collapsed="false">
      <c r="A408" s="4" t="s">
        <v>57</v>
      </c>
      <c r="B408" s="5" t="s">
        <v>1633</v>
      </c>
      <c r="C408" s="1"/>
      <c r="D408" s="5" t="s">
        <v>1634</v>
      </c>
      <c r="E408" s="15" t="s">
        <v>390</v>
      </c>
      <c r="BE408" s="6" t="s">
        <v>1396</v>
      </c>
    </row>
    <row r="409" customFormat="false" ht="13.8" hidden="false" customHeight="false" outlineLevel="0" collapsed="false">
      <c r="A409" s="4" t="s">
        <v>57</v>
      </c>
      <c r="B409" s="5" t="s">
        <v>1633</v>
      </c>
      <c r="C409" s="1"/>
      <c r="D409" s="5" t="s">
        <v>1634</v>
      </c>
      <c r="E409" s="15" t="s">
        <v>1586</v>
      </c>
      <c r="BE409" s="6" t="s">
        <v>1396</v>
      </c>
    </row>
    <row r="410" customFormat="false" ht="36.5" hidden="false" customHeight="false" outlineLevel="0" collapsed="false">
      <c r="A410" s="4" t="s">
        <v>57</v>
      </c>
      <c r="B410" s="5" t="s">
        <v>1635</v>
      </c>
      <c r="C410" s="1"/>
      <c r="D410" s="5" t="s">
        <v>1636</v>
      </c>
      <c r="E410" s="21"/>
      <c r="BE410" s="6" t="s">
        <v>1396</v>
      </c>
    </row>
    <row r="411" customFormat="false" ht="36.5" hidden="false" customHeight="false" outlineLevel="0" collapsed="false">
      <c r="A411" s="4" t="s">
        <v>57</v>
      </c>
      <c r="B411" s="5" t="s">
        <v>1637</v>
      </c>
      <c r="C411" s="1"/>
      <c r="D411" s="5" t="s">
        <v>1638</v>
      </c>
      <c r="E411" s="21"/>
      <c r="BE411" s="6" t="s">
        <v>1396</v>
      </c>
    </row>
    <row r="412" customFormat="false" ht="25" hidden="false" customHeight="false" outlineLevel="0" collapsed="false">
      <c r="A412" s="4" t="s">
        <v>57</v>
      </c>
      <c r="B412" s="5" t="s">
        <v>1639</v>
      </c>
      <c r="C412" s="1"/>
      <c r="D412" s="5" t="s">
        <v>1640</v>
      </c>
      <c r="E412" s="21"/>
      <c r="BE412" s="6" t="s">
        <v>1396</v>
      </c>
    </row>
    <row r="413" customFormat="false" ht="25" hidden="false" customHeight="false" outlineLevel="0" collapsed="false">
      <c r="A413" s="4" t="s">
        <v>57</v>
      </c>
      <c r="B413" s="5" t="s">
        <v>1641</v>
      </c>
      <c r="C413" s="1"/>
      <c r="D413" s="5" t="s">
        <v>1642</v>
      </c>
      <c r="E413" s="14"/>
      <c r="BE413" s="6" t="s">
        <v>1396</v>
      </c>
    </row>
    <row r="414" customFormat="false" ht="25" hidden="false" customHeight="false" outlineLevel="0" collapsed="false">
      <c r="A414" s="4" t="s">
        <v>57</v>
      </c>
      <c r="B414" s="5" t="s">
        <v>1641</v>
      </c>
      <c r="C414" s="1"/>
      <c r="D414" s="5" t="s">
        <v>1642</v>
      </c>
      <c r="E414" s="14"/>
      <c r="BE414" s="6" t="s">
        <v>1396</v>
      </c>
    </row>
    <row r="415" customFormat="false" ht="36.5" hidden="false" customHeight="false" outlineLevel="0" collapsed="false">
      <c r="A415" s="4" t="s">
        <v>57</v>
      </c>
      <c r="B415" s="5" t="s">
        <v>1643</v>
      </c>
      <c r="C415" s="1"/>
      <c r="D415" s="5" t="s">
        <v>1644</v>
      </c>
      <c r="E415" s="15" t="s">
        <v>1586</v>
      </c>
      <c r="BE415" s="6" t="s">
        <v>1396</v>
      </c>
    </row>
    <row r="416" customFormat="false" ht="36.5" hidden="false" customHeight="false" outlineLevel="0" collapsed="false">
      <c r="A416" s="4" t="s">
        <v>57</v>
      </c>
      <c r="B416" s="5" t="s">
        <v>1643</v>
      </c>
      <c r="C416" s="1"/>
      <c r="D416" s="5" t="s">
        <v>1644</v>
      </c>
      <c r="E416" s="15" t="s">
        <v>517</v>
      </c>
      <c r="BE416" s="6" t="s">
        <v>1396</v>
      </c>
    </row>
    <row r="417" customFormat="false" ht="36.5" hidden="false" customHeight="false" outlineLevel="0" collapsed="false">
      <c r="A417" s="4" t="s">
        <v>57</v>
      </c>
      <c r="B417" s="5" t="s">
        <v>1645</v>
      </c>
      <c r="C417" s="1"/>
      <c r="D417" s="5" t="s">
        <v>1646</v>
      </c>
      <c r="E417" s="15" t="s">
        <v>381</v>
      </c>
      <c r="BE417" s="6" t="s">
        <v>1396</v>
      </c>
    </row>
    <row r="418" customFormat="false" ht="25" hidden="false" customHeight="false" outlineLevel="0" collapsed="false">
      <c r="A418" s="4" t="s">
        <v>57</v>
      </c>
      <c r="B418" s="5" t="s">
        <v>1647</v>
      </c>
      <c r="C418" s="1"/>
      <c r="D418" s="5" t="s">
        <v>1648</v>
      </c>
      <c r="E418" s="15" t="s">
        <v>517</v>
      </c>
      <c r="BE418" s="6" t="s">
        <v>1396</v>
      </c>
    </row>
    <row r="419" customFormat="false" ht="25" hidden="false" customHeight="false" outlineLevel="0" collapsed="false">
      <c r="A419" s="4" t="s">
        <v>57</v>
      </c>
      <c r="B419" s="5" t="s">
        <v>1647</v>
      </c>
      <c r="C419" s="1"/>
      <c r="D419" s="5" t="s">
        <v>1648</v>
      </c>
      <c r="E419" s="15" t="s">
        <v>1649</v>
      </c>
      <c r="BE419" s="6" t="s">
        <v>1396</v>
      </c>
    </row>
    <row r="420" customFormat="false" ht="25" hidden="false" customHeight="false" outlineLevel="0" collapsed="false">
      <c r="A420" s="4" t="s">
        <v>57</v>
      </c>
      <c r="B420" s="5" t="s">
        <v>1647</v>
      </c>
      <c r="C420" s="1"/>
      <c r="D420" s="5" t="s">
        <v>1648</v>
      </c>
      <c r="E420" s="15" t="s">
        <v>1586</v>
      </c>
      <c r="BE420" s="6" t="s">
        <v>1396</v>
      </c>
    </row>
    <row r="421" customFormat="false" ht="25" hidden="false" customHeight="false" outlineLevel="0" collapsed="false">
      <c r="A421" s="4" t="s">
        <v>57</v>
      </c>
      <c r="B421" s="5" t="s">
        <v>1647</v>
      </c>
      <c r="C421" s="1"/>
      <c r="D421" s="5" t="s">
        <v>1648</v>
      </c>
      <c r="E421" s="15" t="s">
        <v>395</v>
      </c>
      <c r="BE421" s="6" t="s">
        <v>1396</v>
      </c>
    </row>
    <row r="422" customFormat="false" ht="25" hidden="false" customHeight="false" outlineLevel="0" collapsed="false">
      <c r="A422" s="4" t="s">
        <v>57</v>
      </c>
      <c r="B422" s="5" t="s">
        <v>1650</v>
      </c>
      <c r="C422" s="1"/>
      <c r="D422" s="5" t="s">
        <v>1651</v>
      </c>
      <c r="E422" s="14"/>
      <c r="BE422" s="6" t="s">
        <v>1396</v>
      </c>
    </row>
    <row r="423" customFormat="false" ht="36.5" hidden="false" customHeight="false" outlineLevel="0" collapsed="false">
      <c r="A423" s="4" t="s">
        <v>57</v>
      </c>
      <c r="B423" s="5" t="s">
        <v>1652</v>
      </c>
      <c r="C423" s="1"/>
      <c r="D423" s="5" t="s">
        <v>1653</v>
      </c>
      <c r="E423" s="15" t="s">
        <v>517</v>
      </c>
      <c r="BE423" s="6" t="s">
        <v>1396</v>
      </c>
    </row>
    <row r="424" customFormat="false" ht="36.5" hidden="false" customHeight="false" outlineLevel="0" collapsed="false">
      <c r="A424" s="4" t="s">
        <v>57</v>
      </c>
      <c r="B424" s="5" t="s">
        <v>1652</v>
      </c>
      <c r="C424" s="1"/>
      <c r="D424" s="5" t="s">
        <v>1653</v>
      </c>
      <c r="E424" s="15" t="s">
        <v>1586</v>
      </c>
      <c r="BE424" s="6" t="s">
        <v>1396</v>
      </c>
    </row>
    <row r="425" customFormat="false" ht="36.5" hidden="false" customHeight="false" outlineLevel="0" collapsed="false">
      <c r="A425" s="4" t="s">
        <v>57</v>
      </c>
      <c r="B425" s="5" t="s">
        <v>1652</v>
      </c>
      <c r="C425" s="1"/>
      <c r="D425" s="5" t="s">
        <v>1653</v>
      </c>
      <c r="E425" s="15" t="s">
        <v>517</v>
      </c>
      <c r="BE425" s="6" t="s">
        <v>1396</v>
      </c>
    </row>
    <row r="426" customFormat="false" ht="36.5" hidden="false" customHeight="false" outlineLevel="0" collapsed="false">
      <c r="A426" s="4" t="s">
        <v>57</v>
      </c>
      <c r="B426" s="5" t="s">
        <v>1654</v>
      </c>
      <c r="C426" s="1"/>
      <c r="D426" s="5" t="s">
        <v>1655</v>
      </c>
      <c r="E426" s="15" t="s">
        <v>517</v>
      </c>
      <c r="BE426" s="6" t="s">
        <v>1396</v>
      </c>
    </row>
    <row r="427" customFormat="false" ht="36.5" hidden="false" customHeight="false" outlineLevel="0" collapsed="false">
      <c r="A427" s="4" t="s">
        <v>57</v>
      </c>
      <c r="B427" s="5" t="s">
        <v>1654</v>
      </c>
      <c r="C427" s="1"/>
      <c r="D427" s="5" t="s">
        <v>1655</v>
      </c>
      <c r="E427" s="15" t="s">
        <v>1586</v>
      </c>
      <c r="BE427" s="6" t="s">
        <v>1396</v>
      </c>
    </row>
    <row r="428" customFormat="false" ht="36.5" hidden="false" customHeight="false" outlineLevel="0" collapsed="false">
      <c r="A428" s="4" t="s">
        <v>57</v>
      </c>
      <c r="B428" s="5" t="s">
        <v>1656</v>
      </c>
      <c r="C428" s="1"/>
      <c r="D428" s="5" t="s">
        <v>1657</v>
      </c>
      <c r="E428" s="15" t="s">
        <v>1586</v>
      </c>
      <c r="BE428" s="6" t="s">
        <v>1396</v>
      </c>
    </row>
    <row r="429" customFormat="false" ht="36.5" hidden="false" customHeight="false" outlineLevel="0" collapsed="false">
      <c r="A429" s="4" t="s">
        <v>57</v>
      </c>
      <c r="B429" s="5" t="s">
        <v>1656</v>
      </c>
      <c r="C429" s="1"/>
      <c r="D429" s="5" t="s">
        <v>1657</v>
      </c>
      <c r="E429" s="15" t="s">
        <v>517</v>
      </c>
      <c r="BE429" s="6" t="s">
        <v>1396</v>
      </c>
    </row>
    <row r="430" customFormat="false" ht="25" hidden="false" customHeight="false" outlineLevel="0" collapsed="false">
      <c r="A430" s="4" t="s">
        <v>57</v>
      </c>
      <c r="B430" s="5" t="s">
        <v>1658</v>
      </c>
      <c r="C430" s="1"/>
      <c r="D430" s="5" t="s">
        <v>1659</v>
      </c>
      <c r="E430" s="14"/>
      <c r="BE430" s="6" t="s">
        <v>1396</v>
      </c>
    </row>
    <row r="431" customFormat="false" ht="25" hidden="false" customHeight="false" outlineLevel="0" collapsed="false">
      <c r="A431" s="4" t="s">
        <v>57</v>
      </c>
      <c r="B431" s="5" t="s">
        <v>1660</v>
      </c>
      <c r="C431" s="1"/>
      <c r="D431" s="5" t="s">
        <v>1661</v>
      </c>
      <c r="E431" s="14"/>
      <c r="BE431" s="6" t="s">
        <v>1396</v>
      </c>
    </row>
    <row r="432" customFormat="false" ht="48" hidden="false" customHeight="false" outlineLevel="0" collapsed="false">
      <c r="A432" s="4" t="s">
        <v>57</v>
      </c>
      <c r="B432" s="5" t="s">
        <v>1662</v>
      </c>
      <c r="C432" s="1"/>
      <c r="D432" s="5" t="s">
        <v>1663</v>
      </c>
      <c r="E432" s="14"/>
      <c r="BE432" s="6" t="s">
        <v>1396</v>
      </c>
    </row>
    <row r="433" customFormat="false" ht="36.5" hidden="false" customHeight="false" outlineLevel="0" collapsed="false">
      <c r="A433" s="4" t="s">
        <v>57</v>
      </c>
      <c r="B433" s="5" t="s">
        <v>1664</v>
      </c>
      <c r="C433" s="1"/>
      <c r="D433" s="5" t="s">
        <v>1665</v>
      </c>
      <c r="E433" s="14"/>
      <c r="BE433" s="6" t="s">
        <v>1396</v>
      </c>
    </row>
    <row r="434" customFormat="false" ht="48" hidden="false" customHeight="false" outlineLevel="0" collapsed="false">
      <c r="A434" s="4" t="s">
        <v>57</v>
      </c>
      <c r="B434" s="5" t="s">
        <v>1666</v>
      </c>
      <c r="C434" s="1"/>
      <c r="D434" s="5" t="s">
        <v>1667</v>
      </c>
      <c r="E434" s="21"/>
      <c r="BE434" s="6" t="s">
        <v>1396</v>
      </c>
    </row>
    <row r="435" customFormat="false" ht="36.5" hidden="false" customHeight="false" outlineLevel="0" collapsed="false">
      <c r="A435" s="4" t="s">
        <v>57</v>
      </c>
      <c r="B435" s="5" t="s">
        <v>1668</v>
      </c>
      <c r="C435" s="1"/>
      <c r="D435" s="5" t="s">
        <v>1669</v>
      </c>
      <c r="E435" s="21"/>
      <c r="BE435" s="6" t="s">
        <v>1396</v>
      </c>
    </row>
    <row r="436" customFormat="false" ht="82.5" hidden="false" customHeight="false" outlineLevel="0" collapsed="false">
      <c r="A436" s="4" t="s">
        <v>57</v>
      </c>
      <c r="B436" s="5" t="s">
        <v>1670</v>
      </c>
      <c r="C436" s="1"/>
      <c r="D436" s="5" t="s">
        <v>1671</v>
      </c>
      <c r="E436" s="21"/>
      <c r="BE436" s="6" t="s">
        <v>1396</v>
      </c>
    </row>
    <row r="437" customFormat="false" ht="36.5" hidden="false" customHeight="false" outlineLevel="0" collapsed="false">
      <c r="A437" s="4" t="s">
        <v>57</v>
      </c>
      <c r="B437" s="5" t="s">
        <v>1672</v>
      </c>
      <c r="C437" s="1"/>
      <c r="D437" s="5" t="s">
        <v>1673</v>
      </c>
      <c r="E437" s="21"/>
      <c r="BE437" s="6" t="s">
        <v>1396</v>
      </c>
    </row>
    <row r="438" customFormat="false" ht="36.5" hidden="false" customHeight="false" outlineLevel="0" collapsed="false">
      <c r="A438" s="4" t="s">
        <v>57</v>
      </c>
      <c r="B438" s="5" t="s">
        <v>1672</v>
      </c>
      <c r="C438" s="1"/>
      <c r="D438" s="5" t="s">
        <v>1673</v>
      </c>
      <c r="E438" s="21"/>
      <c r="BE438" s="6" t="s">
        <v>1396</v>
      </c>
    </row>
    <row r="439" customFormat="false" ht="36.5" hidden="false" customHeight="false" outlineLevel="0" collapsed="false">
      <c r="A439" s="4" t="s">
        <v>57</v>
      </c>
      <c r="B439" s="5" t="s">
        <v>1672</v>
      </c>
      <c r="C439" s="1"/>
      <c r="D439" s="5" t="s">
        <v>1673</v>
      </c>
      <c r="E439" s="21"/>
      <c r="BE439" s="6" t="s">
        <v>1396</v>
      </c>
    </row>
    <row r="440" customFormat="false" ht="36.5" hidden="false" customHeight="false" outlineLevel="0" collapsed="false">
      <c r="A440" s="4" t="s">
        <v>57</v>
      </c>
      <c r="B440" s="5" t="s">
        <v>1674</v>
      </c>
      <c r="C440" s="1"/>
      <c r="D440" s="5" t="s">
        <v>1675</v>
      </c>
      <c r="E440" s="21"/>
      <c r="BE440" s="6" t="s">
        <v>1396</v>
      </c>
    </row>
    <row r="441" customFormat="false" ht="36.5" hidden="false" customHeight="false" outlineLevel="0" collapsed="false">
      <c r="A441" s="4" t="s">
        <v>57</v>
      </c>
      <c r="B441" s="5" t="s">
        <v>1674</v>
      </c>
      <c r="C441" s="1"/>
      <c r="D441" s="5" t="s">
        <v>1675</v>
      </c>
      <c r="E441" s="21"/>
      <c r="BE441" s="6" t="s">
        <v>1396</v>
      </c>
    </row>
    <row r="442" customFormat="false" ht="59.5" hidden="false" customHeight="false" outlineLevel="0" collapsed="false">
      <c r="A442" s="4" t="s">
        <v>57</v>
      </c>
      <c r="B442" s="5" t="s">
        <v>1676</v>
      </c>
      <c r="C442" s="1"/>
      <c r="D442" s="5" t="s">
        <v>1677</v>
      </c>
      <c r="E442" s="21"/>
      <c r="BE442" s="6" t="s">
        <v>1396</v>
      </c>
    </row>
    <row r="443" customFormat="false" ht="59.5" hidden="false" customHeight="false" outlineLevel="0" collapsed="false">
      <c r="A443" s="4" t="s">
        <v>57</v>
      </c>
      <c r="B443" s="5" t="s">
        <v>1678</v>
      </c>
      <c r="C443" s="1"/>
      <c r="D443" s="5" t="s">
        <v>1679</v>
      </c>
      <c r="E443" s="21"/>
      <c r="BE443" s="6" t="s">
        <v>1396</v>
      </c>
    </row>
    <row r="444" customFormat="false" ht="25" hidden="false" customHeight="false" outlineLevel="0" collapsed="false">
      <c r="A444" s="4" t="s">
        <v>57</v>
      </c>
      <c r="B444" s="5" t="s">
        <v>1680</v>
      </c>
      <c r="C444" s="1"/>
      <c r="D444" s="5" t="s">
        <v>1681</v>
      </c>
      <c r="E444" s="21"/>
      <c r="BE444" s="6" t="s">
        <v>1396</v>
      </c>
    </row>
    <row r="445" customFormat="false" ht="25" hidden="false" customHeight="false" outlineLevel="0" collapsed="false">
      <c r="A445" s="4" t="s">
        <v>57</v>
      </c>
      <c r="B445" s="5" t="s">
        <v>1682</v>
      </c>
      <c r="C445" s="1"/>
      <c r="D445" s="5" t="s">
        <v>1681</v>
      </c>
      <c r="E445" s="21"/>
      <c r="BE445" s="6" t="s">
        <v>1396</v>
      </c>
    </row>
    <row r="446" customFormat="false" ht="48" hidden="false" customHeight="false" outlineLevel="0" collapsed="false">
      <c r="A446" s="4" t="s">
        <v>57</v>
      </c>
      <c r="B446" s="5" t="s">
        <v>1683</v>
      </c>
      <c r="C446" s="1"/>
      <c r="D446" s="5" t="s">
        <v>1684</v>
      </c>
      <c r="E446" s="21"/>
      <c r="BE446" s="6" t="s">
        <v>1396</v>
      </c>
    </row>
    <row r="447" customFormat="false" ht="59.5" hidden="false" customHeight="false" outlineLevel="0" collapsed="false">
      <c r="A447" s="4" t="s">
        <v>57</v>
      </c>
      <c r="B447" s="5" t="s">
        <v>1685</v>
      </c>
      <c r="C447" s="1"/>
      <c r="D447" s="5" t="s">
        <v>1686</v>
      </c>
      <c r="E447" s="15" t="s">
        <v>498</v>
      </c>
      <c r="BE447" s="6" t="s">
        <v>1396</v>
      </c>
    </row>
    <row r="448" customFormat="false" ht="59.5" hidden="false" customHeight="false" outlineLevel="0" collapsed="false">
      <c r="A448" s="4" t="s">
        <v>57</v>
      </c>
      <c r="B448" s="5" t="s">
        <v>1685</v>
      </c>
      <c r="C448" s="1"/>
      <c r="D448" s="5" t="s">
        <v>1686</v>
      </c>
      <c r="E448" s="15" t="s">
        <v>502</v>
      </c>
      <c r="BE448" s="6" t="s">
        <v>1396</v>
      </c>
    </row>
    <row r="449" customFormat="false" ht="25" hidden="false" customHeight="false" outlineLevel="0" collapsed="false">
      <c r="A449" s="4" t="s">
        <v>57</v>
      </c>
      <c r="B449" s="5" t="s">
        <v>1687</v>
      </c>
      <c r="C449" s="1"/>
      <c r="D449" s="5" t="s">
        <v>1688</v>
      </c>
      <c r="E449" s="15" t="s">
        <v>517</v>
      </c>
      <c r="BE449" s="6" t="s">
        <v>1396</v>
      </c>
    </row>
    <row r="450" customFormat="false" ht="25" hidden="false" customHeight="false" outlineLevel="0" collapsed="false">
      <c r="A450" s="4" t="s">
        <v>57</v>
      </c>
      <c r="B450" s="5" t="s">
        <v>1687</v>
      </c>
      <c r="C450" s="1"/>
      <c r="D450" s="5" t="s">
        <v>1688</v>
      </c>
      <c r="E450" s="15" t="s">
        <v>1586</v>
      </c>
      <c r="BE450" s="6" t="s">
        <v>1396</v>
      </c>
    </row>
    <row r="451" customFormat="false" ht="36.5" hidden="false" customHeight="false" outlineLevel="0" collapsed="false">
      <c r="A451" s="4" t="s">
        <v>57</v>
      </c>
      <c r="B451" s="5" t="s">
        <v>1689</v>
      </c>
      <c r="C451" s="1"/>
      <c r="D451" s="5" t="s">
        <v>1690</v>
      </c>
      <c r="E451" s="21"/>
      <c r="BE451" s="6" t="s">
        <v>1396</v>
      </c>
    </row>
    <row r="452" customFormat="false" ht="36.5" hidden="false" customHeight="false" outlineLevel="0" collapsed="false">
      <c r="A452" s="4" t="s">
        <v>57</v>
      </c>
      <c r="B452" s="5" t="s">
        <v>1691</v>
      </c>
      <c r="C452" s="1"/>
      <c r="D452" s="5" t="s">
        <v>1690</v>
      </c>
      <c r="E452" s="21"/>
      <c r="BE452" s="6" t="s">
        <v>1396</v>
      </c>
    </row>
    <row r="453" customFormat="false" ht="48" hidden="false" customHeight="false" outlineLevel="0" collapsed="false">
      <c r="A453" s="4" t="s">
        <v>57</v>
      </c>
      <c r="B453" s="5" t="s">
        <v>1692</v>
      </c>
      <c r="C453" s="1"/>
      <c r="D453" s="5" t="s">
        <v>1693</v>
      </c>
      <c r="E453" s="21"/>
      <c r="BE453" s="6" t="s">
        <v>1396</v>
      </c>
    </row>
    <row r="454" customFormat="false" ht="48" hidden="false" customHeight="false" outlineLevel="0" collapsed="false">
      <c r="A454" s="4" t="s">
        <v>57</v>
      </c>
      <c r="B454" s="5" t="s">
        <v>1692</v>
      </c>
      <c r="C454" s="1"/>
      <c r="D454" s="5" t="s">
        <v>1693</v>
      </c>
      <c r="E454" s="21"/>
      <c r="BE454" s="6" t="s">
        <v>1396</v>
      </c>
    </row>
    <row r="455" customFormat="false" ht="48" hidden="false" customHeight="false" outlineLevel="0" collapsed="false">
      <c r="A455" s="4" t="s">
        <v>57</v>
      </c>
      <c r="B455" s="5" t="s">
        <v>1694</v>
      </c>
      <c r="C455" s="1"/>
      <c r="D455" s="5" t="s">
        <v>1695</v>
      </c>
      <c r="E455" s="21"/>
      <c r="BE455" s="6" t="s">
        <v>1396</v>
      </c>
    </row>
    <row r="456" customFormat="false" ht="25" hidden="false" customHeight="false" outlineLevel="0" collapsed="false">
      <c r="A456" s="4" t="s">
        <v>57</v>
      </c>
      <c r="B456" s="5" t="s">
        <v>1696</v>
      </c>
      <c r="C456" s="1"/>
      <c r="D456" s="5" t="s">
        <v>1697</v>
      </c>
      <c r="E456" s="21"/>
      <c r="BE456" s="6" t="s">
        <v>1396</v>
      </c>
    </row>
    <row r="457" customFormat="false" ht="36.5" hidden="false" customHeight="false" outlineLevel="0" collapsed="false">
      <c r="A457" s="4" t="s">
        <v>57</v>
      </c>
      <c r="B457" s="5" t="s">
        <v>1698</v>
      </c>
      <c r="C457" s="1"/>
      <c r="D457" s="5" t="s">
        <v>1699</v>
      </c>
      <c r="E457" s="21"/>
      <c r="BE457" s="6" t="s">
        <v>1396</v>
      </c>
    </row>
    <row r="458" customFormat="false" ht="36.5" hidden="false" customHeight="false" outlineLevel="0" collapsed="false">
      <c r="A458" s="4" t="s">
        <v>57</v>
      </c>
      <c r="B458" s="5" t="s">
        <v>1700</v>
      </c>
      <c r="C458" s="1"/>
      <c r="D458" s="5" t="s">
        <v>1701</v>
      </c>
      <c r="E458" s="21"/>
      <c r="BE458" s="6" t="s">
        <v>1396</v>
      </c>
    </row>
    <row r="459" customFormat="false" ht="36.5" hidden="false" customHeight="false" outlineLevel="0" collapsed="false">
      <c r="A459" s="4" t="s">
        <v>57</v>
      </c>
      <c r="B459" s="5" t="s">
        <v>1702</v>
      </c>
      <c r="C459" s="1"/>
      <c r="D459" s="5" t="s">
        <v>1703</v>
      </c>
      <c r="E459" s="21"/>
      <c r="BE459" s="6" t="s">
        <v>1396</v>
      </c>
    </row>
    <row r="460" customFormat="false" ht="36.5" hidden="false" customHeight="false" outlineLevel="0" collapsed="false">
      <c r="A460" s="4" t="s">
        <v>57</v>
      </c>
      <c r="B460" s="5" t="s">
        <v>1704</v>
      </c>
      <c r="C460" s="1"/>
      <c r="D460" s="5" t="s">
        <v>1705</v>
      </c>
      <c r="E460" s="21"/>
      <c r="BE460" s="6" t="s">
        <v>1396</v>
      </c>
    </row>
    <row r="461" customFormat="false" ht="50" hidden="false" customHeight="false" outlineLevel="0" collapsed="false">
      <c r="A461" s="4" t="s">
        <v>57</v>
      </c>
      <c r="B461" s="20" t="s">
        <v>1706</v>
      </c>
      <c r="C461" s="1"/>
      <c r="D461" s="20" t="s">
        <v>1707</v>
      </c>
      <c r="E461" s="21"/>
      <c r="BE461" s="6" t="s">
        <v>1708</v>
      </c>
    </row>
    <row r="462" customFormat="false" ht="59.5" hidden="false" customHeight="false" outlineLevel="0" collapsed="false">
      <c r="A462" s="4" t="s">
        <v>57</v>
      </c>
      <c r="B462" s="22" t="s">
        <v>1709</v>
      </c>
      <c r="C462" s="1"/>
      <c r="D462" s="22" t="s">
        <v>1710</v>
      </c>
      <c r="BE462" s="6" t="s">
        <v>1708</v>
      </c>
    </row>
    <row r="463" customFormat="false" ht="26" hidden="false" customHeight="false" outlineLevel="0" collapsed="false">
      <c r="A463" s="4" t="s">
        <v>57</v>
      </c>
      <c r="B463" s="20" t="s">
        <v>1711</v>
      </c>
      <c r="C463" s="1"/>
      <c r="D463" s="20" t="s">
        <v>1712</v>
      </c>
      <c r="BE463" s="6" t="s">
        <v>1708</v>
      </c>
    </row>
    <row r="464" customFormat="false" ht="38" hidden="false" customHeight="false" outlineLevel="0" collapsed="false">
      <c r="A464" s="4" t="s">
        <v>57</v>
      </c>
      <c r="B464" s="20" t="s">
        <v>1713</v>
      </c>
      <c r="C464" s="1"/>
      <c r="D464" s="20" t="s">
        <v>1714</v>
      </c>
      <c r="BE464" s="6" t="s">
        <v>1708</v>
      </c>
    </row>
    <row r="465" customFormat="false" ht="50" hidden="false" customHeight="false" outlineLevel="0" collapsed="false">
      <c r="A465" s="4" t="s">
        <v>57</v>
      </c>
      <c r="B465" s="20" t="s">
        <v>1715</v>
      </c>
      <c r="C465" s="1"/>
      <c r="D465" s="20" t="s">
        <v>1716</v>
      </c>
      <c r="BE465" s="6" t="s">
        <v>1708</v>
      </c>
    </row>
    <row r="466" customFormat="false" ht="38" hidden="false" customHeight="false" outlineLevel="0" collapsed="false">
      <c r="A466" s="4" t="s">
        <v>57</v>
      </c>
      <c r="B466" s="20" t="s">
        <v>1717</v>
      </c>
      <c r="C466" s="1"/>
      <c r="D466" s="20" t="s">
        <v>1718</v>
      </c>
      <c r="BE466" s="6" t="s">
        <v>1708</v>
      </c>
    </row>
    <row r="467" customFormat="false" ht="38" hidden="false" customHeight="false" outlineLevel="0" collapsed="false">
      <c r="A467" s="4" t="s">
        <v>57</v>
      </c>
      <c r="B467" s="20" t="s">
        <v>1719</v>
      </c>
      <c r="C467" s="1"/>
      <c r="D467" s="20" t="s">
        <v>1720</v>
      </c>
      <c r="BE467" s="6" t="s">
        <v>1708</v>
      </c>
    </row>
    <row r="468" customFormat="false" ht="50" hidden="false" customHeight="false" outlineLevel="0" collapsed="false">
      <c r="A468" s="4" t="s">
        <v>57</v>
      </c>
      <c r="B468" s="20" t="s">
        <v>1721</v>
      </c>
      <c r="C468" s="1"/>
      <c r="D468" s="20" t="s">
        <v>1722</v>
      </c>
      <c r="BE468" s="6" t="s">
        <v>1708</v>
      </c>
    </row>
    <row r="469" customFormat="false" ht="50" hidden="false" customHeight="false" outlineLevel="0" collapsed="false">
      <c r="A469" s="4" t="s">
        <v>57</v>
      </c>
      <c r="B469" s="20" t="s">
        <v>1721</v>
      </c>
      <c r="C469" s="1"/>
      <c r="D469" s="20" t="s">
        <v>1722</v>
      </c>
      <c r="BE469" s="6" t="s">
        <v>1708</v>
      </c>
    </row>
    <row r="470" customFormat="false" ht="15" hidden="false" customHeight="false" outlineLevel="0" collapsed="false">
      <c r="A470" s="4" t="s">
        <v>57</v>
      </c>
      <c r="B470" s="20" t="s">
        <v>1723</v>
      </c>
      <c r="C470" s="1"/>
      <c r="D470" s="20" t="s">
        <v>1724</v>
      </c>
      <c r="BE470" s="6" t="s">
        <v>1708</v>
      </c>
    </row>
    <row r="471" customFormat="false" ht="50" hidden="false" customHeight="false" outlineLevel="0" collapsed="false">
      <c r="A471" s="4" t="s">
        <v>57</v>
      </c>
      <c r="B471" s="20" t="s">
        <v>1725</v>
      </c>
      <c r="C471" s="1"/>
      <c r="D471" s="20" t="s">
        <v>1726</v>
      </c>
      <c r="BE471" s="6" t="s">
        <v>1708</v>
      </c>
    </row>
    <row r="472" customFormat="false" ht="50" hidden="false" customHeight="false" outlineLevel="0" collapsed="false">
      <c r="A472" s="4" t="s">
        <v>57</v>
      </c>
      <c r="B472" s="20" t="s">
        <v>1727</v>
      </c>
      <c r="C472" s="1"/>
      <c r="D472" s="20" t="s">
        <v>1728</v>
      </c>
      <c r="BE472" s="6" t="s">
        <v>1708</v>
      </c>
    </row>
    <row r="473" customFormat="false" ht="50" hidden="false" customHeight="false" outlineLevel="0" collapsed="false">
      <c r="A473" s="4" t="s">
        <v>57</v>
      </c>
      <c r="B473" s="20" t="s">
        <v>1729</v>
      </c>
      <c r="C473" s="1"/>
      <c r="D473" s="20" t="s">
        <v>1730</v>
      </c>
      <c r="BE473" s="6" t="s">
        <v>1708</v>
      </c>
    </row>
    <row r="474" customFormat="false" ht="50" hidden="false" customHeight="false" outlineLevel="0" collapsed="false">
      <c r="A474" s="4" t="s">
        <v>57</v>
      </c>
      <c r="B474" s="20" t="s">
        <v>1731</v>
      </c>
      <c r="C474" s="1"/>
      <c r="D474" s="20" t="s">
        <v>1732</v>
      </c>
      <c r="BE474" s="6" t="s">
        <v>1708</v>
      </c>
    </row>
    <row r="475" customFormat="false" ht="26" hidden="false" customHeight="false" outlineLevel="0" collapsed="false">
      <c r="A475" s="4" t="s">
        <v>57</v>
      </c>
      <c r="B475" s="20" t="s">
        <v>1733</v>
      </c>
      <c r="C475" s="1"/>
      <c r="D475" s="20" t="s">
        <v>1734</v>
      </c>
      <c r="BE475" s="6" t="s">
        <v>1708</v>
      </c>
    </row>
    <row r="476" customFormat="false" ht="26" hidden="false" customHeight="false" outlineLevel="0" collapsed="false">
      <c r="A476" s="4" t="s">
        <v>57</v>
      </c>
      <c r="B476" s="20" t="s">
        <v>1735</v>
      </c>
      <c r="C476" s="1"/>
      <c r="D476" s="20" t="s">
        <v>1736</v>
      </c>
      <c r="BE476" s="6" t="s">
        <v>1708</v>
      </c>
    </row>
    <row r="477" customFormat="false" ht="62" hidden="false" customHeight="false" outlineLevel="0" collapsed="false">
      <c r="A477" s="4" t="s">
        <v>57</v>
      </c>
      <c r="B477" s="20" t="s">
        <v>1737</v>
      </c>
      <c r="C477" s="1"/>
      <c r="D477" s="20" t="s">
        <v>1738</v>
      </c>
      <c r="BE477" s="6" t="s">
        <v>1708</v>
      </c>
    </row>
    <row r="478" customFormat="false" ht="38" hidden="false" customHeight="false" outlineLevel="0" collapsed="false">
      <c r="A478" s="4" t="s">
        <v>57</v>
      </c>
      <c r="B478" s="20" t="s">
        <v>1739</v>
      </c>
      <c r="C478" s="1"/>
      <c r="D478" s="20" t="s">
        <v>1740</v>
      </c>
      <c r="BE478" s="6" t="s">
        <v>1708</v>
      </c>
    </row>
    <row r="479" customFormat="false" ht="26" hidden="false" customHeight="false" outlineLevel="0" collapsed="false">
      <c r="A479" s="4" t="s">
        <v>57</v>
      </c>
      <c r="B479" s="20" t="s">
        <v>1741</v>
      </c>
      <c r="C479" s="1"/>
      <c r="D479" s="20" t="s">
        <v>1742</v>
      </c>
      <c r="BE479" s="6" t="s">
        <v>1708</v>
      </c>
    </row>
    <row r="480" customFormat="false" ht="74" hidden="false" customHeight="false" outlineLevel="0" collapsed="false">
      <c r="A480" s="4" t="s">
        <v>57</v>
      </c>
      <c r="B480" s="20" t="s">
        <v>1743</v>
      </c>
      <c r="C480" s="1"/>
      <c r="D480" s="20" t="s">
        <v>1744</v>
      </c>
      <c r="BE480" s="6" t="s">
        <v>1708</v>
      </c>
    </row>
    <row r="481" customFormat="false" ht="15" hidden="false" customHeight="false" outlineLevel="0" collapsed="false">
      <c r="A481" s="4" t="s">
        <v>57</v>
      </c>
      <c r="B481" s="20" t="s">
        <v>1745</v>
      </c>
      <c r="C481" s="1"/>
      <c r="D481" s="20" t="s">
        <v>1746</v>
      </c>
      <c r="BE481" s="6" t="s">
        <v>1708</v>
      </c>
    </row>
    <row r="482" customFormat="false" ht="26" hidden="false" customHeight="false" outlineLevel="0" collapsed="false">
      <c r="A482" s="4" t="s">
        <v>57</v>
      </c>
      <c r="B482" s="20" t="s">
        <v>1747</v>
      </c>
      <c r="C482" s="1"/>
      <c r="D482" s="20" t="s">
        <v>1748</v>
      </c>
      <c r="BE482" s="6" t="s">
        <v>1708</v>
      </c>
    </row>
    <row r="483" customFormat="false" ht="26" hidden="false" customHeight="false" outlineLevel="0" collapsed="false">
      <c r="A483" s="4" t="s">
        <v>57</v>
      </c>
      <c r="B483" s="20" t="s">
        <v>1749</v>
      </c>
      <c r="C483" s="1"/>
      <c r="D483" s="20" t="s">
        <v>1750</v>
      </c>
      <c r="BE483" s="6" t="s">
        <v>1708</v>
      </c>
    </row>
    <row r="484" customFormat="false" ht="38" hidden="false" customHeight="false" outlineLevel="0" collapsed="false">
      <c r="A484" s="4" t="s">
        <v>57</v>
      </c>
      <c r="B484" s="20" t="s">
        <v>1751</v>
      </c>
      <c r="C484" s="1"/>
      <c r="D484" s="20" t="s">
        <v>1752</v>
      </c>
      <c r="BE484" s="6" t="s">
        <v>1708</v>
      </c>
    </row>
    <row r="485" customFormat="false" ht="50" hidden="false" customHeight="false" outlineLevel="0" collapsed="false">
      <c r="A485" s="4" t="s">
        <v>57</v>
      </c>
      <c r="B485" s="20" t="s">
        <v>1753</v>
      </c>
      <c r="C485" s="1"/>
      <c r="D485" s="20" t="s">
        <v>1754</v>
      </c>
      <c r="BE485" s="6" t="s">
        <v>1708</v>
      </c>
    </row>
    <row r="486" customFormat="false" ht="38" hidden="false" customHeight="false" outlineLevel="0" collapsed="false">
      <c r="A486" s="4" t="s">
        <v>57</v>
      </c>
      <c r="B486" s="20" t="s">
        <v>1755</v>
      </c>
      <c r="C486" s="1"/>
      <c r="D486" s="20" t="s">
        <v>1756</v>
      </c>
      <c r="BE486" s="6" t="s">
        <v>1708</v>
      </c>
    </row>
    <row r="487" customFormat="false" ht="26" hidden="false" customHeight="false" outlineLevel="0" collapsed="false">
      <c r="A487" s="4" t="s">
        <v>57</v>
      </c>
      <c r="B487" s="20" t="s">
        <v>1757</v>
      </c>
      <c r="C487" s="1"/>
      <c r="D487" s="20" t="s">
        <v>1758</v>
      </c>
      <c r="BE487" s="6" t="s">
        <v>1708</v>
      </c>
    </row>
    <row r="488" customFormat="false" ht="26" hidden="false" customHeight="false" outlineLevel="0" collapsed="false">
      <c r="A488" s="4" t="s">
        <v>57</v>
      </c>
      <c r="B488" s="20" t="s">
        <v>1759</v>
      </c>
      <c r="C488" s="1"/>
      <c r="D488" s="20" t="s">
        <v>1760</v>
      </c>
      <c r="BE488" s="6" t="s">
        <v>1708</v>
      </c>
    </row>
    <row r="489" customFormat="false" ht="38" hidden="false" customHeight="false" outlineLevel="0" collapsed="false">
      <c r="A489" s="4" t="s">
        <v>57</v>
      </c>
      <c r="B489" s="20" t="s">
        <v>1761</v>
      </c>
      <c r="C489" s="1"/>
      <c r="D489" s="20" t="s">
        <v>1762</v>
      </c>
      <c r="BE489" s="6" t="s">
        <v>1708</v>
      </c>
    </row>
    <row r="490" customFormat="false" ht="38" hidden="false" customHeight="false" outlineLevel="0" collapsed="false">
      <c r="A490" s="4" t="s">
        <v>57</v>
      </c>
      <c r="B490" s="20" t="s">
        <v>1763</v>
      </c>
      <c r="C490" s="1"/>
      <c r="D490" s="20" t="s">
        <v>1764</v>
      </c>
      <c r="BE490" s="6" t="s">
        <v>1708</v>
      </c>
    </row>
    <row r="491" customFormat="false" ht="62" hidden="false" customHeight="false" outlineLevel="0" collapsed="false">
      <c r="A491" s="4" t="s">
        <v>57</v>
      </c>
      <c r="B491" s="20" t="s">
        <v>1765</v>
      </c>
      <c r="C491" s="1"/>
      <c r="D491" s="20" t="s">
        <v>1766</v>
      </c>
      <c r="BE491" s="6" t="s">
        <v>1708</v>
      </c>
    </row>
    <row r="492" customFormat="false" ht="26" hidden="false" customHeight="false" outlineLevel="0" collapsed="false">
      <c r="A492" s="4" t="s">
        <v>57</v>
      </c>
      <c r="B492" s="20" t="s">
        <v>1767</v>
      </c>
      <c r="C492" s="1"/>
      <c r="D492" s="20" t="s">
        <v>1768</v>
      </c>
      <c r="BE492" s="6" t="s">
        <v>1708</v>
      </c>
    </row>
    <row r="493" customFormat="false" ht="26" hidden="false" customHeight="false" outlineLevel="0" collapsed="false">
      <c r="A493" s="4" t="s">
        <v>57</v>
      </c>
      <c r="B493" s="20" t="s">
        <v>1767</v>
      </c>
      <c r="C493" s="1"/>
      <c r="D493" s="20" t="s">
        <v>1768</v>
      </c>
      <c r="BE493" s="6" t="s">
        <v>1708</v>
      </c>
    </row>
    <row r="494" customFormat="false" ht="62" hidden="false" customHeight="false" outlineLevel="0" collapsed="false">
      <c r="A494" s="4" t="s">
        <v>57</v>
      </c>
      <c r="B494" s="20" t="s">
        <v>1769</v>
      </c>
      <c r="C494" s="1"/>
      <c r="D494" s="20" t="s">
        <v>1770</v>
      </c>
      <c r="BE494" s="6" t="s">
        <v>1708</v>
      </c>
    </row>
    <row r="495" customFormat="false" ht="98" hidden="false" customHeight="false" outlineLevel="0" collapsed="false">
      <c r="A495" s="4" t="s">
        <v>57</v>
      </c>
      <c r="B495" s="20" t="s">
        <v>1771</v>
      </c>
      <c r="C495" s="1"/>
      <c r="D495" s="20" t="s">
        <v>1772</v>
      </c>
      <c r="BE495" s="6" t="s">
        <v>1708</v>
      </c>
    </row>
    <row r="496" customFormat="false" ht="98" hidden="false" customHeight="false" outlineLevel="0" collapsed="false">
      <c r="A496" s="4" t="s">
        <v>57</v>
      </c>
      <c r="B496" s="20" t="s">
        <v>1773</v>
      </c>
      <c r="C496" s="1"/>
      <c r="D496" s="20" t="s">
        <v>1774</v>
      </c>
      <c r="BE496" s="6" t="s">
        <v>1708</v>
      </c>
    </row>
    <row r="497" customFormat="false" ht="50" hidden="false" customHeight="false" outlineLevel="0" collapsed="false">
      <c r="A497" s="4" t="s">
        <v>57</v>
      </c>
      <c r="B497" s="20" t="s">
        <v>1775</v>
      </c>
      <c r="C497" s="1"/>
      <c r="D497" s="20" t="s">
        <v>1776</v>
      </c>
      <c r="BE497" s="6" t="s">
        <v>1708</v>
      </c>
    </row>
    <row r="498" customFormat="false" ht="38" hidden="false" customHeight="false" outlineLevel="0" collapsed="false">
      <c r="A498" s="4" t="s">
        <v>57</v>
      </c>
      <c r="B498" s="20" t="s">
        <v>1777</v>
      </c>
      <c r="C498" s="1"/>
      <c r="D498" s="20" t="s">
        <v>1778</v>
      </c>
      <c r="BE498" s="6" t="s">
        <v>1708</v>
      </c>
    </row>
    <row r="499" customFormat="false" ht="50" hidden="false" customHeight="false" outlineLevel="0" collapsed="false">
      <c r="A499" s="4" t="s">
        <v>57</v>
      </c>
      <c r="B499" s="20" t="s">
        <v>1779</v>
      </c>
      <c r="C499" s="1"/>
      <c r="D499" s="20" t="s">
        <v>1780</v>
      </c>
      <c r="BE499" s="6" t="s">
        <v>1708</v>
      </c>
    </row>
    <row r="500" customFormat="false" ht="74" hidden="false" customHeight="false" outlineLevel="0" collapsed="false">
      <c r="A500" s="4" t="s">
        <v>57</v>
      </c>
      <c r="B500" s="20" t="s">
        <v>1781</v>
      </c>
      <c r="C500" s="1"/>
      <c r="D500" s="20" t="s">
        <v>1782</v>
      </c>
      <c r="BE500" s="6" t="s">
        <v>1708</v>
      </c>
    </row>
    <row r="501" customFormat="false" ht="38" hidden="false" customHeight="false" outlineLevel="0" collapsed="false">
      <c r="A501" s="4" t="s">
        <v>57</v>
      </c>
      <c r="B501" s="20" t="s">
        <v>1783</v>
      </c>
      <c r="C501" s="1"/>
      <c r="D501" s="20" t="s">
        <v>1784</v>
      </c>
      <c r="BE501" s="6" t="s">
        <v>1708</v>
      </c>
    </row>
    <row r="502" customFormat="false" ht="26" hidden="false" customHeight="false" outlineLevel="0" collapsed="false">
      <c r="A502" s="4" t="s">
        <v>57</v>
      </c>
      <c r="B502" s="20" t="s">
        <v>1785</v>
      </c>
      <c r="C502" s="1"/>
      <c r="D502" s="20" t="s">
        <v>1786</v>
      </c>
      <c r="BE502" s="6" t="s">
        <v>1708</v>
      </c>
    </row>
    <row r="503" customFormat="false" ht="26" hidden="false" customHeight="false" outlineLevel="0" collapsed="false">
      <c r="A503" s="4" t="s">
        <v>57</v>
      </c>
      <c r="B503" s="20" t="s">
        <v>1787</v>
      </c>
      <c r="C503" s="1"/>
      <c r="D503" s="20" t="s">
        <v>1788</v>
      </c>
      <c r="BE503" s="6" t="s">
        <v>1708</v>
      </c>
    </row>
    <row r="504" customFormat="false" ht="50" hidden="false" customHeight="false" outlineLevel="0" collapsed="false">
      <c r="A504" s="4" t="s">
        <v>57</v>
      </c>
      <c r="B504" s="20" t="s">
        <v>1789</v>
      </c>
      <c r="C504" s="1"/>
      <c r="D504" s="20" t="s">
        <v>1790</v>
      </c>
      <c r="BE504" s="6" t="s">
        <v>1708</v>
      </c>
    </row>
    <row r="505" customFormat="false" ht="86" hidden="false" customHeight="false" outlineLevel="0" collapsed="false">
      <c r="A505" s="4" t="s">
        <v>57</v>
      </c>
      <c r="B505" s="20" t="s">
        <v>1791</v>
      </c>
      <c r="C505" s="1"/>
      <c r="D505" s="20" t="s">
        <v>1792</v>
      </c>
      <c r="BE505" s="6" t="s">
        <v>1793</v>
      </c>
    </row>
    <row r="506" customFormat="false" ht="38" hidden="false" customHeight="false" outlineLevel="0" collapsed="false">
      <c r="A506" s="4" t="s">
        <v>57</v>
      </c>
      <c r="B506" s="20" t="s">
        <v>1794</v>
      </c>
      <c r="C506" s="1"/>
      <c r="D506" s="20" t="s">
        <v>1795</v>
      </c>
      <c r="BE506" s="6" t="s">
        <v>1793</v>
      </c>
    </row>
    <row r="507" customFormat="false" ht="38" hidden="false" customHeight="false" outlineLevel="0" collapsed="false">
      <c r="A507" s="4" t="s">
        <v>57</v>
      </c>
      <c r="B507" s="20" t="s">
        <v>1794</v>
      </c>
      <c r="C507" s="1"/>
      <c r="D507" s="20" t="s">
        <v>1795</v>
      </c>
      <c r="BE507" s="6" t="s">
        <v>1793</v>
      </c>
    </row>
    <row r="508" customFormat="false" ht="38" hidden="false" customHeight="false" outlineLevel="0" collapsed="false">
      <c r="A508" s="4" t="s">
        <v>57</v>
      </c>
      <c r="B508" s="20" t="s">
        <v>1794</v>
      </c>
      <c r="C508" s="1"/>
      <c r="D508" s="20" t="s">
        <v>1795</v>
      </c>
      <c r="BE508" s="6" t="s">
        <v>1793</v>
      </c>
    </row>
    <row r="509" customFormat="false" ht="36.5" hidden="false" customHeight="false" outlineLevel="0" collapsed="false">
      <c r="B509" s="22" t="s">
        <v>1796</v>
      </c>
      <c r="C509" s="1"/>
      <c r="D509" s="22" t="s">
        <v>1797</v>
      </c>
      <c r="BE509" s="6" t="s">
        <v>1798</v>
      </c>
    </row>
    <row r="510" customFormat="false" ht="48" hidden="false" customHeight="false" outlineLevel="0" collapsed="false">
      <c r="B510" s="22" t="s">
        <v>1799</v>
      </c>
      <c r="C510" s="1"/>
      <c r="D510" s="22" t="s">
        <v>1800</v>
      </c>
      <c r="BE510" s="6" t="s">
        <v>1798</v>
      </c>
    </row>
    <row r="511" customFormat="false" ht="71" hidden="false" customHeight="false" outlineLevel="0" collapsed="false">
      <c r="B511" s="22" t="s">
        <v>1801</v>
      </c>
      <c r="C511" s="1"/>
      <c r="D511" s="22" t="s">
        <v>1802</v>
      </c>
      <c r="BE511" s="6" t="s">
        <v>1798</v>
      </c>
    </row>
    <row r="512" customFormat="false" ht="59.5" hidden="false" customHeight="false" outlineLevel="0" collapsed="false">
      <c r="B512" s="22" t="s">
        <v>1803</v>
      </c>
      <c r="C512" s="1"/>
      <c r="D512" s="22" t="s">
        <v>1804</v>
      </c>
      <c r="BE512" s="6" t="s">
        <v>1798</v>
      </c>
    </row>
    <row r="513" customFormat="false" ht="36.5" hidden="false" customHeight="false" outlineLevel="0" collapsed="false">
      <c r="B513" s="22" t="s">
        <v>1805</v>
      </c>
      <c r="C513" s="1"/>
      <c r="D513" s="22" t="s">
        <v>1806</v>
      </c>
      <c r="BE513" s="6" t="s">
        <v>1798</v>
      </c>
    </row>
    <row r="514" customFormat="false" ht="48" hidden="false" customHeight="false" outlineLevel="0" collapsed="false">
      <c r="B514" s="22" t="s">
        <v>1807</v>
      </c>
      <c r="C514" s="1"/>
      <c r="D514" s="22" t="s">
        <v>1808</v>
      </c>
      <c r="BE514" s="6" t="s">
        <v>1798</v>
      </c>
    </row>
    <row r="515" customFormat="false" ht="71" hidden="false" customHeight="false" outlineLevel="0" collapsed="false">
      <c r="B515" s="22" t="s">
        <v>1809</v>
      </c>
      <c r="C515" s="1"/>
      <c r="D515" s="22" t="s">
        <v>1810</v>
      </c>
      <c r="BE515" s="6" t="s">
        <v>1798</v>
      </c>
    </row>
    <row r="516" customFormat="false" ht="36.5" hidden="false" customHeight="false" outlineLevel="0" collapsed="false">
      <c r="B516" s="22" t="s">
        <v>1811</v>
      </c>
      <c r="C516" s="1"/>
      <c r="D516" s="22" t="s">
        <v>1812</v>
      </c>
      <c r="BE516" s="6" t="s">
        <v>1798</v>
      </c>
    </row>
    <row r="517" customFormat="false" ht="48" hidden="false" customHeight="false" outlineLevel="0" collapsed="false">
      <c r="B517" s="22" t="s">
        <v>1813</v>
      </c>
      <c r="C517" s="1"/>
      <c r="D517" s="22" t="s">
        <v>1814</v>
      </c>
      <c r="BE517" s="6" t="s">
        <v>1798</v>
      </c>
    </row>
    <row r="518" customFormat="false" ht="25" hidden="false" customHeight="false" outlineLevel="0" collapsed="false">
      <c r="B518" s="22" t="s">
        <v>1815</v>
      </c>
      <c r="C518" s="1"/>
      <c r="D518" s="22" t="s">
        <v>1816</v>
      </c>
      <c r="BE518" s="6" t="s">
        <v>1798</v>
      </c>
    </row>
    <row r="519" customFormat="false" ht="36.5" hidden="false" customHeight="false" outlineLevel="0" collapsed="false">
      <c r="B519" s="22" t="s">
        <v>1817</v>
      </c>
      <c r="C519" s="1"/>
      <c r="D519" s="22" t="s">
        <v>1818</v>
      </c>
      <c r="BE519" s="6" t="s">
        <v>1798</v>
      </c>
    </row>
    <row r="520" customFormat="false" ht="25" hidden="false" customHeight="false" outlineLevel="0" collapsed="false">
      <c r="B520" s="22" t="s">
        <v>1819</v>
      </c>
      <c r="C520" s="1"/>
      <c r="D520" s="22" t="s">
        <v>1820</v>
      </c>
      <c r="BE520" s="6" t="s">
        <v>1798</v>
      </c>
    </row>
    <row r="521" customFormat="false" ht="25" hidden="false" customHeight="false" outlineLevel="0" collapsed="false">
      <c r="B521" s="22" t="s">
        <v>1821</v>
      </c>
      <c r="C521" s="1"/>
      <c r="D521" s="22" t="s">
        <v>1822</v>
      </c>
      <c r="BE521" s="6" t="s">
        <v>1798</v>
      </c>
    </row>
    <row r="522" customFormat="false" ht="36.5" hidden="false" customHeight="false" outlineLevel="0" collapsed="false">
      <c r="B522" s="22" t="s">
        <v>1823</v>
      </c>
      <c r="C522" s="1"/>
      <c r="D522" s="22" t="s">
        <v>1824</v>
      </c>
      <c r="BE522" s="6" t="s">
        <v>1798</v>
      </c>
    </row>
    <row r="523" customFormat="false" ht="36.5" hidden="false" customHeight="false" outlineLevel="0" collapsed="false">
      <c r="B523" s="22" t="s">
        <v>1825</v>
      </c>
      <c r="C523" s="1"/>
      <c r="D523" s="22" t="s">
        <v>1826</v>
      </c>
      <c r="BE523" s="6" t="s">
        <v>1798</v>
      </c>
    </row>
    <row r="524" customFormat="false" ht="48" hidden="false" customHeight="false" outlineLevel="0" collapsed="false">
      <c r="B524" s="22" t="s">
        <v>1827</v>
      </c>
      <c r="C524" s="1"/>
      <c r="D524" s="22" t="s">
        <v>1828</v>
      </c>
      <c r="BE524" s="6" t="s">
        <v>1798</v>
      </c>
    </row>
    <row r="525" customFormat="false" ht="59.5" hidden="false" customHeight="false" outlineLevel="0" collapsed="false">
      <c r="B525" s="22" t="s">
        <v>1829</v>
      </c>
      <c r="C525" s="1"/>
      <c r="D525" s="22" t="s">
        <v>1830</v>
      </c>
      <c r="BE525" s="6" t="s">
        <v>1798</v>
      </c>
    </row>
    <row r="526" customFormat="false" ht="25" hidden="false" customHeight="false" outlineLevel="0" collapsed="false">
      <c r="B526" s="22" t="s">
        <v>1831</v>
      </c>
      <c r="C526" s="1"/>
      <c r="D526" s="22" t="s">
        <v>1832</v>
      </c>
      <c r="BE526" s="6" t="s">
        <v>1798</v>
      </c>
    </row>
    <row r="527" customFormat="false" ht="36.5" hidden="false" customHeight="false" outlineLevel="0" collapsed="false">
      <c r="B527" s="22" t="s">
        <v>1833</v>
      </c>
      <c r="C527" s="1"/>
      <c r="D527" s="22" t="s">
        <v>1834</v>
      </c>
      <c r="BE527" s="6" t="s">
        <v>1798</v>
      </c>
    </row>
    <row r="528" customFormat="false" ht="25" hidden="false" customHeight="false" outlineLevel="0" collapsed="false">
      <c r="B528" s="22" t="s">
        <v>1835</v>
      </c>
      <c r="C528" s="1"/>
      <c r="D528" s="22" t="s">
        <v>1836</v>
      </c>
      <c r="BE528" s="6" t="s">
        <v>1798</v>
      </c>
    </row>
    <row r="529" customFormat="false" ht="36.5" hidden="false" customHeight="false" outlineLevel="0" collapsed="false">
      <c r="B529" s="22" t="s">
        <v>1837</v>
      </c>
      <c r="C529" s="1"/>
      <c r="D529" s="22" t="s">
        <v>1838</v>
      </c>
      <c r="BE529" s="6" t="s">
        <v>1798</v>
      </c>
    </row>
    <row r="530" customFormat="false" ht="36.5" hidden="false" customHeight="false" outlineLevel="0" collapsed="false">
      <c r="B530" s="22" t="s">
        <v>1839</v>
      </c>
      <c r="C530" s="1"/>
      <c r="D530" s="22" t="s">
        <v>1840</v>
      </c>
      <c r="BE530" s="6" t="s">
        <v>1798</v>
      </c>
    </row>
    <row r="531" customFormat="false" ht="25" hidden="false" customHeight="false" outlineLevel="0" collapsed="false">
      <c r="B531" s="22" t="s">
        <v>1841</v>
      </c>
      <c r="C531" s="1"/>
      <c r="D531" s="22" t="s">
        <v>1842</v>
      </c>
      <c r="BE531" s="6" t="s">
        <v>1798</v>
      </c>
    </row>
    <row r="532" customFormat="false" ht="36.5" hidden="false" customHeight="false" outlineLevel="0" collapsed="false">
      <c r="B532" s="22" t="s">
        <v>1843</v>
      </c>
      <c r="C532" s="1"/>
      <c r="D532" s="22" t="s">
        <v>1844</v>
      </c>
      <c r="BE532" s="6" t="s">
        <v>1798</v>
      </c>
    </row>
    <row r="533" customFormat="false" ht="36.5" hidden="false" customHeight="false" outlineLevel="0" collapsed="false">
      <c r="B533" s="22" t="s">
        <v>1845</v>
      </c>
      <c r="C533" s="1"/>
      <c r="D533" s="22" t="s">
        <v>1846</v>
      </c>
      <c r="BE533" s="6" t="s">
        <v>1798</v>
      </c>
    </row>
    <row r="534" customFormat="false" ht="48" hidden="false" customHeight="false" outlineLevel="0" collapsed="false">
      <c r="B534" s="22" t="s">
        <v>1847</v>
      </c>
      <c r="C534" s="1"/>
      <c r="D534" s="22" t="s">
        <v>1848</v>
      </c>
      <c r="BE534" s="6" t="s">
        <v>1798</v>
      </c>
    </row>
    <row r="535" customFormat="false" ht="36.5" hidden="false" customHeight="false" outlineLevel="0" collapsed="false">
      <c r="B535" s="22" t="s">
        <v>1849</v>
      </c>
      <c r="C535" s="1"/>
      <c r="D535" s="22" t="s">
        <v>1850</v>
      </c>
      <c r="BE535" s="6" t="s">
        <v>1798</v>
      </c>
    </row>
    <row r="536" customFormat="false" ht="59.5" hidden="false" customHeight="false" outlineLevel="0" collapsed="false">
      <c r="B536" s="22" t="s">
        <v>1851</v>
      </c>
      <c r="C536" s="1"/>
      <c r="D536" s="22" t="s">
        <v>1852</v>
      </c>
      <c r="BE536" s="6" t="s">
        <v>1798</v>
      </c>
    </row>
    <row r="537" customFormat="false" ht="48" hidden="false" customHeight="false" outlineLevel="0" collapsed="false">
      <c r="B537" s="22" t="s">
        <v>1853</v>
      </c>
      <c r="C537" s="1"/>
      <c r="D537" s="22" t="s">
        <v>1854</v>
      </c>
      <c r="BE537" s="6" t="s">
        <v>1798</v>
      </c>
    </row>
    <row r="538" customFormat="false" ht="59.5" hidden="false" customHeight="false" outlineLevel="0" collapsed="false">
      <c r="B538" s="22" t="s">
        <v>1855</v>
      </c>
      <c r="C538" s="1"/>
      <c r="D538" s="22" t="s">
        <v>1856</v>
      </c>
      <c r="BE538" s="6" t="s">
        <v>1798</v>
      </c>
    </row>
    <row r="539" customFormat="false" ht="48" hidden="false" customHeight="false" outlineLevel="0" collapsed="false">
      <c r="B539" s="22" t="s">
        <v>1857</v>
      </c>
      <c r="C539" s="1"/>
      <c r="D539" s="22" t="s">
        <v>1858</v>
      </c>
      <c r="BE539" s="6" t="s">
        <v>1798</v>
      </c>
    </row>
    <row r="540" customFormat="false" ht="48" hidden="false" customHeight="false" outlineLevel="0" collapsed="false">
      <c r="B540" s="22" t="s">
        <v>1857</v>
      </c>
      <c r="C540" s="1"/>
      <c r="D540" s="22" t="s">
        <v>1858</v>
      </c>
      <c r="BE540" s="6" t="s">
        <v>1798</v>
      </c>
    </row>
    <row r="541" customFormat="false" ht="59.5" hidden="false" customHeight="false" outlineLevel="0" collapsed="false">
      <c r="B541" s="22" t="s">
        <v>1859</v>
      </c>
      <c r="C541" s="1"/>
      <c r="D541" s="22" t="s">
        <v>1860</v>
      </c>
      <c r="BE541" s="6" t="s">
        <v>1798</v>
      </c>
    </row>
    <row r="542" customFormat="false" ht="71" hidden="false" customHeight="false" outlineLevel="0" collapsed="false">
      <c r="B542" s="22" t="s">
        <v>1861</v>
      </c>
      <c r="C542" s="1"/>
      <c r="D542" s="22" t="s">
        <v>1862</v>
      </c>
      <c r="BE542" s="6" t="s">
        <v>1798</v>
      </c>
    </row>
    <row r="543" customFormat="false" ht="59.5" hidden="false" customHeight="false" outlineLevel="0" collapsed="false">
      <c r="B543" s="22" t="s">
        <v>1863</v>
      </c>
      <c r="C543" s="1"/>
      <c r="D543" s="22" t="s">
        <v>1864</v>
      </c>
      <c r="BE543" s="6" t="s">
        <v>1798</v>
      </c>
    </row>
    <row r="544" customFormat="false" ht="48" hidden="false" customHeight="false" outlineLevel="0" collapsed="false">
      <c r="B544" s="22" t="s">
        <v>1865</v>
      </c>
      <c r="C544" s="1"/>
      <c r="D544" s="22" t="s">
        <v>1866</v>
      </c>
      <c r="BE544" s="6" t="s">
        <v>1798</v>
      </c>
    </row>
    <row r="545" customFormat="false" ht="48" hidden="false" customHeight="false" outlineLevel="0" collapsed="false">
      <c r="B545" s="22" t="s">
        <v>1867</v>
      </c>
      <c r="C545" s="1"/>
      <c r="D545" s="22" t="s">
        <v>1868</v>
      </c>
      <c r="BE545" s="6" t="s">
        <v>1798</v>
      </c>
    </row>
    <row r="546" customFormat="false" ht="36.5" hidden="false" customHeight="false" outlineLevel="0" collapsed="false">
      <c r="B546" s="22" t="s">
        <v>1869</v>
      </c>
      <c r="C546" s="1"/>
      <c r="D546" s="22" t="s">
        <v>1870</v>
      </c>
      <c r="BE546" s="6" t="s">
        <v>1798</v>
      </c>
    </row>
    <row r="547" customFormat="false" ht="36.5" hidden="false" customHeight="false" outlineLevel="0" collapsed="false">
      <c r="B547" s="22" t="s">
        <v>1871</v>
      </c>
      <c r="C547" s="1"/>
      <c r="D547" s="22" t="s">
        <v>1872</v>
      </c>
      <c r="BE547" s="6" t="s">
        <v>1798</v>
      </c>
    </row>
    <row r="548" customFormat="false" ht="48" hidden="false" customHeight="false" outlineLevel="0" collapsed="false">
      <c r="B548" s="22" t="s">
        <v>1873</v>
      </c>
      <c r="C548" s="1"/>
      <c r="D548" s="22" t="s">
        <v>1874</v>
      </c>
      <c r="BE548" s="6" t="s">
        <v>1798</v>
      </c>
    </row>
    <row r="549" customFormat="false" ht="48" hidden="false" customHeight="false" outlineLevel="0" collapsed="false">
      <c r="B549" s="22" t="s">
        <v>1875</v>
      </c>
      <c r="C549" s="1"/>
      <c r="D549" s="22" t="s">
        <v>1876</v>
      </c>
      <c r="BE549" s="6" t="s">
        <v>1798</v>
      </c>
    </row>
    <row r="550" customFormat="false" ht="48" hidden="false" customHeight="false" outlineLevel="0" collapsed="false">
      <c r="B550" s="22" t="s">
        <v>1877</v>
      </c>
      <c r="C550" s="1"/>
      <c r="D550" s="22" t="s">
        <v>1878</v>
      </c>
      <c r="BE550" s="6" t="s">
        <v>1798</v>
      </c>
    </row>
    <row r="551" customFormat="false" ht="71" hidden="false" customHeight="false" outlineLevel="0" collapsed="false">
      <c r="B551" s="22" t="s">
        <v>1879</v>
      </c>
      <c r="C551" s="1"/>
      <c r="D551" s="22" t="s">
        <v>1880</v>
      </c>
      <c r="BE551" s="6" t="s">
        <v>1798</v>
      </c>
    </row>
    <row r="552" customFormat="false" ht="48" hidden="false" customHeight="false" outlineLevel="0" collapsed="false">
      <c r="B552" s="22" t="s">
        <v>1881</v>
      </c>
      <c r="C552" s="1"/>
      <c r="D552" s="22" t="s">
        <v>1882</v>
      </c>
      <c r="BE552" s="6" t="s">
        <v>1798</v>
      </c>
    </row>
    <row r="553" customFormat="false" ht="59.5" hidden="false" customHeight="false" outlineLevel="0" collapsed="false">
      <c r="B553" s="22" t="s">
        <v>1883</v>
      </c>
      <c r="C553" s="1"/>
      <c r="D553" s="22" t="s">
        <v>1884</v>
      </c>
      <c r="BE553" s="6" t="s">
        <v>1798</v>
      </c>
    </row>
    <row r="554" customFormat="false" ht="48" hidden="false" customHeight="false" outlineLevel="0" collapsed="false">
      <c r="B554" s="22" t="s">
        <v>1885</v>
      </c>
      <c r="C554" s="1"/>
      <c r="D554" s="22" t="s">
        <v>1886</v>
      </c>
      <c r="BE554" s="6" t="s">
        <v>1798</v>
      </c>
    </row>
    <row r="555" customFormat="false" ht="59.5" hidden="false" customHeight="false" outlineLevel="0" collapsed="false">
      <c r="B555" s="22" t="s">
        <v>1887</v>
      </c>
      <c r="C555" s="1"/>
      <c r="D555" s="22" t="s">
        <v>1888</v>
      </c>
      <c r="BE555" s="6" t="s">
        <v>1798</v>
      </c>
    </row>
    <row r="556" customFormat="false" ht="48" hidden="false" customHeight="false" outlineLevel="0" collapsed="false">
      <c r="B556" s="22" t="s">
        <v>1889</v>
      </c>
      <c r="C556" s="1"/>
      <c r="D556" s="22" t="s">
        <v>1890</v>
      </c>
      <c r="BE556" s="6" t="s">
        <v>1798</v>
      </c>
    </row>
    <row r="557" customFormat="false" ht="48" hidden="false" customHeight="false" outlineLevel="0" collapsed="false">
      <c r="B557" s="22" t="s">
        <v>1891</v>
      </c>
      <c r="C557" s="1"/>
      <c r="D557" s="22" t="s">
        <v>1892</v>
      </c>
      <c r="BE557" s="6" t="s">
        <v>1798</v>
      </c>
    </row>
    <row r="558" customFormat="false" ht="59.5" hidden="false" customHeight="false" outlineLevel="0" collapsed="false">
      <c r="B558" s="22" t="s">
        <v>1893</v>
      </c>
      <c r="C558" s="1"/>
      <c r="D558" s="22" t="s">
        <v>1894</v>
      </c>
      <c r="BE558" s="6" t="s">
        <v>1798</v>
      </c>
    </row>
    <row r="559" customFormat="false" ht="48" hidden="false" customHeight="false" outlineLevel="0" collapsed="false">
      <c r="B559" s="22" t="s">
        <v>1895</v>
      </c>
      <c r="C559" s="1"/>
      <c r="D559" s="22" t="s">
        <v>1896</v>
      </c>
      <c r="BE559" s="6" t="s">
        <v>1798</v>
      </c>
    </row>
    <row r="560" customFormat="false" ht="48" hidden="false" customHeight="false" outlineLevel="0" collapsed="false">
      <c r="B560" s="22" t="s">
        <v>411</v>
      </c>
      <c r="C560" s="1"/>
      <c r="D560" s="22" t="s">
        <v>413</v>
      </c>
      <c r="BE560" s="6" t="s">
        <v>1798</v>
      </c>
    </row>
    <row r="561" customFormat="false" ht="25" hidden="false" customHeight="false" outlineLevel="0" collapsed="false">
      <c r="B561" s="22" t="s">
        <v>1897</v>
      </c>
      <c r="C561" s="1"/>
      <c r="D561" s="22" t="s">
        <v>1898</v>
      </c>
      <c r="BE561" s="6" t="s">
        <v>1798</v>
      </c>
    </row>
    <row r="562" customFormat="false" ht="25" hidden="false" customHeight="false" outlineLevel="0" collapsed="false">
      <c r="B562" s="22" t="s">
        <v>514</v>
      </c>
      <c r="C562" s="1"/>
      <c r="D562" s="22" t="s">
        <v>516</v>
      </c>
      <c r="BE562" s="6" t="s">
        <v>1798</v>
      </c>
    </row>
    <row r="563" customFormat="false" ht="25" hidden="false" customHeight="false" outlineLevel="0" collapsed="false">
      <c r="B563" s="22" t="s">
        <v>1899</v>
      </c>
      <c r="C563" s="1"/>
      <c r="D563" s="22" t="s">
        <v>1900</v>
      </c>
      <c r="BE563" s="6" t="s">
        <v>1798</v>
      </c>
    </row>
    <row r="564" customFormat="false" ht="48" hidden="false" customHeight="false" outlineLevel="0" collapsed="false">
      <c r="B564" s="22" t="s">
        <v>1901</v>
      </c>
      <c r="C564" s="1"/>
      <c r="D564" s="22" t="s">
        <v>1902</v>
      </c>
      <c r="BE564" s="6" t="s">
        <v>1798</v>
      </c>
    </row>
    <row r="565" customFormat="false" ht="36.5" hidden="false" customHeight="false" outlineLevel="0" collapsed="false">
      <c r="B565" s="22" t="s">
        <v>1903</v>
      </c>
      <c r="C565" s="1"/>
      <c r="D565" s="22" t="s">
        <v>1904</v>
      </c>
      <c r="BE565" s="6" t="s">
        <v>1798</v>
      </c>
    </row>
    <row r="566" customFormat="false" ht="36.5" hidden="false" customHeight="false" outlineLevel="0" collapsed="false">
      <c r="B566" s="22" t="s">
        <v>1905</v>
      </c>
      <c r="C566" s="1"/>
      <c r="D566" s="22" t="s">
        <v>1906</v>
      </c>
      <c r="BE566" s="6" t="s">
        <v>1798</v>
      </c>
    </row>
    <row r="567" customFormat="false" ht="71" hidden="false" customHeight="false" outlineLevel="0" collapsed="false">
      <c r="B567" s="22" t="s">
        <v>1907</v>
      </c>
      <c r="C567" s="1"/>
      <c r="D567" s="22" t="s">
        <v>1908</v>
      </c>
      <c r="BE567" s="6" t="s">
        <v>1798</v>
      </c>
    </row>
    <row r="568" customFormat="false" ht="48" hidden="false" customHeight="false" outlineLevel="0" collapsed="false">
      <c r="B568" s="22" t="s">
        <v>1909</v>
      </c>
      <c r="C568" s="1"/>
      <c r="D568" s="22" t="s">
        <v>1910</v>
      </c>
      <c r="BE568" s="6" t="s">
        <v>1798</v>
      </c>
    </row>
    <row r="569" customFormat="false" ht="36.5" hidden="false" customHeight="false" outlineLevel="0" collapsed="false">
      <c r="B569" s="22" t="s">
        <v>1911</v>
      </c>
      <c r="C569" s="1"/>
      <c r="D569" s="22" t="s">
        <v>1912</v>
      </c>
      <c r="BE569" s="6" t="s">
        <v>1798</v>
      </c>
    </row>
    <row r="570" customFormat="false" ht="36.5" hidden="false" customHeight="false" outlineLevel="0" collapsed="false">
      <c r="B570" s="22" t="s">
        <v>1913</v>
      </c>
      <c r="C570" s="1"/>
      <c r="D570" s="22" t="s">
        <v>1914</v>
      </c>
      <c r="BE570" s="6" t="s">
        <v>1798</v>
      </c>
    </row>
    <row r="571" customFormat="false" ht="36.5" hidden="false" customHeight="false" outlineLevel="0" collapsed="false">
      <c r="B571" s="22" t="s">
        <v>1915</v>
      </c>
      <c r="C571" s="1"/>
      <c r="D571" s="22" t="s">
        <v>1916</v>
      </c>
      <c r="BE571" s="6" t="s">
        <v>1798</v>
      </c>
    </row>
    <row r="572" customFormat="false" ht="25" hidden="false" customHeight="false" outlineLevel="0" collapsed="false">
      <c r="B572" s="22" t="s">
        <v>1917</v>
      </c>
      <c r="C572" s="1"/>
      <c r="D572" s="22" t="s">
        <v>1918</v>
      </c>
      <c r="BE572" s="6" t="s">
        <v>1798</v>
      </c>
    </row>
    <row r="573" customFormat="false" ht="48" hidden="false" customHeight="false" outlineLevel="0" collapsed="false">
      <c r="B573" s="22" t="s">
        <v>1919</v>
      </c>
      <c r="C573" s="1"/>
      <c r="D573" s="22" t="s">
        <v>1920</v>
      </c>
      <c r="BE573" s="6" t="s">
        <v>1798</v>
      </c>
    </row>
    <row r="574" customFormat="false" ht="48" hidden="false" customHeight="false" outlineLevel="0" collapsed="false">
      <c r="B574" s="22" t="s">
        <v>1921</v>
      </c>
      <c r="C574" s="1"/>
      <c r="D574" s="22" t="s">
        <v>1922</v>
      </c>
      <c r="BE574" s="6" t="s">
        <v>1798</v>
      </c>
    </row>
    <row r="575" customFormat="false" ht="36.5" hidden="false" customHeight="false" outlineLevel="0" collapsed="false">
      <c r="B575" s="22" t="s">
        <v>1923</v>
      </c>
      <c r="C575" s="1"/>
      <c r="D575" s="22" t="s">
        <v>1924</v>
      </c>
      <c r="BE575" s="6" t="s">
        <v>1798</v>
      </c>
    </row>
    <row r="576" customFormat="false" ht="36.5" hidden="false" customHeight="false" outlineLevel="0" collapsed="false">
      <c r="B576" s="22" t="s">
        <v>1925</v>
      </c>
      <c r="C576" s="1"/>
      <c r="D576" s="22" t="s">
        <v>1926</v>
      </c>
      <c r="BE576" s="6" t="s">
        <v>1798</v>
      </c>
    </row>
    <row r="577" customFormat="false" ht="48" hidden="false" customHeight="false" outlineLevel="0" collapsed="false">
      <c r="B577" s="22" t="s">
        <v>1927</v>
      </c>
      <c r="C577" s="1"/>
      <c r="D577" s="22" t="s">
        <v>1928</v>
      </c>
      <c r="BE577" s="6" t="s">
        <v>1798</v>
      </c>
    </row>
    <row r="578" customFormat="false" ht="25" hidden="false" customHeight="false" outlineLevel="0" collapsed="false">
      <c r="B578" s="22" t="s">
        <v>1929</v>
      </c>
      <c r="C578" s="1"/>
      <c r="D578" s="22" t="s">
        <v>1930</v>
      </c>
      <c r="BE578" s="6" t="s">
        <v>1798</v>
      </c>
    </row>
    <row r="579" customFormat="false" ht="25" hidden="false" customHeight="false" outlineLevel="0" collapsed="false">
      <c r="B579" s="22" t="s">
        <v>1931</v>
      </c>
      <c r="C579" s="1"/>
      <c r="D579" s="22" t="s">
        <v>1932</v>
      </c>
      <c r="BE579" s="6" t="s">
        <v>1798</v>
      </c>
    </row>
    <row r="580" customFormat="false" ht="36.5" hidden="false" customHeight="false" outlineLevel="0" collapsed="false">
      <c r="B580" s="22" t="s">
        <v>1933</v>
      </c>
      <c r="C580" s="1"/>
      <c r="D580" s="22" t="s">
        <v>1934</v>
      </c>
      <c r="BE580" s="6" t="s">
        <v>1798</v>
      </c>
    </row>
    <row r="581" customFormat="false" ht="36.5" hidden="false" customHeight="false" outlineLevel="0" collapsed="false">
      <c r="B581" s="22" t="s">
        <v>1935</v>
      </c>
      <c r="C581" s="1"/>
      <c r="D581" s="22" t="s">
        <v>1936</v>
      </c>
      <c r="BE581" s="6" t="s">
        <v>1798</v>
      </c>
    </row>
    <row r="582" customFormat="false" ht="36.5" hidden="false" customHeight="false" outlineLevel="0" collapsed="false">
      <c r="B582" s="22" t="s">
        <v>1937</v>
      </c>
      <c r="C582" s="1"/>
      <c r="D582" s="22" t="s">
        <v>1938</v>
      </c>
      <c r="BE582" s="6" t="s">
        <v>1798</v>
      </c>
    </row>
    <row r="583" customFormat="false" ht="25" hidden="false" customHeight="false" outlineLevel="0" collapsed="false">
      <c r="B583" s="22" t="s">
        <v>1939</v>
      </c>
      <c r="C583" s="1"/>
      <c r="D583" s="22" t="s">
        <v>1940</v>
      </c>
      <c r="BE583" s="6" t="s">
        <v>1798</v>
      </c>
    </row>
    <row r="584" customFormat="false" ht="36.5" hidden="false" customHeight="false" outlineLevel="0" collapsed="false">
      <c r="B584" s="22" t="s">
        <v>1941</v>
      </c>
      <c r="C584" s="1"/>
      <c r="D584" s="22" t="s">
        <v>1942</v>
      </c>
      <c r="BE584" s="6" t="s">
        <v>1798</v>
      </c>
    </row>
    <row r="585" customFormat="false" ht="25" hidden="false" customHeight="false" outlineLevel="0" collapsed="false">
      <c r="B585" s="22" t="s">
        <v>1943</v>
      </c>
      <c r="C585" s="1"/>
      <c r="D585" s="22" t="s">
        <v>1606</v>
      </c>
      <c r="BE585" s="6" t="s">
        <v>1798</v>
      </c>
    </row>
    <row r="586" customFormat="false" ht="25" hidden="false" customHeight="false" outlineLevel="0" collapsed="false">
      <c r="B586" s="22" t="s">
        <v>1944</v>
      </c>
      <c r="C586" s="1"/>
      <c r="D586" s="22" t="s">
        <v>1945</v>
      </c>
      <c r="BE586" s="6" t="s">
        <v>1798</v>
      </c>
    </row>
    <row r="587" customFormat="false" ht="71" hidden="false" customHeight="false" outlineLevel="0" collapsed="false">
      <c r="B587" s="22" t="s">
        <v>1946</v>
      </c>
      <c r="C587" s="1"/>
      <c r="D587" s="22" t="s">
        <v>1947</v>
      </c>
      <c r="BE587" s="6" t="s">
        <v>1798</v>
      </c>
    </row>
    <row r="588" customFormat="false" ht="36.5" hidden="false" customHeight="false" outlineLevel="0" collapsed="false">
      <c r="B588" s="22" t="s">
        <v>1948</v>
      </c>
      <c r="C588" s="1"/>
      <c r="D588" s="22" t="s">
        <v>1949</v>
      </c>
      <c r="BE588" s="6" t="s">
        <v>1798</v>
      </c>
    </row>
    <row r="589" customFormat="false" ht="48" hidden="false" customHeight="false" outlineLevel="0" collapsed="false">
      <c r="B589" s="22" t="s">
        <v>1950</v>
      </c>
      <c r="C589" s="1"/>
      <c r="D589" s="22" t="s">
        <v>1951</v>
      </c>
      <c r="BE589" s="6" t="s">
        <v>1798</v>
      </c>
    </row>
    <row r="590" customFormat="false" ht="48" hidden="false" customHeight="false" outlineLevel="0" collapsed="false">
      <c r="B590" s="22" t="s">
        <v>1952</v>
      </c>
      <c r="C590" s="1"/>
      <c r="D590" s="22" t="s">
        <v>1953</v>
      </c>
      <c r="BE590" s="6" t="s">
        <v>1798</v>
      </c>
    </row>
    <row r="591" customFormat="false" ht="36.5" hidden="false" customHeight="false" outlineLevel="0" collapsed="false">
      <c r="B591" s="22" t="s">
        <v>1954</v>
      </c>
      <c r="C591" s="1"/>
      <c r="D591" s="22" t="s">
        <v>1955</v>
      </c>
      <c r="BE591" s="6" t="s">
        <v>1798</v>
      </c>
    </row>
    <row r="592" customFormat="false" ht="48" hidden="false" customHeight="false" outlineLevel="0" collapsed="false">
      <c r="B592" s="22" t="s">
        <v>1956</v>
      </c>
      <c r="C592" s="1"/>
      <c r="D592" s="22" t="s">
        <v>1957</v>
      </c>
      <c r="BE592" s="6" t="s">
        <v>1798</v>
      </c>
    </row>
    <row r="593" customFormat="false" ht="48" hidden="false" customHeight="false" outlineLevel="0" collapsed="false">
      <c r="B593" s="22" t="s">
        <v>1958</v>
      </c>
      <c r="C593" s="1"/>
      <c r="D593" s="22" t="s">
        <v>1959</v>
      </c>
      <c r="BE593" s="6" t="s">
        <v>1798</v>
      </c>
    </row>
    <row r="594" customFormat="false" ht="48" hidden="false" customHeight="false" outlineLevel="0" collapsed="false">
      <c r="B594" s="22" t="s">
        <v>1960</v>
      </c>
      <c r="C594" s="1"/>
      <c r="D594" s="22" t="s">
        <v>1961</v>
      </c>
      <c r="BE594" s="6" t="s">
        <v>1798</v>
      </c>
    </row>
    <row r="595" customFormat="false" ht="71" hidden="false" customHeight="false" outlineLevel="0" collapsed="false">
      <c r="B595" s="22" t="s">
        <v>1962</v>
      </c>
      <c r="C595" s="1"/>
      <c r="D595" s="22" t="s">
        <v>1963</v>
      </c>
      <c r="BE595" s="6" t="s">
        <v>1798</v>
      </c>
    </row>
    <row r="596" customFormat="false" ht="36.5" hidden="false" customHeight="false" outlineLevel="0" collapsed="false">
      <c r="B596" s="22" t="s">
        <v>1964</v>
      </c>
      <c r="C596" s="1"/>
      <c r="D596" s="22" t="s">
        <v>1965</v>
      </c>
      <c r="BE596" s="6" t="s">
        <v>1798</v>
      </c>
    </row>
    <row r="597" customFormat="false" ht="59.5" hidden="false" customHeight="false" outlineLevel="0" collapsed="false">
      <c r="B597" s="22" t="s">
        <v>1966</v>
      </c>
      <c r="C597" s="1"/>
      <c r="D597" s="22" t="s">
        <v>1967</v>
      </c>
      <c r="BE597" s="6" t="s">
        <v>1798</v>
      </c>
    </row>
    <row r="598" customFormat="false" ht="36.5" hidden="false" customHeight="false" outlineLevel="0" collapsed="false">
      <c r="B598" s="22" t="s">
        <v>1968</v>
      </c>
      <c r="C598" s="1"/>
      <c r="D598" s="22" t="s">
        <v>1969</v>
      </c>
      <c r="BE598" s="6" t="s">
        <v>1798</v>
      </c>
    </row>
    <row r="599" customFormat="false" ht="36.5" hidden="false" customHeight="false" outlineLevel="0" collapsed="false">
      <c r="B599" s="22" t="s">
        <v>1970</v>
      </c>
      <c r="C599" s="1"/>
      <c r="D599" s="22" t="s">
        <v>1971</v>
      </c>
      <c r="BE599" s="6" t="s">
        <v>1798</v>
      </c>
    </row>
    <row r="600" customFormat="false" ht="25" hidden="false" customHeight="false" outlineLevel="0" collapsed="false">
      <c r="B600" s="22" t="s">
        <v>1972</v>
      </c>
      <c r="C600" s="1"/>
      <c r="D600" s="22" t="s">
        <v>1973</v>
      </c>
      <c r="BE600" s="23" t="s">
        <v>1974</v>
      </c>
    </row>
    <row r="601" customFormat="false" ht="25" hidden="false" customHeight="false" outlineLevel="0" collapsed="false">
      <c r="B601" s="22" t="s">
        <v>1975</v>
      </c>
      <c r="C601" s="1"/>
      <c r="D601" s="22" t="s">
        <v>1976</v>
      </c>
      <c r="BE601" s="23" t="s">
        <v>1974</v>
      </c>
    </row>
    <row r="602" customFormat="false" ht="25" hidden="false" customHeight="false" outlineLevel="0" collapsed="false">
      <c r="B602" s="22" t="s">
        <v>1977</v>
      </c>
      <c r="C602" s="1"/>
      <c r="D602" s="22" t="s">
        <v>1978</v>
      </c>
      <c r="BE602" s="23" t="s">
        <v>1974</v>
      </c>
    </row>
    <row r="603" customFormat="false" ht="36.5" hidden="false" customHeight="false" outlineLevel="0" collapsed="false">
      <c r="B603" s="22" t="s">
        <v>1979</v>
      </c>
      <c r="C603" s="1"/>
      <c r="D603" s="22" t="s">
        <v>1980</v>
      </c>
      <c r="BE603" s="23" t="s">
        <v>1974</v>
      </c>
    </row>
    <row r="604" customFormat="false" ht="25" hidden="false" customHeight="false" outlineLevel="0" collapsed="false">
      <c r="B604" s="22" t="s">
        <v>1981</v>
      </c>
      <c r="C604" s="1"/>
      <c r="D604" s="22" t="s">
        <v>1982</v>
      </c>
      <c r="BE604" s="23" t="s">
        <v>1974</v>
      </c>
    </row>
    <row r="605" customFormat="false" ht="25" hidden="false" customHeight="false" outlineLevel="0" collapsed="false">
      <c r="B605" s="22" t="s">
        <v>1983</v>
      </c>
      <c r="C605" s="1"/>
      <c r="D605" s="22" t="s">
        <v>1984</v>
      </c>
      <c r="BE605" s="23" t="s">
        <v>1974</v>
      </c>
    </row>
    <row r="606" customFormat="false" ht="25" hidden="false" customHeight="false" outlineLevel="0" collapsed="false">
      <c r="B606" s="22" t="s">
        <v>1985</v>
      </c>
      <c r="C606" s="1"/>
      <c r="D606" s="22" t="s">
        <v>1986</v>
      </c>
      <c r="BE606" s="23" t="s">
        <v>1974</v>
      </c>
    </row>
    <row r="607" customFormat="false" ht="25" hidden="false" customHeight="false" outlineLevel="0" collapsed="false">
      <c r="B607" s="22" t="s">
        <v>1987</v>
      </c>
      <c r="C607" s="1"/>
      <c r="D607" s="22" t="s">
        <v>1988</v>
      </c>
      <c r="BE607" s="23" t="s">
        <v>1974</v>
      </c>
    </row>
    <row r="608" customFormat="false" ht="25" hidden="false" customHeight="false" outlineLevel="0" collapsed="false">
      <c r="B608" s="22" t="s">
        <v>1989</v>
      </c>
      <c r="C608" s="1"/>
      <c r="D608" s="22" t="s">
        <v>1990</v>
      </c>
      <c r="BE608" s="23" t="s">
        <v>1974</v>
      </c>
    </row>
    <row r="609" customFormat="false" ht="36.5" hidden="false" customHeight="false" outlineLevel="0" collapsed="false">
      <c r="B609" s="22" t="s">
        <v>1991</v>
      </c>
      <c r="C609" s="1"/>
      <c r="D609" s="22" t="s">
        <v>1992</v>
      </c>
      <c r="BE609" s="23" t="s">
        <v>1974</v>
      </c>
    </row>
    <row r="610" customFormat="false" ht="25" hidden="false" customHeight="false" outlineLevel="0" collapsed="false">
      <c r="B610" s="22" t="s">
        <v>1993</v>
      </c>
      <c r="C610" s="1"/>
      <c r="D610" s="22" t="s">
        <v>1994</v>
      </c>
      <c r="BE610" s="23" t="s">
        <v>1974</v>
      </c>
    </row>
    <row r="611" customFormat="false" ht="25" hidden="false" customHeight="false" outlineLevel="0" collapsed="false">
      <c r="B611" s="22" t="s">
        <v>1995</v>
      </c>
      <c r="C611" s="1"/>
      <c r="D611" s="22" t="s">
        <v>1996</v>
      </c>
      <c r="BE611" s="23" t="s">
        <v>1974</v>
      </c>
    </row>
    <row r="612" customFormat="false" ht="25" hidden="false" customHeight="false" outlineLevel="0" collapsed="false">
      <c r="B612" s="22" t="s">
        <v>1997</v>
      </c>
      <c r="C612" s="1"/>
      <c r="D612" s="22" t="s">
        <v>1998</v>
      </c>
      <c r="BE612" s="23" t="s">
        <v>1974</v>
      </c>
    </row>
    <row r="613" customFormat="false" ht="25" hidden="false" customHeight="false" outlineLevel="0" collapsed="false">
      <c r="B613" s="22" t="s">
        <v>1999</v>
      </c>
      <c r="C613" s="1"/>
      <c r="D613" s="22" t="s">
        <v>2000</v>
      </c>
      <c r="BE613" s="23" t="s">
        <v>1974</v>
      </c>
    </row>
    <row r="614" customFormat="false" ht="25" hidden="false" customHeight="false" outlineLevel="0" collapsed="false">
      <c r="B614" s="22" t="s">
        <v>2001</v>
      </c>
      <c r="C614" s="1"/>
      <c r="D614" s="22" t="s">
        <v>2002</v>
      </c>
      <c r="BE614" s="23" t="s">
        <v>1974</v>
      </c>
    </row>
    <row r="615" customFormat="false" ht="25" hidden="false" customHeight="false" outlineLevel="0" collapsed="false">
      <c r="B615" s="22" t="s">
        <v>2003</v>
      </c>
      <c r="C615" s="1"/>
      <c r="D615" s="22" t="s">
        <v>2004</v>
      </c>
      <c r="BE615" s="23" t="s">
        <v>1974</v>
      </c>
    </row>
    <row r="616" customFormat="false" ht="25" hidden="false" customHeight="false" outlineLevel="0" collapsed="false">
      <c r="B616" s="22" t="s">
        <v>2005</v>
      </c>
      <c r="C616" s="1"/>
      <c r="D616" s="22" t="s">
        <v>2006</v>
      </c>
      <c r="BE616" s="23" t="s">
        <v>1974</v>
      </c>
    </row>
    <row r="617" customFormat="false" ht="25" hidden="false" customHeight="false" outlineLevel="0" collapsed="false">
      <c r="B617" s="22" t="s">
        <v>2007</v>
      </c>
      <c r="C617" s="1"/>
      <c r="D617" s="22" t="s">
        <v>2008</v>
      </c>
      <c r="BE617" s="23" t="s">
        <v>1974</v>
      </c>
    </row>
    <row r="618" customFormat="false" ht="25" hidden="false" customHeight="false" outlineLevel="0" collapsed="false">
      <c r="B618" s="22" t="s">
        <v>2009</v>
      </c>
      <c r="C618" s="1"/>
      <c r="D618" s="22" t="s">
        <v>2010</v>
      </c>
      <c r="BE618" s="23" t="s">
        <v>1974</v>
      </c>
    </row>
    <row r="619" customFormat="false" ht="36.5" hidden="false" customHeight="false" outlineLevel="0" collapsed="false">
      <c r="B619" s="22" t="s">
        <v>2011</v>
      </c>
      <c r="C619" s="1"/>
      <c r="D619" s="22" t="s">
        <v>2012</v>
      </c>
      <c r="BE619" s="23" t="s">
        <v>1974</v>
      </c>
    </row>
    <row r="620" customFormat="false" ht="25" hidden="false" customHeight="false" outlineLevel="0" collapsed="false">
      <c r="B620" s="22" t="s">
        <v>2013</v>
      </c>
      <c r="C620" s="1"/>
      <c r="D620" s="22" t="s">
        <v>2014</v>
      </c>
      <c r="BE620" s="23" t="s">
        <v>1974</v>
      </c>
    </row>
    <row r="621" customFormat="false" ht="25" hidden="false" customHeight="false" outlineLevel="0" collapsed="false">
      <c r="B621" s="22" t="s">
        <v>2015</v>
      </c>
      <c r="C621" s="1"/>
      <c r="D621" s="22" t="s">
        <v>2016</v>
      </c>
      <c r="BE621" s="23" t="s">
        <v>1974</v>
      </c>
    </row>
    <row r="622" customFormat="false" ht="25" hidden="false" customHeight="false" outlineLevel="0" collapsed="false">
      <c r="B622" s="22" t="s">
        <v>2017</v>
      </c>
      <c r="C622" s="1"/>
      <c r="D622" s="22" t="s">
        <v>2018</v>
      </c>
      <c r="BE622" s="23" t="s">
        <v>1974</v>
      </c>
    </row>
    <row r="623" customFormat="false" ht="25" hidden="false" customHeight="false" outlineLevel="0" collapsed="false">
      <c r="B623" s="22" t="s">
        <v>2019</v>
      </c>
      <c r="C623" s="1"/>
      <c r="D623" s="22" t="s">
        <v>2020</v>
      </c>
      <c r="BE623" s="23" t="s">
        <v>1974</v>
      </c>
    </row>
    <row r="624" customFormat="false" ht="25" hidden="false" customHeight="false" outlineLevel="0" collapsed="false">
      <c r="B624" s="22" t="s">
        <v>2021</v>
      </c>
      <c r="C624" s="1"/>
      <c r="D624" s="22" t="s">
        <v>2022</v>
      </c>
      <c r="BE624" s="23" t="s">
        <v>1974</v>
      </c>
    </row>
    <row r="625" customFormat="false" ht="25" hidden="false" customHeight="false" outlineLevel="0" collapsed="false">
      <c r="B625" s="22" t="s">
        <v>2023</v>
      </c>
      <c r="C625" s="1"/>
      <c r="D625" s="22" t="s">
        <v>2024</v>
      </c>
      <c r="BE625" s="23" t="s">
        <v>1974</v>
      </c>
    </row>
    <row r="626" customFormat="false" ht="25" hidden="false" customHeight="false" outlineLevel="0" collapsed="false">
      <c r="B626" s="22" t="s">
        <v>2025</v>
      </c>
      <c r="C626" s="1"/>
      <c r="D626" s="22" t="s">
        <v>2026</v>
      </c>
      <c r="BE626" s="23" t="s">
        <v>1974</v>
      </c>
    </row>
    <row r="627" customFormat="false" ht="36.5" hidden="false" customHeight="false" outlineLevel="0" collapsed="false">
      <c r="B627" s="22" t="s">
        <v>2027</v>
      </c>
      <c r="C627" s="1"/>
      <c r="D627" s="22" t="s">
        <v>2028</v>
      </c>
      <c r="BE627" s="23" t="s">
        <v>1974</v>
      </c>
    </row>
    <row r="628" customFormat="false" ht="25" hidden="false" customHeight="false" outlineLevel="0" collapsed="false">
      <c r="B628" s="22" t="s">
        <v>2029</v>
      </c>
      <c r="C628" s="1"/>
      <c r="D628" s="22" t="s">
        <v>2030</v>
      </c>
      <c r="BE628" s="23" t="s">
        <v>1974</v>
      </c>
    </row>
    <row r="629" customFormat="false" ht="25" hidden="false" customHeight="false" outlineLevel="0" collapsed="false">
      <c r="B629" s="22" t="s">
        <v>2031</v>
      </c>
      <c r="C629" s="1"/>
      <c r="D629" s="22" t="s">
        <v>2032</v>
      </c>
      <c r="BE629" s="23" t="s">
        <v>1974</v>
      </c>
    </row>
    <row r="630" customFormat="false" ht="25" hidden="false" customHeight="false" outlineLevel="0" collapsed="false">
      <c r="B630" s="22" t="s">
        <v>2033</v>
      </c>
      <c r="C630" s="1"/>
      <c r="D630" s="22" t="s">
        <v>2034</v>
      </c>
      <c r="BE630" s="23" t="s">
        <v>1974</v>
      </c>
    </row>
    <row r="631" customFormat="false" ht="25" hidden="false" customHeight="false" outlineLevel="0" collapsed="false">
      <c r="B631" s="22" t="s">
        <v>2035</v>
      </c>
      <c r="C631" s="1"/>
      <c r="D631" s="22" t="s">
        <v>2036</v>
      </c>
      <c r="BE631" s="23" t="s">
        <v>1974</v>
      </c>
    </row>
    <row r="632" customFormat="false" ht="25" hidden="false" customHeight="false" outlineLevel="0" collapsed="false">
      <c r="B632" s="22" t="s">
        <v>2037</v>
      </c>
      <c r="C632" s="1"/>
      <c r="D632" s="22" t="s">
        <v>2038</v>
      </c>
      <c r="BE632" s="23" t="s">
        <v>1974</v>
      </c>
    </row>
    <row r="633" customFormat="false" ht="25" hidden="false" customHeight="false" outlineLevel="0" collapsed="false">
      <c r="B633" s="22" t="s">
        <v>2039</v>
      </c>
      <c r="C633" s="1"/>
      <c r="D633" s="22" t="s">
        <v>2040</v>
      </c>
      <c r="BE633" s="23" t="s">
        <v>1974</v>
      </c>
    </row>
    <row r="634" customFormat="false" ht="25" hidden="false" customHeight="false" outlineLevel="0" collapsed="false">
      <c r="B634" s="22" t="s">
        <v>2041</v>
      </c>
      <c r="C634" s="1"/>
      <c r="D634" s="22" t="s">
        <v>2042</v>
      </c>
      <c r="BE634" s="23" t="s">
        <v>1974</v>
      </c>
    </row>
    <row r="635" customFormat="false" ht="25" hidden="false" customHeight="false" outlineLevel="0" collapsed="false">
      <c r="B635" s="22" t="s">
        <v>2043</v>
      </c>
      <c r="C635" s="1"/>
      <c r="D635" s="22" t="s">
        <v>2044</v>
      </c>
      <c r="BE635" s="23" t="s">
        <v>1974</v>
      </c>
    </row>
    <row r="636" customFormat="false" ht="36.5" hidden="false" customHeight="false" outlineLevel="0" collapsed="false">
      <c r="B636" s="22" t="s">
        <v>2045</v>
      </c>
      <c r="C636" s="1"/>
      <c r="D636" s="22" t="s">
        <v>2046</v>
      </c>
      <c r="BE636" s="23" t="s">
        <v>1974</v>
      </c>
    </row>
    <row r="637" customFormat="false" ht="36.5" hidden="false" customHeight="false" outlineLevel="0" collapsed="false">
      <c r="B637" s="22" t="s">
        <v>2047</v>
      </c>
      <c r="C637" s="1"/>
      <c r="D637" s="22" t="s">
        <v>2048</v>
      </c>
      <c r="BE637" s="23" t="s">
        <v>1974</v>
      </c>
    </row>
    <row r="638" customFormat="false" ht="25" hidden="false" customHeight="false" outlineLevel="0" collapsed="false">
      <c r="B638" s="22" t="s">
        <v>2049</v>
      </c>
      <c r="C638" s="1"/>
      <c r="D638" s="22" t="s">
        <v>2050</v>
      </c>
      <c r="BE638" s="23" t="s">
        <v>1974</v>
      </c>
    </row>
    <row r="639" customFormat="false" ht="25" hidden="false" customHeight="false" outlineLevel="0" collapsed="false">
      <c r="B639" s="22" t="s">
        <v>2051</v>
      </c>
      <c r="C639" s="1"/>
      <c r="D639" s="22" t="s">
        <v>2052</v>
      </c>
      <c r="BE639" s="23" t="s">
        <v>1974</v>
      </c>
    </row>
    <row r="640" customFormat="false" ht="25" hidden="false" customHeight="false" outlineLevel="0" collapsed="false">
      <c r="B640" s="22" t="s">
        <v>2053</v>
      </c>
      <c r="C640" s="1"/>
      <c r="D640" s="22" t="s">
        <v>2054</v>
      </c>
      <c r="BE640" s="23" t="s">
        <v>1974</v>
      </c>
    </row>
    <row r="641" customFormat="false" ht="36.5" hidden="false" customHeight="false" outlineLevel="0" collapsed="false">
      <c r="B641" s="22" t="s">
        <v>2055</v>
      </c>
      <c r="C641" s="1"/>
      <c r="D641" s="22" t="s">
        <v>2056</v>
      </c>
      <c r="BE641" s="23" t="s">
        <v>1974</v>
      </c>
    </row>
    <row r="642" customFormat="false" ht="25" hidden="false" customHeight="false" outlineLevel="0" collapsed="false">
      <c r="B642" s="22" t="s">
        <v>2057</v>
      </c>
      <c r="C642" s="1"/>
      <c r="D642" s="22" t="s">
        <v>2058</v>
      </c>
      <c r="BE642" s="23" t="s">
        <v>1974</v>
      </c>
    </row>
    <row r="643" customFormat="false" ht="36.5" hidden="false" customHeight="false" outlineLevel="0" collapsed="false">
      <c r="B643" s="22" t="s">
        <v>2059</v>
      </c>
      <c r="C643" s="1"/>
      <c r="D643" s="22" t="s">
        <v>2060</v>
      </c>
      <c r="BE643" s="23" t="s">
        <v>1974</v>
      </c>
    </row>
    <row r="644" customFormat="false" ht="25" hidden="false" customHeight="false" outlineLevel="0" collapsed="false">
      <c r="B644" s="22" t="s">
        <v>2061</v>
      </c>
      <c r="C644" s="1"/>
      <c r="D644" s="22" t="s">
        <v>2062</v>
      </c>
      <c r="BE644" s="23" t="s">
        <v>1974</v>
      </c>
    </row>
    <row r="645" customFormat="false" ht="25" hidden="false" customHeight="false" outlineLevel="0" collapsed="false">
      <c r="B645" s="22" t="s">
        <v>2063</v>
      </c>
      <c r="C645" s="1"/>
      <c r="D645" s="22" t="s">
        <v>2064</v>
      </c>
      <c r="BE645" s="23" t="s">
        <v>1974</v>
      </c>
    </row>
    <row r="646" customFormat="false" ht="25" hidden="false" customHeight="false" outlineLevel="0" collapsed="false">
      <c r="B646" s="22" t="s">
        <v>2065</v>
      </c>
      <c r="C646" s="1"/>
      <c r="D646" s="22" t="s">
        <v>2066</v>
      </c>
      <c r="BE646" s="23" t="s">
        <v>1974</v>
      </c>
    </row>
    <row r="647" customFormat="false" ht="48" hidden="false" customHeight="false" outlineLevel="0" collapsed="false">
      <c r="B647" s="24" t="s">
        <v>2067</v>
      </c>
      <c r="C647" s="1"/>
      <c r="D647" s="24" t="s">
        <v>2068</v>
      </c>
      <c r="BE647" s="23" t="s">
        <v>2069</v>
      </c>
    </row>
    <row r="648" customFormat="false" ht="25" hidden="false" customHeight="false" outlineLevel="0" collapsed="false">
      <c r="B648" s="24" t="s">
        <v>2070</v>
      </c>
      <c r="C648" s="1"/>
      <c r="D648" s="24" t="s">
        <v>2071</v>
      </c>
      <c r="BE648" s="23" t="s">
        <v>2069</v>
      </c>
    </row>
    <row r="649" customFormat="false" ht="25" hidden="false" customHeight="false" outlineLevel="0" collapsed="false">
      <c r="B649" s="24" t="s">
        <v>2072</v>
      </c>
      <c r="C649" s="1"/>
      <c r="D649" s="24" t="s">
        <v>2073</v>
      </c>
      <c r="BE649" s="23" t="s">
        <v>2069</v>
      </c>
    </row>
    <row r="650" customFormat="false" ht="36.5" hidden="false" customHeight="false" outlineLevel="0" collapsed="false">
      <c r="B650" s="24" t="s">
        <v>2074</v>
      </c>
      <c r="C650" s="1"/>
      <c r="D650" s="24" t="s">
        <v>2075</v>
      </c>
      <c r="BE650" s="23" t="s">
        <v>2069</v>
      </c>
    </row>
    <row r="651" customFormat="false" ht="48" hidden="false" customHeight="false" outlineLevel="0" collapsed="false">
      <c r="B651" s="24" t="s">
        <v>2076</v>
      </c>
      <c r="C651" s="1"/>
      <c r="D651" s="24" t="s">
        <v>2077</v>
      </c>
      <c r="BE651" s="23" t="s">
        <v>2069</v>
      </c>
    </row>
    <row r="652" customFormat="false" ht="59.5" hidden="false" customHeight="false" outlineLevel="0" collapsed="false">
      <c r="B652" s="24" t="s">
        <v>2078</v>
      </c>
      <c r="C652" s="1"/>
      <c r="D652" s="24" t="s">
        <v>2079</v>
      </c>
      <c r="BE652" s="23" t="s">
        <v>2069</v>
      </c>
    </row>
    <row r="653" customFormat="false" ht="59.5" hidden="false" customHeight="false" outlineLevel="0" collapsed="false">
      <c r="B653" s="24" t="s">
        <v>2080</v>
      </c>
      <c r="C653" s="1"/>
      <c r="D653" s="24" t="s">
        <v>2079</v>
      </c>
      <c r="BE653" s="23" t="s">
        <v>2069</v>
      </c>
    </row>
    <row r="654" customFormat="false" ht="25" hidden="false" customHeight="false" outlineLevel="0" collapsed="false">
      <c r="B654" s="24" t="s">
        <v>2081</v>
      </c>
      <c r="C654" s="1"/>
      <c r="D654" s="24" t="s">
        <v>2082</v>
      </c>
      <c r="BE654" s="23" t="s">
        <v>2069</v>
      </c>
    </row>
    <row r="655" customFormat="false" ht="48" hidden="false" customHeight="false" outlineLevel="0" collapsed="false">
      <c r="B655" s="24" t="s">
        <v>2083</v>
      </c>
      <c r="C655" s="1"/>
      <c r="D655" s="24" t="s">
        <v>2084</v>
      </c>
      <c r="BE655" s="23" t="s">
        <v>2069</v>
      </c>
    </row>
    <row r="656" customFormat="false" ht="25" hidden="false" customHeight="false" outlineLevel="0" collapsed="false">
      <c r="B656" s="24" t="s">
        <v>2085</v>
      </c>
      <c r="C656" s="1"/>
      <c r="D656" s="24" t="s">
        <v>2086</v>
      </c>
      <c r="BE656" s="23" t="s">
        <v>2069</v>
      </c>
    </row>
    <row r="657" customFormat="false" ht="94" hidden="false" customHeight="false" outlineLevel="0" collapsed="false">
      <c r="B657" s="24" t="s">
        <v>2087</v>
      </c>
      <c r="C657" s="1"/>
      <c r="D657" s="24" t="s">
        <v>2088</v>
      </c>
      <c r="BE657" s="23" t="s">
        <v>2069</v>
      </c>
    </row>
    <row r="658" customFormat="false" ht="59.5" hidden="false" customHeight="false" outlineLevel="0" collapsed="false">
      <c r="B658" s="24" t="s">
        <v>2089</v>
      </c>
      <c r="C658" s="1"/>
      <c r="D658" s="24" t="s">
        <v>2090</v>
      </c>
      <c r="BE658" s="23" t="s">
        <v>2069</v>
      </c>
    </row>
    <row r="659" customFormat="false" ht="36.5" hidden="false" customHeight="false" outlineLevel="0" collapsed="false">
      <c r="B659" s="24" t="s">
        <v>2091</v>
      </c>
      <c r="C659" s="1"/>
      <c r="D659" s="24" t="s">
        <v>2092</v>
      </c>
      <c r="BE659" s="23" t="s">
        <v>2069</v>
      </c>
    </row>
    <row r="660" customFormat="false" ht="25" hidden="false" customHeight="false" outlineLevel="0" collapsed="false">
      <c r="B660" s="24" t="s">
        <v>2093</v>
      </c>
      <c r="C660" s="1"/>
      <c r="D660" s="24" t="s">
        <v>2094</v>
      </c>
      <c r="BE660" s="23" t="s">
        <v>2069</v>
      </c>
    </row>
    <row r="661" customFormat="false" ht="25" hidden="false" customHeight="false" outlineLevel="0" collapsed="false">
      <c r="B661" s="24" t="s">
        <v>2095</v>
      </c>
      <c r="C661" s="1"/>
      <c r="D661" s="24" t="s">
        <v>2096</v>
      </c>
      <c r="BE661" s="23" t="s">
        <v>2069</v>
      </c>
    </row>
    <row r="662" customFormat="false" ht="36.5" hidden="false" customHeight="false" outlineLevel="0" collapsed="false">
      <c r="B662" s="24" t="s">
        <v>2097</v>
      </c>
      <c r="C662" s="1"/>
      <c r="D662" s="24" t="s">
        <v>2098</v>
      </c>
      <c r="BE662" s="23" t="s">
        <v>2069</v>
      </c>
    </row>
    <row r="663" customFormat="false" ht="36.5" hidden="false" customHeight="false" outlineLevel="0" collapsed="false">
      <c r="B663" s="24" t="s">
        <v>2099</v>
      </c>
      <c r="C663" s="1"/>
      <c r="D663" s="24" t="s">
        <v>2100</v>
      </c>
      <c r="BE663" s="23" t="s">
        <v>2069</v>
      </c>
    </row>
    <row r="664" customFormat="false" ht="36.5" hidden="false" customHeight="false" outlineLevel="0" collapsed="false">
      <c r="B664" s="24" t="s">
        <v>2101</v>
      </c>
      <c r="C664" s="1"/>
      <c r="D664" s="24" t="s">
        <v>2102</v>
      </c>
      <c r="BE664" s="23" t="s">
        <v>2069</v>
      </c>
    </row>
    <row r="665" customFormat="false" ht="25" hidden="false" customHeight="false" outlineLevel="0" collapsed="false">
      <c r="B665" s="24" t="s">
        <v>2103</v>
      </c>
      <c r="C665" s="1"/>
      <c r="D665" s="24" t="s">
        <v>2104</v>
      </c>
      <c r="BE665" s="23" t="s">
        <v>2069</v>
      </c>
    </row>
    <row r="666" customFormat="false" ht="36.5" hidden="false" customHeight="false" outlineLevel="0" collapsed="false">
      <c r="B666" s="24" t="s">
        <v>2105</v>
      </c>
      <c r="C666" s="1"/>
      <c r="D666" s="24" t="s">
        <v>2106</v>
      </c>
      <c r="BE666" s="23" t="s">
        <v>2069</v>
      </c>
    </row>
    <row r="667" customFormat="false" ht="25" hidden="false" customHeight="false" outlineLevel="0" collapsed="false">
      <c r="B667" s="24" t="s">
        <v>2107</v>
      </c>
      <c r="C667" s="1"/>
      <c r="D667" s="24" t="s">
        <v>2108</v>
      </c>
      <c r="BE667" s="23" t="s">
        <v>2069</v>
      </c>
    </row>
    <row r="668" customFormat="false" ht="36.5" hidden="false" customHeight="false" outlineLevel="0" collapsed="false">
      <c r="B668" s="24" t="s">
        <v>2109</v>
      </c>
      <c r="C668" s="1"/>
      <c r="D668" s="24" t="s">
        <v>2110</v>
      </c>
      <c r="BE668" s="23" t="s">
        <v>2069</v>
      </c>
    </row>
    <row r="669" customFormat="false" ht="59.5" hidden="false" customHeight="false" outlineLevel="0" collapsed="false">
      <c r="B669" s="24" t="s">
        <v>2111</v>
      </c>
      <c r="C669" s="1"/>
      <c r="D669" s="24" t="s">
        <v>2112</v>
      </c>
      <c r="BE669" s="23" t="s">
        <v>2069</v>
      </c>
    </row>
    <row r="670" customFormat="false" ht="48" hidden="false" customHeight="false" outlineLevel="0" collapsed="false">
      <c r="B670" s="24" t="s">
        <v>2113</v>
      </c>
      <c r="C670" s="1"/>
      <c r="D670" s="24" t="s">
        <v>2114</v>
      </c>
      <c r="BE670" s="23" t="s">
        <v>2069</v>
      </c>
    </row>
    <row r="671" customFormat="false" ht="59.5" hidden="false" customHeight="false" outlineLevel="0" collapsed="false">
      <c r="B671" s="24" t="s">
        <v>2115</v>
      </c>
      <c r="C671" s="1"/>
      <c r="D671" s="24" t="s">
        <v>2116</v>
      </c>
      <c r="BE671" s="23" t="s">
        <v>2069</v>
      </c>
    </row>
    <row r="672" customFormat="false" ht="25" hidden="false" customHeight="false" outlineLevel="0" collapsed="false">
      <c r="B672" s="24" t="s">
        <v>2117</v>
      </c>
      <c r="C672" s="1"/>
      <c r="D672" s="24" t="s">
        <v>2118</v>
      </c>
      <c r="BE672" s="23" t="s">
        <v>2069</v>
      </c>
    </row>
    <row r="673" customFormat="false" ht="71" hidden="false" customHeight="false" outlineLevel="0" collapsed="false">
      <c r="B673" s="24" t="s">
        <v>2119</v>
      </c>
      <c r="C673" s="1"/>
      <c r="D673" s="24" t="s">
        <v>2120</v>
      </c>
      <c r="BE673" s="23" t="s">
        <v>2069</v>
      </c>
    </row>
    <row r="674" customFormat="false" ht="25" hidden="false" customHeight="false" outlineLevel="0" collapsed="false">
      <c r="B674" s="24" t="s">
        <v>2121</v>
      </c>
      <c r="C674" s="1"/>
      <c r="D674" s="24" t="s">
        <v>2122</v>
      </c>
      <c r="BE674" s="23" t="s">
        <v>2069</v>
      </c>
    </row>
    <row r="675" customFormat="false" ht="48" hidden="false" customHeight="false" outlineLevel="0" collapsed="false">
      <c r="B675" s="24" t="s">
        <v>2123</v>
      </c>
      <c r="C675" s="1"/>
      <c r="D675" s="24" t="s">
        <v>2124</v>
      </c>
      <c r="BE675" s="23" t="s">
        <v>2069</v>
      </c>
    </row>
    <row r="676" customFormat="false" ht="25" hidden="false" customHeight="false" outlineLevel="0" collapsed="false">
      <c r="B676" s="24" t="s">
        <v>2125</v>
      </c>
      <c r="C676" s="1"/>
      <c r="D676" s="24" t="s">
        <v>2126</v>
      </c>
      <c r="BE676" s="23" t="s">
        <v>2069</v>
      </c>
    </row>
    <row r="677" customFormat="false" ht="36.5" hidden="false" customHeight="false" outlineLevel="0" collapsed="false">
      <c r="B677" s="24" t="s">
        <v>2127</v>
      </c>
      <c r="C677" s="1"/>
      <c r="D677" s="24" t="s">
        <v>2128</v>
      </c>
      <c r="BE677" s="23" t="s">
        <v>2069</v>
      </c>
    </row>
    <row r="678" customFormat="false" ht="59.5" hidden="false" customHeight="false" outlineLevel="0" collapsed="false">
      <c r="A678" s="4" t="s">
        <v>63</v>
      </c>
      <c r="B678" s="5" t="s">
        <v>2129</v>
      </c>
      <c r="C678" s="5" t="s">
        <v>2130</v>
      </c>
      <c r="D678" s="5" t="s">
        <v>2131</v>
      </c>
      <c r="E678" s="5" t="s">
        <v>2132</v>
      </c>
      <c r="F678" s="5" t="s">
        <v>2133</v>
      </c>
      <c r="H678" s="6" t="s">
        <v>63</v>
      </c>
      <c r="I678" s="6" t="s">
        <v>62</v>
      </c>
      <c r="J678" s="6" t="s">
        <v>63</v>
      </c>
      <c r="K678" s="6" t="s">
        <v>63</v>
      </c>
      <c r="L678" s="6" t="s">
        <v>64</v>
      </c>
      <c r="M678" s="5" t="s">
        <v>2134</v>
      </c>
      <c r="N678" s="5" t="s">
        <v>2135</v>
      </c>
      <c r="O678" s="6" t="s">
        <v>2136</v>
      </c>
      <c r="Q678" s="6" t="s">
        <v>67</v>
      </c>
      <c r="R678" s="6" t="s">
        <v>123</v>
      </c>
      <c r="T678" s="6" t="s">
        <v>2137</v>
      </c>
      <c r="U678" s="7" t="n">
        <v>1</v>
      </c>
      <c r="V678" s="7" t="n">
        <v>1</v>
      </c>
      <c r="W678" s="8" t="s">
        <v>2138</v>
      </c>
      <c r="X678" s="8" t="s">
        <v>2138</v>
      </c>
      <c r="Y678" s="8" t="s">
        <v>2139</v>
      </c>
      <c r="Z678" s="8" t="s">
        <v>2139</v>
      </c>
      <c r="AA678" s="7" t="n">
        <v>186</v>
      </c>
      <c r="AB678" s="7" t="n">
        <v>163</v>
      </c>
      <c r="AC678" s="7" t="n">
        <v>286</v>
      </c>
      <c r="AD678" s="7" t="n">
        <v>2</v>
      </c>
      <c r="AE678" s="7" t="n">
        <v>2</v>
      </c>
      <c r="AF678" s="7" t="n">
        <v>21</v>
      </c>
      <c r="AG678" s="7" t="n">
        <v>30</v>
      </c>
      <c r="AH678" s="7" t="n">
        <v>5</v>
      </c>
      <c r="AI678" s="7" t="n">
        <v>11</v>
      </c>
      <c r="AJ678" s="7" t="n">
        <v>6</v>
      </c>
      <c r="AK678" s="7" t="n">
        <v>8</v>
      </c>
      <c r="AL678" s="7" t="n">
        <v>18</v>
      </c>
      <c r="AM678" s="7" t="n">
        <v>24</v>
      </c>
      <c r="AN678" s="7" t="n">
        <v>0</v>
      </c>
      <c r="AO678" s="7" t="n">
        <v>0</v>
      </c>
      <c r="AP678" s="7" t="n">
        <v>0</v>
      </c>
      <c r="AQ678" s="7" t="n">
        <v>0</v>
      </c>
      <c r="AR678" s="6" t="s">
        <v>63</v>
      </c>
      <c r="AS678" s="6" t="s">
        <v>57</v>
      </c>
      <c r="AT678" s="25" t="str">
        <f aca="false">HYPERLINK("http://catalog.hathitrust.org/Record/005992563","HathiTrust Record")</f>
        <v>HathiTrust Record</v>
      </c>
      <c r="AU678" s="25" t="str">
        <f aca="false">HYPERLINK("https://creighton-primo.hosted.exlibrisgroup.com/primo-explore/search?tab=default_tab&amp;search_scope=EVERYTHING&amp;vid=01CRU&amp;lang=en_US&amp;offset=0&amp;query=any,contains,991003752549702656","Catalog Record")</f>
        <v>Catalog Record</v>
      </c>
      <c r="AV678" s="25" t="str">
        <f aca="false">HYPERLINK("http://www.worldcat.org/oclc/1430621","WorldCat Record")</f>
        <v>WorldCat Record</v>
      </c>
      <c r="AW678" s="6" t="s">
        <v>2140</v>
      </c>
      <c r="AX678" s="6" t="s">
        <v>2141</v>
      </c>
      <c r="AY678" s="6" t="s">
        <v>2142</v>
      </c>
      <c r="AZ678" s="6" t="s">
        <v>2142</v>
      </c>
      <c r="BA678" s="6" t="s">
        <v>2143</v>
      </c>
      <c r="BC678" s="6" t="s">
        <v>2144</v>
      </c>
      <c r="BE678" s="15" t="s">
        <v>2145</v>
      </c>
      <c r="BF678" s="6" t="s">
        <v>2146</v>
      </c>
    </row>
    <row r="679" customFormat="false" ht="105.5" hidden="false" customHeight="false" outlineLevel="0" collapsed="false">
      <c r="A679" s="4" t="s">
        <v>63</v>
      </c>
      <c r="B679" s="5" t="s">
        <v>2129</v>
      </c>
      <c r="C679" s="5" t="s">
        <v>2130</v>
      </c>
      <c r="D679" s="5" t="s">
        <v>2147</v>
      </c>
      <c r="E679" s="5" t="s">
        <v>2148</v>
      </c>
      <c r="F679" s="5" t="s">
        <v>2149</v>
      </c>
      <c r="H679" s="6" t="s">
        <v>63</v>
      </c>
      <c r="I679" s="6" t="s">
        <v>62</v>
      </c>
      <c r="J679" s="6" t="s">
        <v>63</v>
      </c>
      <c r="K679" s="6" t="s">
        <v>63</v>
      </c>
      <c r="L679" s="6" t="s">
        <v>64</v>
      </c>
      <c r="M679" s="5" t="s">
        <v>2150</v>
      </c>
      <c r="N679" s="5" t="s">
        <v>2151</v>
      </c>
      <c r="O679" s="6" t="s">
        <v>246</v>
      </c>
      <c r="Q679" s="6" t="s">
        <v>67</v>
      </c>
      <c r="R679" s="6" t="s">
        <v>1108</v>
      </c>
      <c r="S679" s="5" t="s">
        <v>2152</v>
      </c>
      <c r="T679" s="6" t="s">
        <v>2137</v>
      </c>
      <c r="U679" s="7" t="n">
        <v>1</v>
      </c>
      <c r="V679" s="7" t="n">
        <v>1</v>
      </c>
      <c r="W679" s="8" t="s">
        <v>2153</v>
      </c>
      <c r="X679" s="8" t="s">
        <v>2153</v>
      </c>
      <c r="Y679" s="8" t="s">
        <v>2154</v>
      </c>
      <c r="Z679" s="8" t="s">
        <v>2154</v>
      </c>
      <c r="AA679" s="7" t="n">
        <v>407</v>
      </c>
      <c r="AB679" s="7" t="n">
        <v>364</v>
      </c>
      <c r="AC679" s="7" t="n">
        <v>450</v>
      </c>
      <c r="AD679" s="7" t="n">
        <v>2</v>
      </c>
      <c r="AE679" s="7" t="n">
        <v>3</v>
      </c>
      <c r="AF679" s="7" t="n">
        <v>21</v>
      </c>
      <c r="AG679" s="7" t="n">
        <v>25</v>
      </c>
      <c r="AH679" s="7" t="n">
        <v>9</v>
      </c>
      <c r="AI679" s="7" t="n">
        <v>9</v>
      </c>
      <c r="AJ679" s="7" t="n">
        <v>5</v>
      </c>
      <c r="AK679" s="7" t="n">
        <v>6</v>
      </c>
      <c r="AL679" s="7" t="n">
        <v>15</v>
      </c>
      <c r="AM679" s="7" t="n">
        <v>18</v>
      </c>
      <c r="AN679" s="7" t="n">
        <v>1</v>
      </c>
      <c r="AO679" s="7" t="n">
        <v>2</v>
      </c>
      <c r="AP679" s="7" t="n">
        <v>0</v>
      </c>
      <c r="AQ679" s="7" t="n">
        <v>0</v>
      </c>
      <c r="AR679" s="6" t="s">
        <v>63</v>
      </c>
      <c r="AS679" s="6" t="s">
        <v>57</v>
      </c>
      <c r="AT679" s="25" t="str">
        <f aca="false">HYPERLINK("http://catalog.hathitrust.org/Record/000705888","HathiTrust Record")</f>
        <v>HathiTrust Record</v>
      </c>
      <c r="AU679" s="25" t="str">
        <f aca="false">HYPERLINK("https://creighton-primo.hosted.exlibrisgroup.com/primo-explore/search?tab=default_tab&amp;search_scope=EVERYTHING&amp;vid=01CRU&amp;lang=en_US&amp;offset=0&amp;query=any,contains,991004758519702656","Catalog Record")</f>
        <v>Catalog Record</v>
      </c>
      <c r="AV679" s="25" t="str">
        <f aca="false">HYPERLINK("http://www.worldcat.org/oclc/4983276","WorldCat Record")</f>
        <v>WorldCat Record</v>
      </c>
      <c r="AW679" s="6" t="s">
        <v>2155</v>
      </c>
      <c r="AX679" s="6" t="s">
        <v>2156</v>
      </c>
      <c r="AY679" s="6" t="s">
        <v>2157</v>
      </c>
      <c r="AZ679" s="6" t="s">
        <v>2157</v>
      </c>
      <c r="BA679" s="6" t="s">
        <v>2158</v>
      </c>
      <c r="BB679" s="6" t="s">
        <v>2159</v>
      </c>
      <c r="BC679" s="6" t="s">
        <v>2160</v>
      </c>
      <c r="BE679" s="15" t="s">
        <v>2145</v>
      </c>
      <c r="BF679" s="6" t="s">
        <v>2161</v>
      </c>
    </row>
    <row r="680" customFormat="false" ht="82.5" hidden="false" customHeight="false" outlineLevel="0" collapsed="false">
      <c r="A680" s="4" t="s">
        <v>63</v>
      </c>
      <c r="B680" s="5" t="s">
        <v>2129</v>
      </c>
      <c r="C680" s="5" t="s">
        <v>2130</v>
      </c>
      <c r="D680" s="5" t="s">
        <v>2162</v>
      </c>
      <c r="E680" s="5" t="s">
        <v>2163</v>
      </c>
      <c r="F680" s="5" t="s">
        <v>2164</v>
      </c>
      <c r="H680" s="6" t="s">
        <v>63</v>
      </c>
      <c r="I680" s="6" t="s">
        <v>62</v>
      </c>
      <c r="J680" s="6" t="s">
        <v>63</v>
      </c>
      <c r="K680" s="6" t="s">
        <v>63</v>
      </c>
      <c r="L680" s="6" t="s">
        <v>64</v>
      </c>
      <c r="M680" s="5" t="s">
        <v>2165</v>
      </c>
      <c r="N680" s="5" t="s">
        <v>2166</v>
      </c>
      <c r="O680" s="6" t="s">
        <v>66</v>
      </c>
      <c r="Q680" s="6" t="s">
        <v>67</v>
      </c>
      <c r="R680" s="6" t="s">
        <v>384</v>
      </c>
      <c r="T680" s="6" t="s">
        <v>2137</v>
      </c>
      <c r="U680" s="7" t="n">
        <v>1</v>
      </c>
      <c r="V680" s="7" t="n">
        <v>1</v>
      </c>
      <c r="W680" s="8" t="s">
        <v>2167</v>
      </c>
      <c r="X680" s="8" t="s">
        <v>2167</v>
      </c>
      <c r="Y680" s="8" t="s">
        <v>2167</v>
      </c>
      <c r="Z680" s="8" t="s">
        <v>2167</v>
      </c>
      <c r="AA680" s="7" t="n">
        <v>458</v>
      </c>
      <c r="AB680" s="7" t="n">
        <v>287</v>
      </c>
      <c r="AC680" s="7" t="n">
        <v>287</v>
      </c>
      <c r="AD680" s="7" t="n">
        <v>3</v>
      </c>
      <c r="AE680" s="7" t="n">
        <v>3</v>
      </c>
      <c r="AF680" s="7" t="n">
        <v>17</v>
      </c>
      <c r="AG680" s="7" t="n">
        <v>17</v>
      </c>
      <c r="AH680" s="7" t="n">
        <v>4</v>
      </c>
      <c r="AI680" s="7" t="n">
        <v>4</v>
      </c>
      <c r="AJ680" s="7" t="n">
        <v>5</v>
      </c>
      <c r="AK680" s="7" t="n">
        <v>5</v>
      </c>
      <c r="AL680" s="7" t="n">
        <v>10</v>
      </c>
      <c r="AM680" s="7" t="n">
        <v>10</v>
      </c>
      <c r="AN680" s="7" t="n">
        <v>2</v>
      </c>
      <c r="AO680" s="7" t="n">
        <v>2</v>
      </c>
      <c r="AP680" s="7" t="n">
        <v>0</v>
      </c>
      <c r="AQ680" s="7" t="n">
        <v>0</v>
      </c>
      <c r="AR680" s="6" t="s">
        <v>63</v>
      </c>
      <c r="AS680" s="6" t="s">
        <v>63</v>
      </c>
      <c r="AU680" s="25" t="str">
        <f aca="false">HYPERLINK("https://creighton-primo.hosted.exlibrisgroup.com/primo-explore/search?tab=default_tab&amp;search_scope=EVERYTHING&amp;vid=01CRU&amp;lang=en_US&amp;offset=0&amp;query=any,contains,991005298799702656","Catalog Record")</f>
        <v>Catalog Record</v>
      </c>
      <c r="AV680" s="25" t="str">
        <f aca="false">HYPERLINK("http://www.worldcat.org/oclc/26095699","WorldCat Record")</f>
        <v>WorldCat Record</v>
      </c>
      <c r="AW680" s="6" t="s">
        <v>2168</v>
      </c>
      <c r="AX680" s="6" t="s">
        <v>2169</v>
      </c>
      <c r="AY680" s="6" t="s">
        <v>2170</v>
      </c>
      <c r="AZ680" s="6" t="s">
        <v>2170</v>
      </c>
      <c r="BA680" s="6" t="s">
        <v>2171</v>
      </c>
      <c r="BB680" s="6" t="s">
        <v>2172</v>
      </c>
      <c r="BC680" s="6" t="s">
        <v>2173</v>
      </c>
      <c r="BE680" s="15" t="s">
        <v>2145</v>
      </c>
      <c r="BF680" s="6" t="s">
        <v>2174</v>
      </c>
    </row>
    <row r="681" customFormat="false" ht="197.5" hidden="false" customHeight="false" outlineLevel="0" collapsed="false">
      <c r="A681" s="4" t="s">
        <v>63</v>
      </c>
      <c r="B681" s="5" t="s">
        <v>2129</v>
      </c>
      <c r="C681" s="5" t="s">
        <v>2130</v>
      </c>
      <c r="D681" s="5" t="s">
        <v>2175</v>
      </c>
      <c r="E681" s="5" t="s">
        <v>2176</v>
      </c>
      <c r="F681" s="5" t="s">
        <v>2177</v>
      </c>
      <c r="H681" s="6" t="s">
        <v>63</v>
      </c>
      <c r="I681" s="6" t="s">
        <v>62</v>
      </c>
      <c r="J681" s="6" t="s">
        <v>63</v>
      </c>
      <c r="K681" s="6" t="s">
        <v>63</v>
      </c>
      <c r="L681" s="6" t="s">
        <v>64</v>
      </c>
      <c r="N681" s="5" t="s">
        <v>2178</v>
      </c>
      <c r="O681" s="6" t="s">
        <v>221</v>
      </c>
      <c r="Q681" s="6" t="s">
        <v>67</v>
      </c>
      <c r="R681" s="6" t="s">
        <v>500</v>
      </c>
      <c r="T681" s="6" t="s">
        <v>2137</v>
      </c>
      <c r="U681" s="7" t="n">
        <v>3</v>
      </c>
      <c r="V681" s="7" t="n">
        <v>3</v>
      </c>
      <c r="W681" s="8" t="s">
        <v>2179</v>
      </c>
      <c r="X681" s="8" t="s">
        <v>2179</v>
      </c>
      <c r="Y681" s="8" t="s">
        <v>2180</v>
      </c>
      <c r="Z681" s="8" t="s">
        <v>2180</v>
      </c>
      <c r="AA681" s="7" t="n">
        <v>299</v>
      </c>
      <c r="AB681" s="7" t="n">
        <v>253</v>
      </c>
      <c r="AC681" s="7" t="n">
        <v>264</v>
      </c>
      <c r="AD681" s="7" t="n">
        <v>4</v>
      </c>
      <c r="AE681" s="7" t="n">
        <v>4</v>
      </c>
      <c r="AF681" s="7" t="n">
        <v>15</v>
      </c>
      <c r="AG681" s="7" t="n">
        <v>16</v>
      </c>
      <c r="AH681" s="7" t="n">
        <v>5</v>
      </c>
      <c r="AI681" s="7" t="n">
        <v>5</v>
      </c>
      <c r="AJ681" s="7" t="n">
        <v>4</v>
      </c>
      <c r="AK681" s="7" t="n">
        <v>4</v>
      </c>
      <c r="AL681" s="7" t="n">
        <v>11</v>
      </c>
      <c r="AM681" s="7" t="n">
        <v>12</v>
      </c>
      <c r="AN681" s="7" t="n">
        <v>2</v>
      </c>
      <c r="AO681" s="7" t="n">
        <v>2</v>
      </c>
      <c r="AP681" s="7" t="n">
        <v>0</v>
      </c>
      <c r="AQ681" s="7" t="n">
        <v>0</v>
      </c>
      <c r="AR681" s="6" t="s">
        <v>63</v>
      </c>
      <c r="AS681" s="6" t="s">
        <v>57</v>
      </c>
      <c r="AT681" s="25" t="str">
        <f aca="false">HYPERLINK("http://catalog.hathitrust.org/Record/000273634","HathiTrust Record")</f>
        <v>HathiTrust Record</v>
      </c>
      <c r="AU681" s="25" t="str">
        <f aca="false">HYPERLINK("https://creighton-primo.hosted.exlibrisgroup.com/primo-explore/search?tab=default_tab&amp;search_scope=EVERYTHING&amp;vid=01CRU&amp;lang=en_US&amp;offset=0&amp;query=any,contains,991005217359702656","Catalog Record")</f>
        <v>Catalog Record</v>
      </c>
      <c r="AV681" s="25" t="str">
        <f aca="false">HYPERLINK("http://www.worldcat.org/oclc/8195552","WorldCat Record")</f>
        <v>WorldCat Record</v>
      </c>
      <c r="AW681" s="6" t="s">
        <v>2181</v>
      </c>
      <c r="AX681" s="6" t="s">
        <v>2182</v>
      </c>
      <c r="AY681" s="6" t="s">
        <v>2183</v>
      </c>
      <c r="AZ681" s="6" t="s">
        <v>2183</v>
      </c>
      <c r="BA681" s="6" t="s">
        <v>2184</v>
      </c>
      <c r="BB681" s="6" t="s">
        <v>2185</v>
      </c>
      <c r="BC681" s="6" t="s">
        <v>2186</v>
      </c>
      <c r="BE681" s="15" t="s">
        <v>2145</v>
      </c>
      <c r="BF681" s="6" t="s">
        <v>2187</v>
      </c>
    </row>
    <row r="682" customFormat="false" ht="105.5" hidden="false" customHeight="false" outlineLevel="0" collapsed="false">
      <c r="A682" s="4" t="s">
        <v>63</v>
      </c>
      <c r="B682" s="5" t="s">
        <v>2129</v>
      </c>
      <c r="C682" s="5" t="s">
        <v>2130</v>
      </c>
      <c r="D682" s="5" t="s">
        <v>2188</v>
      </c>
      <c r="E682" s="5" t="s">
        <v>2189</v>
      </c>
      <c r="F682" s="5" t="s">
        <v>2190</v>
      </c>
      <c r="H682" s="6" t="s">
        <v>63</v>
      </c>
      <c r="I682" s="6" t="s">
        <v>62</v>
      </c>
      <c r="J682" s="6" t="s">
        <v>63</v>
      </c>
      <c r="K682" s="6" t="s">
        <v>63</v>
      </c>
      <c r="L682" s="6" t="s">
        <v>64</v>
      </c>
      <c r="N682" s="5" t="s">
        <v>2191</v>
      </c>
      <c r="O682" s="6" t="s">
        <v>221</v>
      </c>
      <c r="Q682" s="6" t="s">
        <v>67</v>
      </c>
      <c r="R682" s="6" t="s">
        <v>500</v>
      </c>
      <c r="S682" s="5" t="s">
        <v>2192</v>
      </c>
      <c r="T682" s="6" t="s">
        <v>2137</v>
      </c>
      <c r="U682" s="7" t="n">
        <v>5</v>
      </c>
      <c r="V682" s="7" t="n">
        <v>5</v>
      </c>
      <c r="W682" s="8" t="s">
        <v>2193</v>
      </c>
      <c r="X682" s="8" t="s">
        <v>2193</v>
      </c>
      <c r="Y682" s="8" t="s">
        <v>2194</v>
      </c>
      <c r="Z682" s="8" t="s">
        <v>2194</v>
      </c>
      <c r="AA682" s="7" t="n">
        <v>611</v>
      </c>
      <c r="AB682" s="7" t="n">
        <v>522</v>
      </c>
      <c r="AC682" s="7" t="n">
        <v>529</v>
      </c>
      <c r="AD682" s="7" t="n">
        <v>4</v>
      </c>
      <c r="AE682" s="7" t="n">
        <v>4</v>
      </c>
      <c r="AF682" s="7" t="n">
        <v>32</v>
      </c>
      <c r="AG682" s="7" t="n">
        <v>32</v>
      </c>
      <c r="AH682" s="7" t="n">
        <v>14</v>
      </c>
      <c r="AI682" s="7" t="n">
        <v>14</v>
      </c>
      <c r="AJ682" s="7" t="n">
        <v>8</v>
      </c>
      <c r="AK682" s="7" t="n">
        <v>8</v>
      </c>
      <c r="AL682" s="7" t="n">
        <v>20</v>
      </c>
      <c r="AM682" s="7" t="n">
        <v>20</v>
      </c>
      <c r="AN682" s="7" t="n">
        <v>2</v>
      </c>
      <c r="AO682" s="7" t="n">
        <v>2</v>
      </c>
      <c r="AP682" s="7" t="n">
        <v>1</v>
      </c>
      <c r="AQ682" s="7" t="n">
        <v>1</v>
      </c>
      <c r="AR682" s="6" t="s">
        <v>63</v>
      </c>
      <c r="AS682" s="6" t="s">
        <v>57</v>
      </c>
      <c r="AT682" s="25" t="str">
        <f aca="false">HYPERLINK("http://catalog.hathitrust.org/Record/000556106","HathiTrust Record")</f>
        <v>HathiTrust Record</v>
      </c>
      <c r="AU682" s="25" t="str">
        <f aca="false">HYPERLINK("https://creighton-primo.hosted.exlibrisgroup.com/primo-explore/search?tab=default_tab&amp;search_scope=EVERYTHING&amp;vid=01CRU&amp;lang=en_US&amp;offset=0&amp;query=any,contains,991000227919702656","Catalog Record")</f>
        <v>Catalog Record</v>
      </c>
      <c r="AV682" s="25" t="str">
        <f aca="false">HYPERLINK("http://www.worldcat.org/oclc/9622027","WorldCat Record")</f>
        <v>WorldCat Record</v>
      </c>
      <c r="AW682" s="6" t="s">
        <v>2195</v>
      </c>
      <c r="AX682" s="6" t="s">
        <v>2196</v>
      </c>
      <c r="AY682" s="6" t="s">
        <v>2197</v>
      </c>
      <c r="AZ682" s="6" t="s">
        <v>2197</v>
      </c>
      <c r="BA682" s="6" t="s">
        <v>2198</v>
      </c>
      <c r="BB682" s="6" t="s">
        <v>2199</v>
      </c>
      <c r="BC682" s="6" t="s">
        <v>2200</v>
      </c>
      <c r="BE682" s="15" t="s">
        <v>2145</v>
      </c>
      <c r="BF682" s="6" t="s">
        <v>2201</v>
      </c>
    </row>
    <row r="683" customFormat="false" ht="71" hidden="false" customHeight="false" outlineLevel="0" collapsed="false">
      <c r="A683" s="4" t="s">
        <v>63</v>
      </c>
      <c r="B683" s="5" t="s">
        <v>2129</v>
      </c>
      <c r="C683" s="5" t="s">
        <v>2130</v>
      </c>
      <c r="D683" s="5" t="s">
        <v>2202</v>
      </c>
      <c r="E683" s="5" t="s">
        <v>2203</v>
      </c>
      <c r="F683" s="5" t="s">
        <v>2204</v>
      </c>
      <c r="H683" s="6" t="s">
        <v>63</v>
      </c>
      <c r="I683" s="6" t="s">
        <v>62</v>
      </c>
      <c r="J683" s="6" t="s">
        <v>57</v>
      </c>
      <c r="K683" s="6" t="s">
        <v>63</v>
      </c>
      <c r="L683" s="6" t="s">
        <v>64</v>
      </c>
      <c r="M683" s="5" t="s">
        <v>2205</v>
      </c>
      <c r="N683" s="5" t="s">
        <v>2206</v>
      </c>
      <c r="O683" s="6" t="s">
        <v>108</v>
      </c>
      <c r="Q683" s="6" t="s">
        <v>67</v>
      </c>
      <c r="R683" s="6" t="s">
        <v>1059</v>
      </c>
      <c r="T683" s="6" t="s">
        <v>2137</v>
      </c>
      <c r="U683" s="7" t="n">
        <v>3</v>
      </c>
      <c r="V683" s="7" t="n">
        <v>4</v>
      </c>
      <c r="W683" s="8" t="s">
        <v>2207</v>
      </c>
      <c r="X683" s="8" t="s">
        <v>2207</v>
      </c>
      <c r="Y683" s="8" t="s">
        <v>2208</v>
      </c>
      <c r="Z683" s="8" t="s">
        <v>2209</v>
      </c>
      <c r="AA683" s="7" t="n">
        <v>970</v>
      </c>
      <c r="AB683" s="7" t="n">
        <v>783</v>
      </c>
      <c r="AC683" s="7" t="n">
        <v>853</v>
      </c>
      <c r="AD683" s="7" t="n">
        <v>6</v>
      </c>
      <c r="AE683" s="7" t="n">
        <v>6</v>
      </c>
      <c r="AF683" s="7" t="n">
        <v>47</v>
      </c>
      <c r="AG683" s="7" t="n">
        <v>49</v>
      </c>
      <c r="AH683" s="7" t="n">
        <v>18</v>
      </c>
      <c r="AI683" s="7" t="n">
        <v>18</v>
      </c>
      <c r="AJ683" s="7" t="n">
        <v>10</v>
      </c>
      <c r="AK683" s="7" t="n">
        <v>10</v>
      </c>
      <c r="AL683" s="7" t="n">
        <v>24</v>
      </c>
      <c r="AM683" s="7" t="n">
        <v>26</v>
      </c>
      <c r="AN683" s="7" t="n">
        <v>3</v>
      </c>
      <c r="AO683" s="7" t="n">
        <v>3</v>
      </c>
      <c r="AP683" s="7" t="n">
        <v>5</v>
      </c>
      <c r="AQ683" s="7" t="n">
        <v>5</v>
      </c>
      <c r="AR683" s="6" t="s">
        <v>63</v>
      </c>
      <c r="AS683" s="6" t="s">
        <v>63</v>
      </c>
      <c r="AU683" s="25" t="str">
        <f aca="false">HYPERLINK("https://creighton-primo.hosted.exlibrisgroup.com/primo-explore/search?tab=default_tab&amp;search_scope=EVERYTHING&amp;vid=01CRU&amp;lang=en_US&amp;offset=0&amp;query=any,contains,991001781329702656","Catalog Record")</f>
        <v>Catalog Record</v>
      </c>
      <c r="AV683" s="25" t="str">
        <f aca="false">HYPERLINK("http://www.worldcat.org/oclc/3327869","WorldCat Record")</f>
        <v>WorldCat Record</v>
      </c>
      <c r="AW683" s="6" t="s">
        <v>2210</v>
      </c>
      <c r="AX683" s="6" t="s">
        <v>2211</v>
      </c>
      <c r="AY683" s="6" t="s">
        <v>2212</v>
      </c>
      <c r="AZ683" s="6" t="s">
        <v>2212</v>
      </c>
      <c r="BA683" s="6" t="s">
        <v>2213</v>
      </c>
      <c r="BB683" s="6" t="s">
        <v>2214</v>
      </c>
      <c r="BC683" s="6" t="s">
        <v>2215</v>
      </c>
      <c r="BE683" s="15" t="s">
        <v>2145</v>
      </c>
      <c r="BF683" s="6" t="s">
        <v>2216</v>
      </c>
    </row>
    <row r="684" customFormat="false" ht="163" hidden="false" customHeight="false" outlineLevel="0" collapsed="false">
      <c r="A684" s="4" t="s">
        <v>63</v>
      </c>
      <c r="B684" s="5" t="s">
        <v>2129</v>
      </c>
      <c r="C684" s="5" t="s">
        <v>2130</v>
      </c>
      <c r="D684" s="5" t="s">
        <v>2217</v>
      </c>
      <c r="E684" s="5" t="s">
        <v>2218</v>
      </c>
      <c r="F684" s="5" t="s">
        <v>2219</v>
      </c>
      <c r="H684" s="6" t="s">
        <v>63</v>
      </c>
      <c r="I684" s="6" t="s">
        <v>62</v>
      </c>
      <c r="J684" s="6" t="s">
        <v>63</v>
      </c>
      <c r="K684" s="6" t="s">
        <v>63</v>
      </c>
      <c r="L684" s="6" t="s">
        <v>64</v>
      </c>
      <c r="N684" s="5" t="s">
        <v>2220</v>
      </c>
      <c r="O684" s="6" t="s">
        <v>2221</v>
      </c>
      <c r="P684" s="5" t="s">
        <v>327</v>
      </c>
      <c r="Q684" s="6" t="s">
        <v>67</v>
      </c>
      <c r="R684" s="6" t="s">
        <v>272</v>
      </c>
      <c r="T684" s="6" t="s">
        <v>2137</v>
      </c>
      <c r="U684" s="7" t="n">
        <v>3</v>
      </c>
      <c r="V684" s="7" t="n">
        <v>3</v>
      </c>
      <c r="W684" s="8" t="s">
        <v>2222</v>
      </c>
      <c r="X684" s="8" t="s">
        <v>2222</v>
      </c>
      <c r="Y684" s="8" t="s">
        <v>2223</v>
      </c>
      <c r="Z684" s="8" t="s">
        <v>2223</v>
      </c>
      <c r="AA684" s="7" t="n">
        <v>347</v>
      </c>
      <c r="AB684" s="7" t="n">
        <v>296</v>
      </c>
      <c r="AC684" s="7" t="n">
        <v>303</v>
      </c>
      <c r="AD684" s="7" t="n">
        <v>2</v>
      </c>
      <c r="AE684" s="7" t="n">
        <v>2</v>
      </c>
      <c r="AF684" s="7" t="n">
        <v>18</v>
      </c>
      <c r="AG684" s="7" t="n">
        <v>18</v>
      </c>
      <c r="AH684" s="7" t="n">
        <v>6</v>
      </c>
      <c r="AI684" s="7" t="n">
        <v>6</v>
      </c>
      <c r="AJ684" s="7" t="n">
        <v>5</v>
      </c>
      <c r="AK684" s="7" t="n">
        <v>5</v>
      </c>
      <c r="AL684" s="7" t="n">
        <v>14</v>
      </c>
      <c r="AM684" s="7" t="n">
        <v>14</v>
      </c>
      <c r="AN684" s="7" t="n">
        <v>1</v>
      </c>
      <c r="AO684" s="7" t="n">
        <v>1</v>
      </c>
      <c r="AP684" s="7" t="n">
        <v>0</v>
      </c>
      <c r="AQ684" s="7" t="n">
        <v>0</v>
      </c>
      <c r="AR684" s="6" t="s">
        <v>63</v>
      </c>
      <c r="AS684" s="6" t="s">
        <v>57</v>
      </c>
      <c r="AT684" s="25" t="str">
        <f aca="false">HYPERLINK("http://catalog.hathitrust.org/Record/000912947","HathiTrust Record")</f>
        <v>HathiTrust Record</v>
      </c>
      <c r="AU684" s="25" t="str">
        <f aca="false">HYPERLINK("https://creighton-primo.hosted.exlibrisgroup.com/primo-explore/search?tab=default_tab&amp;search_scope=EVERYTHING&amp;vid=01CRU&amp;lang=en_US&amp;offset=0&amp;query=any,contains,991001180939702656","Catalog Record")</f>
        <v>Catalog Record</v>
      </c>
      <c r="AV684" s="25" t="str">
        <f aca="false">HYPERLINK("http://www.worldcat.org/oclc/17108202","WorldCat Record")</f>
        <v>WorldCat Record</v>
      </c>
      <c r="AW684" s="6" t="s">
        <v>2224</v>
      </c>
      <c r="AX684" s="6" t="s">
        <v>2225</v>
      </c>
      <c r="AY684" s="6" t="s">
        <v>2226</v>
      </c>
      <c r="AZ684" s="6" t="s">
        <v>2226</v>
      </c>
      <c r="BA684" s="6" t="s">
        <v>2227</v>
      </c>
      <c r="BB684" s="6" t="s">
        <v>2228</v>
      </c>
      <c r="BC684" s="6" t="s">
        <v>2229</v>
      </c>
      <c r="BE684" s="15" t="s">
        <v>2145</v>
      </c>
      <c r="BF684" s="6" t="s">
        <v>2230</v>
      </c>
    </row>
    <row r="685" customFormat="false" ht="59.5" hidden="false" customHeight="false" outlineLevel="0" collapsed="false">
      <c r="A685" s="4" t="s">
        <v>57</v>
      </c>
      <c r="B685" s="5" t="s">
        <v>2129</v>
      </c>
      <c r="C685" s="5" t="s">
        <v>2130</v>
      </c>
      <c r="D685" s="5" t="s">
        <v>2231</v>
      </c>
      <c r="E685" s="5" t="s">
        <v>2232</v>
      </c>
      <c r="F685" s="5" t="s">
        <v>2233</v>
      </c>
      <c r="H685" s="6" t="s">
        <v>63</v>
      </c>
      <c r="I685" s="6" t="s">
        <v>62</v>
      </c>
      <c r="J685" s="6" t="s">
        <v>57</v>
      </c>
      <c r="K685" s="6" t="s">
        <v>63</v>
      </c>
      <c r="L685" s="6" t="s">
        <v>64</v>
      </c>
      <c r="M685" s="5" t="s">
        <v>2234</v>
      </c>
      <c r="N685" s="5" t="s">
        <v>2235</v>
      </c>
      <c r="O685" s="6" t="s">
        <v>66</v>
      </c>
      <c r="Q685" s="6" t="s">
        <v>67</v>
      </c>
      <c r="R685" s="6" t="s">
        <v>384</v>
      </c>
      <c r="T685" s="6" t="s">
        <v>2137</v>
      </c>
      <c r="U685" s="7" t="n">
        <v>1</v>
      </c>
      <c r="V685" s="7" t="n">
        <v>1</v>
      </c>
      <c r="W685" s="8" t="s">
        <v>2236</v>
      </c>
      <c r="X685" s="8" t="s">
        <v>2236</v>
      </c>
      <c r="Y685" s="8" t="s">
        <v>2236</v>
      </c>
      <c r="Z685" s="8" t="s">
        <v>2236</v>
      </c>
      <c r="AA685" s="7" t="n">
        <v>490</v>
      </c>
      <c r="AB685" s="7" t="n">
        <v>325</v>
      </c>
      <c r="AC685" s="7" t="n">
        <v>326</v>
      </c>
      <c r="AD685" s="7" t="n">
        <v>3</v>
      </c>
      <c r="AE685" s="7" t="n">
        <v>3</v>
      </c>
      <c r="AF685" s="7" t="n">
        <v>20</v>
      </c>
      <c r="AG685" s="7" t="n">
        <v>20</v>
      </c>
      <c r="AH685" s="7" t="n">
        <v>4</v>
      </c>
      <c r="AI685" s="7" t="n">
        <v>4</v>
      </c>
      <c r="AJ685" s="7" t="n">
        <v>6</v>
      </c>
      <c r="AK685" s="7" t="n">
        <v>6</v>
      </c>
      <c r="AL685" s="7" t="n">
        <v>13</v>
      </c>
      <c r="AM685" s="7" t="n">
        <v>13</v>
      </c>
      <c r="AN685" s="7" t="n">
        <v>2</v>
      </c>
      <c r="AO685" s="7" t="n">
        <v>2</v>
      </c>
      <c r="AP685" s="7" t="n">
        <v>1</v>
      </c>
      <c r="AQ685" s="7" t="n">
        <v>1</v>
      </c>
      <c r="AR685" s="6" t="s">
        <v>63</v>
      </c>
      <c r="AS685" s="6" t="s">
        <v>57</v>
      </c>
      <c r="AT685" s="25" t="str">
        <f aca="false">HYPERLINK("http://catalog.hathitrust.org/Record/001290414","HathiTrust Record")</f>
        <v>HathiTrust Record</v>
      </c>
      <c r="AU685" s="25" t="str">
        <f aca="false">HYPERLINK("https://creighton-primo.hosted.exlibrisgroup.com/primo-explore/search?tab=default_tab&amp;search_scope=EVERYTHING&amp;vid=01CRU&amp;lang=en_US&amp;offset=0&amp;query=any,contains,991004400479702656","Catalog Record")</f>
        <v>Catalog Record</v>
      </c>
      <c r="AV685" s="25" t="str">
        <f aca="false">HYPERLINK("http://www.worldcat.org/oclc/18519968","WorldCat Record")</f>
        <v>WorldCat Record</v>
      </c>
      <c r="AW685" s="6" t="s">
        <v>2237</v>
      </c>
      <c r="AX685" s="6" t="s">
        <v>2238</v>
      </c>
      <c r="AY685" s="6" t="s">
        <v>2239</v>
      </c>
      <c r="AZ685" s="6" t="s">
        <v>2239</v>
      </c>
      <c r="BA685" s="6" t="s">
        <v>2240</v>
      </c>
      <c r="BB685" s="6" t="s">
        <v>2241</v>
      </c>
      <c r="BC685" s="6" t="s">
        <v>2242</v>
      </c>
      <c r="BE685" s="15" t="s">
        <v>2145</v>
      </c>
      <c r="BF685" s="6" t="s">
        <v>2243</v>
      </c>
    </row>
    <row r="686" customFormat="false" ht="117" hidden="false" customHeight="false" outlineLevel="0" collapsed="false">
      <c r="A686" s="4" t="s">
        <v>63</v>
      </c>
      <c r="B686" s="5" t="s">
        <v>2129</v>
      </c>
      <c r="C686" s="5" t="s">
        <v>2130</v>
      </c>
      <c r="D686" s="5" t="s">
        <v>2244</v>
      </c>
      <c r="E686" s="5" t="s">
        <v>2245</v>
      </c>
      <c r="F686" s="5" t="s">
        <v>2246</v>
      </c>
      <c r="H686" s="6" t="s">
        <v>63</v>
      </c>
      <c r="I686" s="6" t="s">
        <v>62</v>
      </c>
      <c r="J686" s="6" t="s">
        <v>63</v>
      </c>
      <c r="K686" s="6" t="s">
        <v>63</v>
      </c>
      <c r="L686" s="6" t="s">
        <v>64</v>
      </c>
      <c r="M686" s="5" t="s">
        <v>2247</v>
      </c>
      <c r="N686" s="5" t="s">
        <v>2248</v>
      </c>
      <c r="O686" s="6" t="s">
        <v>2249</v>
      </c>
      <c r="Q686" s="6" t="s">
        <v>67</v>
      </c>
      <c r="R686" s="6" t="s">
        <v>1059</v>
      </c>
      <c r="T686" s="6" t="s">
        <v>2137</v>
      </c>
      <c r="U686" s="7" t="n">
        <v>1</v>
      </c>
      <c r="V686" s="7" t="n">
        <v>1</v>
      </c>
      <c r="W686" s="8" t="s">
        <v>2250</v>
      </c>
      <c r="X686" s="8" t="s">
        <v>2250</v>
      </c>
      <c r="Y686" s="8" t="s">
        <v>2250</v>
      </c>
      <c r="Z686" s="8" t="s">
        <v>2250</v>
      </c>
      <c r="AA686" s="7" t="n">
        <v>359</v>
      </c>
      <c r="AB686" s="7" t="n">
        <v>273</v>
      </c>
      <c r="AC686" s="7" t="n">
        <v>278</v>
      </c>
      <c r="AD686" s="7" t="n">
        <v>3</v>
      </c>
      <c r="AE686" s="7" t="n">
        <v>3</v>
      </c>
      <c r="AF686" s="7" t="n">
        <v>23</v>
      </c>
      <c r="AG686" s="7" t="n">
        <v>23</v>
      </c>
      <c r="AH686" s="7" t="n">
        <v>8</v>
      </c>
      <c r="AI686" s="7" t="n">
        <v>8</v>
      </c>
      <c r="AJ686" s="7" t="n">
        <v>7</v>
      </c>
      <c r="AK686" s="7" t="n">
        <v>7</v>
      </c>
      <c r="AL686" s="7" t="n">
        <v>14</v>
      </c>
      <c r="AM686" s="7" t="n">
        <v>14</v>
      </c>
      <c r="AN686" s="7" t="n">
        <v>2</v>
      </c>
      <c r="AO686" s="7" t="n">
        <v>2</v>
      </c>
      <c r="AP686" s="7" t="n">
        <v>0</v>
      </c>
      <c r="AQ686" s="7" t="n">
        <v>0</v>
      </c>
      <c r="AR686" s="6" t="s">
        <v>63</v>
      </c>
      <c r="AS686" s="6" t="s">
        <v>63</v>
      </c>
      <c r="AU686" s="25" t="str">
        <f aca="false">HYPERLINK("https://creighton-primo.hosted.exlibrisgroup.com/primo-explore/search?tab=default_tab&amp;search_scope=EVERYTHING&amp;vid=01CRU&amp;lang=en_US&amp;offset=0&amp;query=any,contains,991004432829702656","Catalog Record")</f>
        <v>Catalog Record</v>
      </c>
      <c r="AV686" s="25" t="str">
        <f aca="false">HYPERLINK("http://www.worldcat.org/oclc/24468520","WorldCat Record")</f>
        <v>WorldCat Record</v>
      </c>
      <c r="AW686" s="6" t="s">
        <v>2251</v>
      </c>
      <c r="AX686" s="6" t="s">
        <v>2252</v>
      </c>
      <c r="AY686" s="6" t="s">
        <v>2253</v>
      </c>
      <c r="AZ686" s="6" t="s">
        <v>2253</v>
      </c>
      <c r="BA686" s="6" t="s">
        <v>2254</v>
      </c>
      <c r="BB686" s="6" t="s">
        <v>2255</v>
      </c>
      <c r="BC686" s="6" t="s">
        <v>2256</v>
      </c>
      <c r="BE686" s="15" t="s">
        <v>2145</v>
      </c>
      <c r="BF686" s="6" t="s">
        <v>2257</v>
      </c>
    </row>
    <row r="687" customFormat="false" ht="105.5" hidden="false" customHeight="false" outlineLevel="0" collapsed="false">
      <c r="A687" s="4" t="s">
        <v>63</v>
      </c>
      <c r="B687" s="5" t="s">
        <v>2129</v>
      </c>
      <c r="C687" s="5" t="s">
        <v>2130</v>
      </c>
      <c r="D687" s="5" t="s">
        <v>2258</v>
      </c>
      <c r="E687" s="5" t="s">
        <v>2259</v>
      </c>
      <c r="F687" s="5" t="s">
        <v>2260</v>
      </c>
      <c r="H687" s="6" t="s">
        <v>63</v>
      </c>
      <c r="I687" s="6" t="s">
        <v>62</v>
      </c>
      <c r="J687" s="6" t="s">
        <v>63</v>
      </c>
      <c r="K687" s="6" t="s">
        <v>63</v>
      </c>
      <c r="L687" s="6" t="s">
        <v>64</v>
      </c>
      <c r="N687" s="5" t="s">
        <v>2261</v>
      </c>
      <c r="O687" s="6" t="s">
        <v>2262</v>
      </c>
      <c r="Q687" s="6" t="s">
        <v>67</v>
      </c>
      <c r="R687" s="6" t="s">
        <v>68</v>
      </c>
      <c r="T687" s="6" t="s">
        <v>2137</v>
      </c>
      <c r="U687" s="7" t="n">
        <v>2</v>
      </c>
      <c r="V687" s="7" t="n">
        <v>2</v>
      </c>
      <c r="W687" s="8" t="s">
        <v>2263</v>
      </c>
      <c r="X687" s="8" t="s">
        <v>2263</v>
      </c>
      <c r="Y687" s="8" t="s">
        <v>2154</v>
      </c>
      <c r="Z687" s="8" t="s">
        <v>2154</v>
      </c>
      <c r="AA687" s="7" t="n">
        <v>180</v>
      </c>
      <c r="AB687" s="7" t="n">
        <v>124</v>
      </c>
      <c r="AC687" s="7" t="n">
        <v>129</v>
      </c>
      <c r="AD687" s="7" t="n">
        <v>1</v>
      </c>
      <c r="AE687" s="7" t="n">
        <v>1</v>
      </c>
      <c r="AF687" s="7" t="n">
        <v>7</v>
      </c>
      <c r="AG687" s="7" t="n">
        <v>7</v>
      </c>
      <c r="AH687" s="7" t="n">
        <v>2</v>
      </c>
      <c r="AI687" s="7" t="n">
        <v>2</v>
      </c>
      <c r="AJ687" s="7" t="n">
        <v>2</v>
      </c>
      <c r="AK687" s="7" t="n">
        <v>2</v>
      </c>
      <c r="AL687" s="7" t="n">
        <v>5</v>
      </c>
      <c r="AM687" s="7" t="n">
        <v>5</v>
      </c>
      <c r="AN687" s="7" t="n">
        <v>0</v>
      </c>
      <c r="AO687" s="7" t="n">
        <v>0</v>
      </c>
      <c r="AP687" s="7" t="n">
        <v>0</v>
      </c>
      <c r="AQ687" s="7" t="n">
        <v>0</v>
      </c>
      <c r="AR687" s="6" t="s">
        <v>63</v>
      </c>
      <c r="AS687" s="6" t="s">
        <v>63</v>
      </c>
      <c r="AU687" s="25" t="str">
        <f aca="false">HYPERLINK("https://creighton-primo.hosted.exlibrisgroup.com/primo-explore/search?tab=default_tab&amp;search_scope=EVERYTHING&amp;vid=01CRU&amp;lang=en_US&amp;offset=0&amp;query=any,contains,991000674469702656","Catalog Record")</f>
        <v>Catalog Record</v>
      </c>
      <c r="AV687" s="25" t="str">
        <f aca="false">HYPERLINK("http://www.worldcat.org/oclc/12343421","WorldCat Record")</f>
        <v>WorldCat Record</v>
      </c>
      <c r="AW687" s="6" t="s">
        <v>2264</v>
      </c>
      <c r="AX687" s="6" t="s">
        <v>2265</v>
      </c>
      <c r="AY687" s="6" t="s">
        <v>2266</v>
      </c>
      <c r="AZ687" s="6" t="s">
        <v>2266</v>
      </c>
      <c r="BA687" s="6" t="s">
        <v>2267</v>
      </c>
      <c r="BB687" s="6" t="s">
        <v>2268</v>
      </c>
      <c r="BC687" s="6" t="s">
        <v>2269</v>
      </c>
      <c r="BE687" s="15" t="s">
        <v>2145</v>
      </c>
      <c r="BF687" s="6" t="s">
        <v>2270</v>
      </c>
    </row>
    <row r="688" customFormat="false" ht="128.5" hidden="false" customHeight="false" outlineLevel="0" collapsed="false">
      <c r="A688" s="4" t="s">
        <v>63</v>
      </c>
      <c r="B688" s="5" t="s">
        <v>2129</v>
      </c>
      <c r="C688" s="5" t="s">
        <v>2130</v>
      </c>
      <c r="D688" s="5" t="s">
        <v>2271</v>
      </c>
      <c r="E688" s="5" t="s">
        <v>2272</v>
      </c>
      <c r="F688" s="5" t="s">
        <v>2273</v>
      </c>
      <c r="H688" s="6" t="s">
        <v>63</v>
      </c>
      <c r="I688" s="6" t="s">
        <v>62</v>
      </c>
      <c r="J688" s="6" t="s">
        <v>63</v>
      </c>
      <c r="K688" s="6" t="s">
        <v>63</v>
      </c>
      <c r="L688" s="6" t="s">
        <v>64</v>
      </c>
      <c r="M688" s="5" t="s">
        <v>2274</v>
      </c>
      <c r="N688" s="5" t="s">
        <v>2275</v>
      </c>
      <c r="O688" s="6" t="s">
        <v>2221</v>
      </c>
      <c r="Q688" s="6" t="s">
        <v>67</v>
      </c>
      <c r="R688" s="6" t="s">
        <v>272</v>
      </c>
      <c r="T688" s="6" t="s">
        <v>2137</v>
      </c>
      <c r="U688" s="7" t="n">
        <v>3</v>
      </c>
      <c r="V688" s="7" t="n">
        <v>3</v>
      </c>
      <c r="W688" s="8" t="s">
        <v>2263</v>
      </c>
      <c r="X688" s="8" t="s">
        <v>2263</v>
      </c>
      <c r="Y688" s="8" t="s">
        <v>2154</v>
      </c>
      <c r="Z688" s="8" t="s">
        <v>2154</v>
      </c>
      <c r="AA688" s="7" t="n">
        <v>310</v>
      </c>
      <c r="AB688" s="7" t="n">
        <v>272</v>
      </c>
      <c r="AC688" s="7" t="n">
        <v>361</v>
      </c>
      <c r="AD688" s="7" t="n">
        <v>4</v>
      </c>
      <c r="AE688" s="7" t="n">
        <v>5</v>
      </c>
      <c r="AF688" s="7" t="n">
        <v>15</v>
      </c>
      <c r="AG688" s="7" t="n">
        <v>19</v>
      </c>
      <c r="AH688" s="7" t="n">
        <v>6</v>
      </c>
      <c r="AI688" s="7" t="n">
        <v>8</v>
      </c>
      <c r="AJ688" s="7" t="n">
        <v>0</v>
      </c>
      <c r="AK688" s="7" t="n">
        <v>1</v>
      </c>
      <c r="AL688" s="7" t="n">
        <v>9</v>
      </c>
      <c r="AM688" s="7" t="n">
        <v>11</v>
      </c>
      <c r="AN688" s="7" t="n">
        <v>3</v>
      </c>
      <c r="AO688" s="7" t="n">
        <v>4</v>
      </c>
      <c r="AP688" s="7" t="n">
        <v>0</v>
      </c>
      <c r="AQ688" s="7" t="n">
        <v>0</v>
      </c>
      <c r="AR688" s="6" t="s">
        <v>63</v>
      </c>
      <c r="AS688" s="6" t="s">
        <v>57</v>
      </c>
      <c r="AT688" s="25" t="str">
        <f aca="false">HYPERLINK("http://catalog.hathitrust.org/Record/000880528","HathiTrust Record")</f>
        <v>HathiTrust Record</v>
      </c>
      <c r="AU688" s="25" t="str">
        <f aca="false">HYPERLINK("https://creighton-primo.hosted.exlibrisgroup.com/primo-explore/search?tab=default_tab&amp;search_scope=EVERYTHING&amp;vid=01CRU&amp;lang=en_US&amp;offset=0&amp;query=any,contains,991001169829702656","Catalog Record")</f>
        <v>Catalog Record</v>
      </c>
      <c r="AV688" s="25" t="str">
        <f aca="false">HYPERLINK("http://www.worldcat.org/oclc/16950440","WorldCat Record")</f>
        <v>WorldCat Record</v>
      </c>
      <c r="AW688" s="6" t="s">
        <v>2276</v>
      </c>
      <c r="AX688" s="6" t="s">
        <v>2277</v>
      </c>
      <c r="AY688" s="6" t="s">
        <v>2278</v>
      </c>
      <c r="AZ688" s="6" t="s">
        <v>2278</v>
      </c>
      <c r="BA688" s="6" t="s">
        <v>2279</v>
      </c>
      <c r="BB688" s="6" t="s">
        <v>2280</v>
      </c>
      <c r="BC688" s="6" t="s">
        <v>2281</v>
      </c>
      <c r="BE688" s="15" t="s">
        <v>2145</v>
      </c>
      <c r="BF688" s="6" t="s">
        <v>2282</v>
      </c>
    </row>
    <row r="689" customFormat="false" ht="197.5" hidden="false" customHeight="false" outlineLevel="0" collapsed="false">
      <c r="A689" s="4" t="s">
        <v>63</v>
      </c>
      <c r="B689" s="5" t="s">
        <v>2129</v>
      </c>
      <c r="C689" s="5" t="s">
        <v>2130</v>
      </c>
      <c r="D689" s="5" t="s">
        <v>2283</v>
      </c>
      <c r="E689" s="5" t="s">
        <v>2284</v>
      </c>
      <c r="F689" s="5" t="s">
        <v>2285</v>
      </c>
      <c r="H689" s="6" t="s">
        <v>63</v>
      </c>
      <c r="I689" s="6" t="s">
        <v>62</v>
      </c>
      <c r="J689" s="6" t="s">
        <v>63</v>
      </c>
      <c r="K689" s="6" t="s">
        <v>63</v>
      </c>
      <c r="L689" s="6" t="s">
        <v>64</v>
      </c>
      <c r="M689" s="5" t="s">
        <v>2286</v>
      </c>
      <c r="N689" s="5" t="s">
        <v>2287</v>
      </c>
      <c r="O689" s="6" t="s">
        <v>208</v>
      </c>
      <c r="Q689" s="6" t="s">
        <v>67</v>
      </c>
      <c r="R689" s="6" t="s">
        <v>2288</v>
      </c>
      <c r="T689" s="6" t="s">
        <v>2137</v>
      </c>
      <c r="U689" s="7" t="n">
        <v>6</v>
      </c>
      <c r="V689" s="7" t="n">
        <v>6</v>
      </c>
      <c r="W689" s="8" t="s">
        <v>2289</v>
      </c>
      <c r="X689" s="8" t="s">
        <v>2289</v>
      </c>
      <c r="Y689" s="8" t="s">
        <v>2154</v>
      </c>
      <c r="Z689" s="8" t="s">
        <v>2154</v>
      </c>
      <c r="AA689" s="7" t="n">
        <v>254</v>
      </c>
      <c r="AB689" s="7" t="n">
        <v>216</v>
      </c>
      <c r="AC689" s="7" t="n">
        <v>261</v>
      </c>
      <c r="AD689" s="7" t="n">
        <v>2</v>
      </c>
      <c r="AE689" s="7" t="n">
        <v>3</v>
      </c>
      <c r="AF689" s="7" t="n">
        <v>20</v>
      </c>
      <c r="AG689" s="7" t="n">
        <v>22</v>
      </c>
      <c r="AH689" s="7" t="n">
        <v>7</v>
      </c>
      <c r="AI689" s="7" t="n">
        <v>7</v>
      </c>
      <c r="AJ689" s="7" t="n">
        <v>7</v>
      </c>
      <c r="AK689" s="7" t="n">
        <v>7</v>
      </c>
      <c r="AL689" s="7" t="n">
        <v>13</v>
      </c>
      <c r="AM689" s="7" t="n">
        <v>14</v>
      </c>
      <c r="AN689" s="7" t="n">
        <v>1</v>
      </c>
      <c r="AO689" s="7" t="n">
        <v>2</v>
      </c>
      <c r="AP689" s="7" t="n">
        <v>0</v>
      </c>
      <c r="AQ689" s="7" t="n">
        <v>0</v>
      </c>
      <c r="AR689" s="6" t="s">
        <v>63</v>
      </c>
      <c r="AS689" s="6" t="s">
        <v>63</v>
      </c>
      <c r="AU689" s="25" t="str">
        <f aca="false">HYPERLINK("https://creighton-primo.hosted.exlibrisgroup.com/primo-explore/search?tab=default_tab&amp;search_scope=EVERYTHING&amp;vid=01CRU&amp;lang=en_US&amp;offset=0&amp;query=any,contains,991001080319702656","Catalog Record")</f>
        <v>Catalog Record</v>
      </c>
      <c r="AV689" s="25" t="str">
        <f aca="false">HYPERLINK("http://www.worldcat.org/oclc/16085597","WorldCat Record")</f>
        <v>WorldCat Record</v>
      </c>
      <c r="AW689" s="6" t="s">
        <v>2290</v>
      </c>
      <c r="AX689" s="6" t="s">
        <v>2291</v>
      </c>
      <c r="AY689" s="6" t="s">
        <v>2292</v>
      </c>
      <c r="AZ689" s="6" t="s">
        <v>2292</v>
      </c>
      <c r="BA689" s="6" t="s">
        <v>2293</v>
      </c>
      <c r="BB689" s="6" t="s">
        <v>2294</v>
      </c>
      <c r="BC689" s="6" t="s">
        <v>2295</v>
      </c>
      <c r="BE689" s="15" t="s">
        <v>2145</v>
      </c>
      <c r="BF689" s="6" t="s">
        <v>2296</v>
      </c>
    </row>
    <row r="690" customFormat="false" ht="82.5" hidden="false" customHeight="false" outlineLevel="0" collapsed="false">
      <c r="A690" s="4" t="s">
        <v>63</v>
      </c>
      <c r="B690" s="5" t="s">
        <v>2129</v>
      </c>
      <c r="C690" s="5" t="s">
        <v>2130</v>
      </c>
      <c r="D690" s="5" t="s">
        <v>2297</v>
      </c>
      <c r="E690" s="5" t="s">
        <v>2298</v>
      </c>
      <c r="F690" s="5" t="s">
        <v>2299</v>
      </c>
      <c r="H690" s="6" t="s">
        <v>63</v>
      </c>
      <c r="I690" s="6" t="s">
        <v>62</v>
      </c>
      <c r="J690" s="6" t="s">
        <v>63</v>
      </c>
      <c r="K690" s="6" t="s">
        <v>63</v>
      </c>
      <c r="L690" s="6" t="s">
        <v>64</v>
      </c>
      <c r="M690" s="5" t="s">
        <v>2300</v>
      </c>
      <c r="N690" s="5" t="s">
        <v>2301</v>
      </c>
      <c r="O690" s="6" t="s">
        <v>221</v>
      </c>
      <c r="Q690" s="6" t="s">
        <v>67</v>
      </c>
      <c r="R690" s="6" t="s">
        <v>384</v>
      </c>
      <c r="S690" s="5" t="s">
        <v>2302</v>
      </c>
      <c r="T690" s="6" t="s">
        <v>2137</v>
      </c>
      <c r="U690" s="7" t="n">
        <v>4</v>
      </c>
      <c r="V690" s="7" t="n">
        <v>4</v>
      </c>
      <c r="W690" s="8" t="s">
        <v>2303</v>
      </c>
      <c r="X690" s="8" t="s">
        <v>2303</v>
      </c>
      <c r="Y690" s="8" t="s">
        <v>2154</v>
      </c>
      <c r="Z690" s="8" t="s">
        <v>2154</v>
      </c>
      <c r="AA690" s="7" t="n">
        <v>441</v>
      </c>
      <c r="AB690" s="7" t="n">
        <v>289</v>
      </c>
      <c r="AC690" s="7" t="n">
        <v>313</v>
      </c>
      <c r="AD690" s="7" t="n">
        <v>3</v>
      </c>
      <c r="AE690" s="7" t="n">
        <v>3</v>
      </c>
      <c r="AF690" s="7" t="n">
        <v>12</v>
      </c>
      <c r="AG690" s="7" t="n">
        <v>12</v>
      </c>
      <c r="AH690" s="7" t="n">
        <v>2</v>
      </c>
      <c r="AI690" s="7" t="n">
        <v>2</v>
      </c>
      <c r="AJ690" s="7" t="n">
        <v>4</v>
      </c>
      <c r="AK690" s="7" t="n">
        <v>4</v>
      </c>
      <c r="AL690" s="7" t="n">
        <v>7</v>
      </c>
      <c r="AM690" s="7" t="n">
        <v>7</v>
      </c>
      <c r="AN690" s="7" t="n">
        <v>2</v>
      </c>
      <c r="AO690" s="7" t="n">
        <v>2</v>
      </c>
      <c r="AP690" s="7" t="n">
        <v>0</v>
      </c>
      <c r="AQ690" s="7" t="n">
        <v>0</v>
      </c>
      <c r="AR690" s="6" t="s">
        <v>63</v>
      </c>
      <c r="AS690" s="6" t="s">
        <v>57</v>
      </c>
      <c r="AT690" s="25" t="str">
        <f aca="false">HYPERLINK("http://catalog.hathitrust.org/Record/000109249","HathiTrust Record")</f>
        <v>HathiTrust Record</v>
      </c>
      <c r="AU690" s="25" t="str">
        <f aca="false">HYPERLINK("https://creighton-primo.hosted.exlibrisgroup.com/primo-explore/search?tab=default_tab&amp;search_scope=EVERYTHING&amp;vid=01CRU&amp;lang=en_US&amp;offset=0&amp;query=any,contains,991000055649702656","Catalog Record")</f>
        <v>Catalog Record</v>
      </c>
      <c r="AV690" s="25" t="str">
        <f aca="false">HYPERLINK("http://www.worldcat.org/oclc/8708905","WorldCat Record")</f>
        <v>WorldCat Record</v>
      </c>
      <c r="AW690" s="6" t="s">
        <v>2304</v>
      </c>
      <c r="AX690" s="6" t="s">
        <v>2305</v>
      </c>
      <c r="AY690" s="6" t="s">
        <v>2306</v>
      </c>
      <c r="AZ690" s="6" t="s">
        <v>2306</v>
      </c>
      <c r="BA690" s="6" t="s">
        <v>2307</v>
      </c>
      <c r="BB690" s="6" t="s">
        <v>2308</v>
      </c>
      <c r="BC690" s="6" t="s">
        <v>2309</v>
      </c>
      <c r="BE690" s="15" t="s">
        <v>2145</v>
      </c>
      <c r="BF690" s="6" t="s">
        <v>2310</v>
      </c>
    </row>
    <row r="691" customFormat="false" ht="185.25" hidden="false" customHeight="false" outlineLevel="0" collapsed="false">
      <c r="A691" s="4" t="s">
        <v>63</v>
      </c>
      <c r="B691" s="5" t="s">
        <v>2129</v>
      </c>
      <c r="C691" s="5" t="s">
        <v>2130</v>
      </c>
      <c r="D691" s="5" t="s">
        <v>2311</v>
      </c>
      <c r="E691" s="5" t="s">
        <v>2312</v>
      </c>
      <c r="F691" s="5" t="s">
        <v>2313</v>
      </c>
      <c r="H691" s="6" t="s">
        <v>63</v>
      </c>
      <c r="I691" s="6" t="s">
        <v>62</v>
      </c>
      <c r="J691" s="6" t="s">
        <v>63</v>
      </c>
      <c r="K691" s="6" t="s">
        <v>63</v>
      </c>
      <c r="L691" s="6" t="s">
        <v>64</v>
      </c>
      <c r="N691" s="5" t="s">
        <v>2314</v>
      </c>
      <c r="O691" s="6" t="s">
        <v>2315</v>
      </c>
      <c r="Q691" s="6" t="s">
        <v>67</v>
      </c>
      <c r="R691" s="6" t="s">
        <v>1108</v>
      </c>
      <c r="T691" s="6" t="s">
        <v>2137</v>
      </c>
      <c r="U691" s="7" t="n">
        <v>3</v>
      </c>
      <c r="V691" s="7" t="n">
        <v>3</v>
      </c>
      <c r="W691" s="8" t="s">
        <v>2316</v>
      </c>
      <c r="X691" s="8" t="s">
        <v>2316</v>
      </c>
      <c r="Y691" s="8" t="s">
        <v>2154</v>
      </c>
      <c r="Z691" s="8" t="s">
        <v>2154</v>
      </c>
      <c r="AA691" s="7" t="n">
        <v>445</v>
      </c>
      <c r="AB691" s="7" t="n">
        <v>379</v>
      </c>
      <c r="AC691" s="7" t="n">
        <v>389</v>
      </c>
      <c r="AD691" s="7" t="n">
        <v>2</v>
      </c>
      <c r="AE691" s="7" t="n">
        <v>2</v>
      </c>
      <c r="AF691" s="7" t="n">
        <v>18</v>
      </c>
      <c r="AG691" s="7" t="n">
        <v>18</v>
      </c>
      <c r="AH691" s="7" t="n">
        <v>3</v>
      </c>
      <c r="AI691" s="7" t="n">
        <v>3</v>
      </c>
      <c r="AJ691" s="7" t="n">
        <v>5</v>
      </c>
      <c r="AK691" s="7" t="n">
        <v>5</v>
      </c>
      <c r="AL691" s="7" t="n">
        <v>12</v>
      </c>
      <c r="AM691" s="7" t="n">
        <v>12</v>
      </c>
      <c r="AN691" s="7" t="n">
        <v>1</v>
      </c>
      <c r="AO691" s="7" t="n">
        <v>1</v>
      </c>
      <c r="AP691" s="7" t="n">
        <v>2</v>
      </c>
      <c r="AQ691" s="7" t="n">
        <v>2</v>
      </c>
      <c r="AR691" s="6" t="s">
        <v>63</v>
      </c>
      <c r="AS691" s="6" t="s">
        <v>63</v>
      </c>
      <c r="AU691" s="25" t="str">
        <f aca="false">HYPERLINK("https://creighton-primo.hosted.exlibrisgroup.com/primo-explore/search?tab=default_tab&amp;search_scope=EVERYTHING&amp;vid=01CRU&amp;lang=en_US&amp;offset=0&amp;query=any,contains,991000459399702656","Catalog Record")</f>
        <v>Catalog Record</v>
      </c>
      <c r="AV691" s="25" t="str">
        <f aca="false">HYPERLINK("http://www.worldcat.org/oclc/10924389","WorldCat Record")</f>
        <v>WorldCat Record</v>
      </c>
      <c r="AW691" s="6" t="s">
        <v>2317</v>
      </c>
      <c r="AX691" s="6" t="s">
        <v>2318</v>
      </c>
      <c r="AY691" s="6" t="s">
        <v>2319</v>
      </c>
      <c r="AZ691" s="6" t="s">
        <v>2319</v>
      </c>
      <c r="BA691" s="6" t="s">
        <v>2320</v>
      </c>
      <c r="BB691" s="6" t="s">
        <v>2321</v>
      </c>
      <c r="BC691" s="6" t="s">
        <v>2322</v>
      </c>
      <c r="BE691" s="15" t="s">
        <v>2145</v>
      </c>
      <c r="BF691" s="6" t="s">
        <v>2323</v>
      </c>
    </row>
    <row r="692" customFormat="false" ht="82.5" hidden="false" customHeight="false" outlineLevel="0" collapsed="false">
      <c r="A692" s="4" t="s">
        <v>57</v>
      </c>
      <c r="B692" s="5" t="s">
        <v>2129</v>
      </c>
      <c r="C692" s="5" t="s">
        <v>2130</v>
      </c>
      <c r="D692" s="5" t="s">
        <v>2324</v>
      </c>
      <c r="E692" s="5" t="s">
        <v>2325</v>
      </c>
      <c r="F692" s="5" t="s">
        <v>2326</v>
      </c>
      <c r="H692" s="6" t="s">
        <v>63</v>
      </c>
      <c r="I692" s="6" t="s">
        <v>62</v>
      </c>
      <c r="J692" s="6" t="s">
        <v>57</v>
      </c>
      <c r="K692" s="6" t="s">
        <v>63</v>
      </c>
      <c r="L692" s="6" t="s">
        <v>64</v>
      </c>
      <c r="M692" s="5" t="s">
        <v>2327</v>
      </c>
      <c r="N692" s="5" t="s">
        <v>2328</v>
      </c>
      <c r="O692" s="6" t="s">
        <v>2329</v>
      </c>
      <c r="P692" s="5" t="s">
        <v>2330</v>
      </c>
      <c r="Q692" s="6" t="s">
        <v>67</v>
      </c>
      <c r="R692" s="6" t="s">
        <v>409</v>
      </c>
      <c r="T692" s="6" t="s">
        <v>2137</v>
      </c>
      <c r="U692" s="7" t="n">
        <v>3</v>
      </c>
      <c r="V692" s="7" t="n">
        <v>3</v>
      </c>
      <c r="W692" s="8" t="s">
        <v>2331</v>
      </c>
      <c r="X692" s="8" t="s">
        <v>2331</v>
      </c>
      <c r="Y692" s="8" t="s">
        <v>2332</v>
      </c>
      <c r="Z692" s="8" t="s">
        <v>2332</v>
      </c>
      <c r="AA692" s="7" t="n">
        <v>9</v>
      </c>
      <c r="AB692" s="7" t="n">
        <v>9</v>
      </c>
      <c r="AC692" s="7" t="n">
        <v>9</v>
      </c>
      <c r="AD692" s="7" t="n">
        <v>2</v>
      </c>
      <c r="AE692" s="7" t="n">
        <v>2</v>
      </c>
      <c r="AF692" s="7" t="n">
        <v>5</v>
      </c>
      <c r="AG692" s="7" t="n">
        <v>5</v>
      </c>
      <c r="AH692" s="7" t="n">
        <v>0</v>
      </c>
      <c r="AI692" s="7" t="n">
        <v>0</v>
      </c>
      <c r="AJ692" s="7" t="n">
        <v>2</v>
      </c>
      <c r="AK692" s="7" t="n">
        <v>2</v>
      </c>
      <c r="AL692" s="7" t="n">
        <v>5</v>
      </c>
      <c r="AM692" s="7" t="n">
        <v>5</v>
      </c>
      <c r="AN692" s="7" t="n">
        <v>0</v>
      </c>
      <c r="AO692" s="7" t="n">
        <v>0</v>
      </c>
      <c r="AP692" s="7" t="n">
        <v>0</v>
      </c>
      <c r="AQ692" s="7" t="n">
        <v>0</v>
      </c>
      <c r="AR692" s="6" t="s">
        <v>63</v>
      </c>
      <c r="AS692" s="6" t="s">
        <v>63</v>
      </c>
      <c r="AU692" s="25" t="str">
        <f aca="false">HYPERLINK("https://creighton-primo.hosted.exlibrisgroup.com/primo-explore/search?tab=default_tab&amp;search_scope=EVERYTHING&amp;vid=01CRU&amp;lang=en_US&amp;offset=0&amp;query=any,contains,991001628839702656","Catalog Record")</f>
        <v>Catalog Record</v>
      </c>
      <c r="AV692" s="25" t="str">
        <f aca="false">HYPERLINK("http://www.worldcat.org/oclc/11174584","WorldCat Record")</f>
        <v>WorldCat Record</v>
      </c>
      <c r="AW692" s="6" t="s">
        <v>2333</v>
      </c>
      <c r="AX692" s="6" t="s">
        <v>2334</v>
      </c>
      <c r="AY692" s="6" t="s">
        <v>2335</v>
      </c>
      <c r="AZ692" s="6" t="s">
        <v>2335</v>
      </c>
      <c r="BA692" s="6" t="s">
        <v>2336</v>
      </c>
      <c r="BC692" s="6" t="s">
        <v>2337</v>
      </c>
      <c r="BE692" s="15" t="s">
        <v>2145</v>
      </c>
      <c r="BF692" s="6" t="s">
        <v>2338</v>
      </c>
    </row>
    <row r="693" customFormat="false" ht="163" hidden="false" customHeight="false" outlineLevel="0" collapsed="false">
      <c r="A693" s="4" t="s">
        <v>63</v>
      </c>
      <c r="B693" s="5" t="s">
        <v>2129</v>
      </c>
      <c r="C693" s="5" t="s">
        <v>2130</v>
      </c>
      <c r="D693" s="5" t="s">
        <v>2339</v>
      </c>
      <c r="E693" s="5" t="s">
        <v>2340</v>
      </c>
      <c r="F693" s="5" t="s">
        <v>2341</v>
      </c>
      <c r="H693" s="6" t="s">
        <v>63</v>
      </c>
      <c r="I693" s="6" t="s">
        <v>62</v>
      </c>
      <c r="J693" s="6" t="s">
        <v>63</v>
      </c>
      <c r="K693" s="6" t="s">
        <v>63</v>
      </c>
      <c r="L693" s="6" t="s">
        <v>64</v>
      </c>
      <c r="N693" s="5" t="s">
        <v>2342</v>
      </c>
      <c r="O693" s="6" t="s">
        <v>2343</v>
      </c>
      <c r="Q693" s="6" t="s">
        <v>67</v>
      </c>
      <c r="R693" s="6" t="s">
        <v>68</v>
      </c>
      <c r="S693" s="5" t="s">
        <v>2344</v>
      </c>
      <c r="T693" s="6" t="s">
        <v>2137</v>
      </c>
      <c r="U693" s="7" t="n">
        <v>2</v>
      </c>
      <c r="V693" s="7" t="n">
        <v>2</v>
      </c>
      <c r="W693" s="8" t="s">
        <v>2193</v>
      </c>
      <c r="X693" s="8" t="s">
        <v>2193</v>
      </c>
      <c r="Y693" s="8" t="s">
        <v>2154</v>
      </c>
      <c r="Z693" s="8" t="s">
        <v>2154</v>
      </c>
      <c r="AA693" s="7" t="n">
        <v>583</v>
      </c>
      <c r="AB693" s="7" t="n">
        <v>477</v>
      </c>
      <c r="AC693" s="7" t="n">
        <v>490</v>
      </c>
      <c r="AD693" s="7" t="n">
        <v>4</v>
      </c>
      <c r="AE693" s="7" t="n">
        <v>4</v>
      </c>
      <c r="AF693" s="7" t="n">
        <v>31</v>
      </c>
      <c r="AG693" s="7" t="n">
        <v>32</v>
      </c>
      <c r="AH693" s="7" t="n">
        <v>11</v>
      </c>
      <c r="AI693" s="7" t="n">
        <v>12</v>
      </c>
      <c r="AJ693" s="7" t="n">
        <v>6</v>
      </c>
      <c r="AK693" s="7" t="n">
        <v>6</v>
      </c>
      <c r="AL693" s="7" t="n">
        <v>18</v>
      </c>
      <c r="AM693" s="7" t="n">
        <v>19</v>
      </c>
      <c r="AN693" s="7" t="n">
        <v>3</v>
      </c>
      <c r="AO693" s="7" t="n">
        <v>3</v>
      </c>
      <c r="AP693" s="7" t="n">
        <v>2</v>
      </c>
      <c r="AQ693" s="7" t="n">
        <v>2</v>
      </c>
      <c r="AR693" s="6" t="s">
        <v>63</v>
      </c>
      <c r="AS693" s="6" t="s">
        <v>57</v>
      </c>
      <c r="AT693" s="25" t="str">
        <f aca="false">HYPERLINK("http://catalog.hathitrust.org/Record/000221520","HathiTrust Record")</f>
        <v>HathiTrust Record</v>
      </c>
      <c r="AU693" s="25" t="str">
        <f aca="false">HYPERLINK("https://creighton-primo.hosted.exlibrisgroup.com/primo-explore/search?tab=default_tab&amp;search_scope=EVERYTHING&amp;vid=01CRU&amp;lang=en_US&amp;offset=0&amp;query=any,contains,991005210209702656","Catalog Record")</f>
        <v>Catalog Record</v>
      </c>
      <c r="AV693" s="25" t="str">
        <f aca="false">HYPERLINK("http://www.worldcat.org/oclc/8161388","WorldCat Record")</f>
        <v>WorldCat Record</v>
      </c>
      <c r="AW693" s="6" t="s">
        <v>2345</v>
      </c>
      <c r="AX693" s="6" t="s">
        <v>2346</v>
      </c>
      <c r="AY693" s="6" t="s">
        <v>2347</v>
      </c>
      <c r="AZ693" s="6" t="s">
        <v>2347</v>
      </c>
      <c r="BA693" s="6" t="s">
        <v>2348</v>
      </c>
      <c r="BB693" s="6" t="s">
        <v>2349</v>
      </c>
      <c r="BC693" s="6" t="s">
        <v>2350</v>
      </c>
      <c r="BE693" s="15" t="s">
        <v>2145</v>
      </c>
      <c r="BF693" s="6" t="s">
        <v>2351</v>
      </c>
    </row>
    <row r="694" customFormat="false" ht="128.5" hidden="false" customHeight="false" outlineLevel="0" collapsed="false">
      <c r="A694" s="4" t="s">
        <v>57</v>
      </c>
      <c r="B694" s="5" t="s">
        <v>2129</v>
      </c>
      <c r="C694" s="5" t="s">
        <v>2130</v>
      </c>
      <c r="D694" s="5" t="s">
        <v>2352</v>
      </c>
      <c r="E694" s="5" t="s">
        <v>2353</v>
      </c>
      <c r="F694" s="5" t="s">
        <v>2354</v>
      </c>
      <c r="H694" s="6" t="s">
        <v>63</v>
      </c>
      <c r="I694" s="6" t="s">
        <v>62</v>
      </c>
      <c r="J694" s="6" t="s">
        <v>63</v>
      </c>
      <c r="K694" s="6" t="s">
        <v>63</v>
      </c>
      <c r="L694" s="6" t="s">
        <v>64</v>
      </c>
      <c r="M694" s="5" t="s">
        <v>2355</v>
      </c>
      <c r="N694" s="5" t="s">
        <v>2356</v>
      </c>
      <c r="O694" s="6" t="s">
        <v>2343</v>
      </c>
      <c r="Q694" s="6" t="s">
        <v>67</v>
      </c>
      <c r="R694" s="6" t="s">
        <v>68</v>
      </c>
      <c r="T694" s="6" t="s">
        <v>2137</v>
      </c>
      <c r="U694" s="7" t="n">
        <v>1</v>
      </c>
      <c r="V694" s="7" t="n">
        <v>1</v>
      </c>
      <c r="W694" s="8" t="s">
        <v>2357</v>
      </c>
      <c r="X694" s="8" t="s">
        <v>2357</v>
      </c>
      <c r="Y694" s="8" t="s">
        <v>2154</v>
      </c>
      <c r="Z694" s="8" t="s">
        <v>2154</v>
      </c>
      <c r="AA694" s="7" t="n">
        <v>513</v>
      </c>
      <c r="AB694" s="7" t="n">
        <v>409</v>
      </c>
      <c r="AC694" s="7" t="n">
        <v>416</v>
      </c>
      <c r="AD694" s="7" t="n">
        <v>3</v>
      </c>
      <c r="AE694" s="7" t="n">
        <v>3</v>
      </c>
      <c r="AF694" s="7" t="n">
        <v>20</v>
      </c>
      <c r="AG694" s="7" t="n">
        <v>20</v>
      </c>
      <c r="AH694" s="7" t="n">
        <v>7</v>
      </c>
      <c r="AI694" s="7" t="n">
        <v>7</v>
      </c>
      <c r="AJ694" s="7" t="n">
        <v>6</v>
      </c>
      <c r="AK694" s="7" t="n">
        <v>6</v>
      </c>
      <c r="AL694" s="7" t="n">
        <v>13</v>
      </c>
      <c r="AM694" s="7" t="n">
        <v>13</v>
      </c>
      <c r="AN694" s="7" t="n">
        <v>1</v>
      </c>
      <c r="AO694" s="7" t="n">
        <v>1</v>
      </c>
      <c r="AP694" s="7" t="n">
        <v>0</v>
      </c>
      <c r="AQ694" s="7" t="n">
        <v>0</v>
      </c>
      <c r="AR694" s="6" t="s">
        <v>63</v>
      </c>
      <c r="AS694" s="6" t="s">
        <v>57</v>
      </c>
      <c r="AT694" s="25" t="str">
        <f aca="false">HYPERLINK("http://catalog.hathitrust.org/Record/000139267","HathiTrust Record")</f>
        <v>HathiTrust Record</v>
      </c>
      <c r="AU694" s="25" t="str">
        <f aca="false">HYPERLINK("https://creighton-primo.hosted.exlibrisgroup.com/primo-explore/search?tab=default_tab&amp;search_scope=EVERYTHING&amp;vid=01CRU&amp;lang=en_US&amp;offset=0&amp;query=any,contains,991005079999702656","Catalog Record")</f>
        <v>Catalog Record</v>
      </c>
      <c r="AV694" s="25" t="str">
        <f aca="false">HYPERLINK("http://www.worldcat.org/oclc/7170636","WorldCat Record")</f>
        <v>WorldCat Record</v>
      </c>
      <c r="AW694" s="6" t="s">
        <v>2358</v>
      </c>
      <c r="AX694" s="6" t="s">
        <v>2359</v>
      </c>
      <c r="AY694" s="6" t="s">
        <v>2360</v>
      </c>
      <c r="AZ694" s="6" t="s">
        <v>2360</v>
      </c>
      <c r="BA694" s="6" t="s">
        <v>2361</v>
      </c>
      <c r="BB694" s="6" t="s">
        <v>2362</v>
      </c>
      <c r="BC694" s="6" t="s">
        <v>2363</v>
      </c>
      <c r="BE694" s="15" t="s">
        <v>2145</v>
      </c>
      <c r="BF694" s="6" t="s">
        <v>2364</v>
      </c>
    </row>
    <row r="695" customFormat="false" ht="71" hidden="false" customHeight="false" outlineLevel="0" collapsed="false">
      <c r="A695" s="4" t="s">
        <v>57</v>
      </c>
      <c r="B695" s="5" t="s">
        <v>2129</v>
      </c>
      <c r="C695" s="5" t="s">
        <v>2130</v>
      </c>
      <c r="D695" s="5" t="s">
        <v>2365</v>
      </c>
      <c r="E695" s="5" t="s">
        <v>2366</v>
      </c>
      <c r="F695" s="5" t="s">
        <v>2367</v>
      </c>
      <c r="H695" s="6" t="s">
        <v>63</v>
      </c>
      <c r="I695" s="6" t="s">
        <v>62</v>
      </c>
      <c r="J695" s="6" t="s">
        <v>63</v>
      </c>
      <c r="K695" s="6" t="s">
        <v>63</v>
      </c>
      <c r="L695" s="6" t="s">
        <v>64</v>
      </c>
      <c r="M695" s="5" t="s">
        <v>2234</v>
      </c>
      <c r="N695" s="5" t="s">
        <v>2368</v>
      </c>
      <c r="O695" s="6" t="s">
        <v>2369</v>
      </c>
      <c r="Q695" s="6" t="s">
        <v>67</v>
      </c>
      <c r="R695" s="6" t="s">
        <v>384</v>
      </c>
      <c r="T695" s="6" t="s">
        <v>2137</v>
      </c>
      <c r="U695" s="7" t="n">
        <v>4</v>
      </c>
      <c r="V695" s="7" t="n">
        <v>4</v>
      </c>
      <c r="W695" s="8" t="s">
        <v>2370</v>
      </c>
      <c r="X695" s="8" t="s">
        <v>2370</v>
      </c>
      <c r="Y695" s="8" t="s">
        <v>2139</v>
      </c>
      <c r="Z695" s="8" t="s">
        <v>2139</v>
      </c>
      <c r="AA695" s="7" t="n">
        <v>278</v>
      </c>
      <c r="AB695" s="7" t="n">
        <v>160</v>
      </c>
      <c r="AC695" s="7" t="n">
        <v>1135</v>
      </c>
      <c r="AD695" s="7" t="n">
        <v>2</v>
      </c>
      <c r="AE695" s="7" t="n">
        <v>8</v>
      </c>
      <c r="AF695" s="7" t="n">
        <v>8</v>
      </c>
      <c r="AG695" s="7" t="n">
        <v>55</v>
      </c>
      <c r="AH695" s="7" t="n">
        <v>1</v>
      </c>
      <c r="AI695" s="7" t="n">
        <v>21</v>
      </c>
      <c r="AJ695" s="7" t="n">
        <v>3</v>
      </c>
      <c r="AK695" s="7" t="n">
        <v>9</v>
      </c>
      <c r="AL695" s="7" t="n">
        <v>4</v>
      </c>
      <c r="AM695" s="7" t="n">
        <v>27</v>
      </c>
      <c r="AN695" s="7" t="n">
        <v>1</v>
      </c>
      <c r="AO695" s="7" t="n">
        <v>5</v>
      </c>
      <c r="AP695" s="7" t="n">
        <v>1</v>
      </c>
      <c r="AQ695" s="7" t="n">
        <v>6</v>
      </c>
      <c r="AR695" s="6" t="s">
        <v>63</v>
      </c>
      <c r="AS695" s="6" t="s">
        <v>57</v>
      </c>
      <c r="AT695" s="25" t="str">
        <f aca="false">HYPERLINK("http://catalog.hathitrust.org/Record/009906706","HathiTrust Record")</f>
        <v>HathiTrust Record</v>
      </c>
      <c r="AU695" s="25" t="str">
        <f aca="false">HYPERLINK("https://creighton-primo.hosted.exlibrisgroup.com/primo-explore/search?tab=default_tab&amp;search_scope=EVERYTHING&amp;vid=01CRU&amp;lang=en_US&amp;offset=0&amp;query=any,contains,991002156779702656","Catalog Record")</f>
        <v>Catalog Record</v>
      </c>
      <c r="AV695" s="25" t="str">
        <f aca="false">HYPERLINK("http://www.worldcat.org/oclc/272994","WorldCat Record")</f>
        <v>WorldCat Record</v>
      </c>
      <c r="AW695" s="6" t="s">
        <v>2371</v>
      </c>
      <c r="AX695" s="6" t="s">
        <v>2372</v>
      </c>
      <c r="AY695" s="6" t="s">
        <v>2373</v>
      </c>
      <c r="AZ695" s="6" t="s">
        <v>2373</v>
      </c>
      <c r="BA695" s="6" t="s">
        <v>2374</v>
      </c>
      <c r="BC695" s="6" t="s">
        <v>2375</v>
      </c>
      <c r="BE695" s="15" t="s">
        <v>2145</v>
      </c>
      <c r="BF695" s="6" t="s">
        <v>2376</v>
      </c>
    </row>
    <row r="696" customFormat="false" ht="163" hidden="false" customHeight="false" outlineLevel="0" collapsed="false">
      <c r="A696" s="4" t="s">
        <v>57</v>
      </c>
      <c r="B696" s="5" t="s">
        <v>2129</v>
      </c>
      <c r="C696" s="5" t="s">
        <v>2130</v>
      </c>
      <c r="D696" s="5" t="s">
        <v>2377</v>
      </c>
      <c r="E696" s="5" t="s">
        <v>2378</v>
      </c>
      <c r="F696" s="5" t="s">
        <v>2379</v>
      </c>
      <c r="H696" s="6" t="s">
        <v>63</v>
      </c>
      <c r="I696" s="6" t="s">
        <v>62</v>
      </c>
      <c r="J696" s="6" t="s">
        <v>57</v>
      </c>
      <c r="K696" s="6" t="s">
        <v>63</v>
      </c>
      <c r="L696" s="6" t="s">
        <v>64</v>
      </c>
      <c r="M696" s="5" t="s">
        <v>2380</v>
      </c>
      <c r="N696" s="5" t="s">
        <v>2381</v>
      </c>
      <c r="O696" s="6" t="s">
        <v>2262</v>
      </c>
      <c r="Q696" s="6" t="s">
        <v>67</v>
      </c>
      <c r="R696" s="6" t="s">
        <v>222</v>
      </c>
      <c r="T696" s="6" t="s">
        <v>2137</v>
      </c>
      <c r="U696" s="7" t="n">
        <v>4</v>
      </c>
      <c r="V696" s="7" t="n">
        <v>5</v>
      </c>
      <c r="W696" s="8" t="s">
        <v>2382</v>
      </c>
      <c r="X696" s="8" t="s">
        <v>2382</v>
      </c>
      <c r="Y696" s="8" t="s">
        <v>2154</v>
      </c>
      <c r="Z696" s="8" t="s">
        <v>2383</v>
      </c>
      <c r="AA696" s="7" t="n">
        <v>853</v>
      </c>
      <c r="AB696" s="7" t="n">
        <v>699</v>
      </c>
      <c r="AC696" s="7" t="n">
        <v>706</v>
      </c>
      <c r="AD696" s="7" t="n">
        <v>9</v>
      </c>
      <c r="AE696" s="7" t="n">
        <v>9</v>
      </c>
      <c r="AF696" s="7" t="n">
        <v>47</v>
      </c>
      <c r="AG696" s="7" t="n">
        <v>47</v>
      </c>
      <c r="AH696" s="7" t="n">
        <v>13</v>
      </c>
      <c r="AI696" s="7" t="n">
        <v>13</v>
      </c>
      <c r="AJ696" s="7" t="n">
        <v>9</v>
      </c>
      <c r="AK696" s="7" t="n">
        <v>9</v>
      </c>
      <c r="AL696" s="7" t="n">
        <v>19</v>
      </c>
      <c r="AM696" s="7" t="n">
        <v>19</v>
      </c>
      <c r="AN696" s="7" t="n">
        <v>6</v>
      </c>
      <c r="AO696" s="7" t="n">
        <v>6</v>
      </c>
      <c r="AP696" s="7" t="n">
        <v>11</v>
      </c>
      <c r="AQ696" s="7" t="n">
        <v>11</v>
      </c>
      <c r="AR696" s="6" t="s">
        <v>63</v>
      </c>
      <c r="AS696" s="6" t="s">
        <v>57</v>
      </c>
      <c r="AT696" s="25" t="str">
        <f aca="false">HYPERLINK("http://catalog.hathitrust.org/Record/000482206","HathiTrust Record")</f>
        <v>HathiTrust Record</v>
      </c>
      <c r="AU696" s="25" t="str">
        <f aca="false">HYPERLINK("https://creighton-primo.hosted.exlibrisgroup.com/primo-explore/search?tab=default_tab&amp;search_scope=EVERYTHING&amp;vid=01CRU&amp;lang=en_US&amp;offset=0&amp;query=any,contains,991001632209702656","Catalog Record")</f>
        <v>Catalog Record</v>
      </c>
      <c r="AV696" s="25" t="str">
        <f aca="false">HYPERLINK("http://www.worldcat.org/oclc/13010739","WorldCat Record")</f>
        <v>WorldCat Record</v>
      </c>
      <c r="AW696" s="6" t="s">
        <v>2384</v>
      </c>
      <c r="AX696" s="6" t="s">
        <v>2385</v>
      </c>
      <c r="AY696" s="6" t="s">
        <v>2386</v>
      </c>
      <c r="AZ696" s="6" t="s">
        <v>2386</v>
      </c>
      <c r="BA696" s="6" t="s">
        <v>2387</v>
      </c>
      <c r="BB696" s="6" t="s">
        <v>2388</v>
      </c>
      <c r="BC696" s="6" t="s">
        <v>2389</v>
      </c>
      <c r="BE696" s="15" t="s">
        <v>2145</v>
      </c>
      <c r="BF696" s="6" t="s">
        <v>2390</v>
      </c>
    </row>
    <row r="697" customFormat="false" ht="105.5" hidden="false" customHeight="false" outlineLevel="0" collapsed="false">
      <c r="A697" s="4" t="s">
        <v>63</v>
      </c>
      <c r="B697" s="5" t="s">
        <v>2129</v>
      </c>
      <c r="C697" s="5" t="s">
        <v>2130</v>
      </c>
      <c r="D697" s="5" t="s">
        <v>2391</v>
      </c>
      <c r="E697" s="5" t="s">
        <v>2392</v>
      </c>
      <c r="F697" s="5" t="s">
        <v>2393</v>
      </c>
      <c r="H697" s="6" t="s">
        <v>63</v>
      </c>
      <c r="I697" s="6" t="s">
        <v>62</v>
      </c>
      <c r="J697" s="6" t="s">
        <v>63</v>
      </c>
      <c r="K697" s="6" t="s">
        <v>63</v>
      </c>
      <c r="L697" s="6" t="s">
        <v>64</v>
      </c>
      <c r="M697" s="5" t="s">
        <v>2394</v>
      </c>
      <c r="N697" s="5" t="s">
        <v>2395</v>
      </c>
      <c r="O697" s="6" t="s">
        <v>2396</v>
      </c>
      <c r="Q697" s="6" t="s">
        <v>67</v>
      </c>
      <c r="R697" s="6" t="s">
        <v>123</v>
      </c>
      <c r="S697" s="5" t="s">
        <v>2397</v>
      </c>
      <c r="T697" s="6" t="s">
        <v>2137</v>
      </c>
      <c r="U697" s="7" t="n">
        <v>1</v>
      </c>
      <c r="V697" s="7" t="n">
        <v>1</v>
      </c>
      <c r="W697" s="8" t="s">
        <v>2398</v>
      </c>
      <c r="X697" s="8" t="s">
        <v>2398</v>
      </c>
      <c r="Y697" s="8" t="s">
        <v>2399</v>
      </c>
      <c r="Z697" s="8" t="s">
        <v>2399</v>
      </c>
      <c r="AA697" s="7" t="n">
        <v>112</v>
      </c>
      <c r="AB697" s="7" t="n">
        <v>65</v>
      </c>
      <c r="AC697" s="7" t="n">
        <v>217</v>
      </c>
      <c r="AD697" s="7" t="n">
        <v>1</v>
      </c>
      <c r="AE697" s="7" t="n">
        <v>3</v>
      </c>
      <c r="AF697" s="7" t="n">
        <v>18</v>
      </c>
      <c r="AG697" s="7" t="n">
        <v>27</v>
      </c>
      <c r="AH697" s="7" t="n">
        <v>5</v>
      </c>
      <c r="AI697" s="7" t="n">
        <v>9</v>
      </c>
      <c r="AJ697" s="7" t="n">
        <v>5</v>
      </c>
      <c r="AK697" s="7" t="n">
        <v>6</v>
      </c>
      <c r="AL697" s="7" t="n">
        <v>16</v>
      </c>
      <c r="AM697" s="7" t="n">
        <v>18</v>
      </c>
      <c r="AN697" s="7" t="n">
        <v>0</v>
      </c>
      <c r="AO697" s="7" t="n">
        <v>2</v>
      </c>
      <c r="AP697" s="7" t="n">
        <v>0</v>
      </c>
      <c r="AQ697" s="7" t="n">
        <v>1</v>
      </c>
      <c r="AR697" s="6" t="s">
        <v>63</v>
      </c>
      <c r="AS697" s="6" t="s">
        <v>57</v>
      </c>
      <c r="AT697" s="25" t="str">
        <f aca="false">HYPERLINK("http://catalog.hathitrust.org/Record/009368511","HathiTrust Record")</f>
        <v>HathiTrust Record</v>
      </c>
      <c r="AU697" s="25" t="str">
        <f aca="false">HYPERLINK("https://creighton-primo.hosted.exlibrisgroup.com/primo-explore/search?tab=default_tab&amp;search_scope=EVERYTHING&amp;vid=01CRU&amp;lang=en_US&amp;offset=0&amp;query=any,contains,991003898189702656","Catalog Record")</f>
        <v>Catalog Record</v>
      </c>
      <c r="AV697" s="25" t="str">
        <f aca="false">HYPERLINK("http://www.worldcat.org/oclc/1817525","WorldCat Record")</f>
        <v>WorldCat Record</v>
      </c>
      <c r="AW697" s="6" t="s">
        <v>2400</v>
      </c>
      <c r="AX697" s="6" t="s">
        <v>2401</v>
      </c>
      <c r="AY697" s="6" t="s">
        <v>2402</v>
      </c>
      <c r="AZ697" s="6" t="s">
        <v>2402</v>
      </c>
      <c r="BA697" s="6" t="s">
        <v>2403</v>
      </c>
      <c r="BC697" s="6" t="s">
        <v>2404</v>
      </c>
      <c r="BE697" s="15" t="s">
        <v>2145</v>
      </c>
      <c r="BF697" s="6" t="s">
        <v>2405</v>
      </c>
    </row>
    <row r="698" customFormat="false" ht="117" hidden="false" customHeight="false" outlineLevel="0" collapsed="false">
      <c r="A698" s="4" t="s">
        <v>63</v>
      </c>
      <c r="B698" s="5" t="s">
        <v>2129</v>
      </c>
      <c r="C698" s="5" t="s">
        <v>2130</v>
      </c>
      <c r="D698" s="5" t="s">
        <v>2406</v>
      </c>
      <c r="E698" s="5" t="s">
        <v>2407</v>
      </c>
      <c r="F698" s="5" t="s">
        <v>2408</v>
      </c>
      <c r="H698" s="6" t="s">
        <v>63</v>
      </c>
      <c r="I698" s="6" t="s">
        <v>62</v>
      </c>
      <c r="J698" s="6" t="s">
        <v>63</v>
      </c>
      <c r="K698" s="6" t="s">
        <v>63</v>
      </c>
      <c r="L698" s="6" t="s">
        <v>64</v>
      </c>
      <c r="M698" s="5" t="s">
        <v>2409</v>
      </c>
      <c r="N698" s="5" t="s">
        <v>2410</v>
      </c>
      <c r="O698" s="6" t="s">
        <v>2411</v>
      </c>
      <c r="Q698" s="6" t="s">
        <v>67</v>
      </c>
      <c r="R698" s="6" t="s">
        <v>384</v>
      </c>
      <c r="T698" s="6" t="s">
        <v>2137</v>
      </c>
      <c r="U698" s="7" t="n">
        <v>5</v>
      </c>
      <c r="V698" s="7" t="n">
        <v>5</v>
      </c>
      <c r="W698" s="8" t="s">
        <v>2412</v>
      </c>
      <c r="X698" s="8" t="s">
        <v>2412</v>
      </c>
      <c r="Y698" s="8" t="s">
        <v>2413</v>
      </c>
      <c r="Z698" s="8" t="s">
        <v>2413</v>
      </c>
      <c r="AA698" s="7" t="n">
        <v>419</v>
      </c>
      <c r="AB698" s="7" t="n">
        <v>308</v>
      </c>
      <c r="AC698" s="7" t="n">
        <v>314</v>
      </c>
      <c r="AD698" s="7" t="n">
        <v>2</v>
      </c>
      <c r="AE698" s="7" t="n">
        <v>2</v>
      </c>
      <c r="AF698" s="7" t="n">
        <v>19</v>
      </c>
      <c r="AG698" s="7" t="n">
        <v>19</v>
      </c>
      <c r="AH698" s="7" t="n">
        <v>2</v>
      </c>
      <c r="AI698" s="7" t="n">
        <v>2</v>
      </c>
      <c r="AJ698" s="7" t="n">
        <v>6</v>
      </c>
      <c r="AK698" s="7" t="n">
        <v>6</v>
      </c>
      <c r="AL698" s="7" t="n">
        <v>13</v>
      </c>
      <c r="AM698" s="7" t="n">
        <v>13</v>
      </c>
      <c r="AN698" s="7" t="n">
        <v>1</v>
      </c>
      <c r="AO698" s="7" t="n">
        <v>1</v>
      </c>
      <c r="AP698" s="7" t="n">
        <v>1</v>
      </c>
      <c r="AQ698" s="7" t="n">
        <v>1</v>
      </c>
      <c r="AR698" s="6" t="s">
        <v>63</v>
      </c>
      <c r="AS698" s="6" t="s">
        <v>63</v>
      </c>
      <c r="AU698" s="25" t="str">
        <f aca="false">HYPERLINK("https://creighton-primo.hosted.exlibrisgroup.com/primo-explore/search?tab=default_tab&amp;search_scope=EVERYTHING&amp;vid=01CRU&amp;lang=en_US&amp;offset=0&amp;query=any,contains,991005409539702656","Catalog Record")</f>
        <v>Catalog Record</v>
      </c>
      <c r="AV698" s="25" t="str">
        <f aca="false">HYPERLINK("http://www.worldcat.org/oclc/18191534","WorldCat Record")</f>
        <v>WorldCat Record</v>
      </c>
      <c r="AW698" s="6" t="s">
        <v>2414</v>
      </c>
      <c r="AX698" s="6" t="s">
        <v>2415</v>
      </c>
      <c r="AY698" s="6" t="s">
        <v>2416</v>
      </c>
      <c r="AZ698" s="6" t="s">
        <v>2416</v>
      </c>
      <c r="BA698" s="6" t="s">
        <v>2417</v>
      </c>
      <c r="BB698" s="6" t="s">
        <v>2418</v>
      </c>
      <c r="BC698" s="6" t="s">
        <v>2419</v>
      </c>
      <c r="BE698" s="15" t="s">
        <v>2145</v>
      </c>
      <c r="BF698" s="6" t="s">
        <v>2420</v>
      </c>
    </row>
    <row r="699" customFormat="false" ht="128.5" hidden="false" customHeight="false" outlineLevel="0" collapsed="false">
      <c r="A699" s="4" t="s">
        <v>63</v>
      </c>
      <c r="B699" s="5" t="s">
        <v>2129</v>
      </c>
      <c r="C699" s="5" t="s">
        <v>2130</v>
      </c>
      <c r="D699" s="5" t="s">
        <v>2421</v>
      </c>
      <c r="E699" s="5" t="s">
        <v>2422</v>
      </c>
      <c r="F699" s="5" t="s">
        <v>2423</v>
      </c>
      <c r="H699" s="6" t="s">
        <v>63</v>
      </c>
      <c r="I699" s="6" t="s">
        <v>62</v>
      </c>
      <c r="J699" s="6" t="s">
        <v>63</v>
      </c>
      <c r="K699" s="6" t="s">
        <v>63</v>
      </c>
      <c r="L699" s="6" t="s">
        <v>64</v>
      </c>
      <c r="M699" s="5" t="s">
        <v>2424</v>
      </c>
      <c r="N699" s="5" t="s">
        <v>2425</v>
      </c>
      <c r="O699" s="6" t="s">
        <v>2426</v>
      </c>
      <c r="Q699" s="6" t="s">
        <v>67</v>
      </c>
      <c r="R699" s="6" t="s">
        <v>802</v>
      </c>
      <c r="S699" s="5" t="s">
        <v>2427</v>
      </c>
      <c r="T699" s="6" t="s">
        <v>2137</v>
      </c>
      <c r="U699" s="7" t="n">
        <v>5</v>
      </c>
      <c r="V699" s="7" t="n">
        <v>5</v>
      </c>
      <c r="W699" s="8" t="s">
        <v>2428</v>
      </c>
      <c r="X699" s="8" t="s">
        <v>2428</v>
      </c>
      <c r="Y699" s="8" t="s">
        <v>2139</v>
      </c>
      <c r="Z699" s="8" t="s">
        <v>2139</v>
      </c>
      <c r="AA699" s="7" t="n">
        <v>356</v>
      </c>
      <c r="AB699" s="7" t="n">
        <v>243</v>
      </c>
      <c r="AC699" s="7" t="n">
        <v>251</v>
      </c>
      <c r="AD699" s="7" t="n">
        <v>2</v>
      </c>
      <c r="AE699" s="7" t="n">
        <v>2</v>
      </c>
      <c r="AF699" s="7" t="n">
        <v>13</v>
      </c>
      <c r="AG699" s="7" t="n">
        <v>14</v>
      </c>
      <c r="AH699" s="7" t="n">
        <v>1</v>
      </c>
      <c r="AI699" s="7" t="n">
        <v>2</v>
      </c>
      <c r="AJ699" s="7" t="n">
        <v>5</v>
      </c>
      <c r="AK699" s="7" t="n">
        <v>5</v>
      </c>
      <c r="AL699" s="7" t="n">
        <v>10</v>
      </c>
      <c r="AM699" s="7" t="n">
        <v>11</v>
      </c>
      <c r="AN699" s="7" t="n">
        <v>1</v>
      </c>
      <c r="AO699" s="7" t="n">
        <v>1</v>
      </c>
      <c r="AP699" s="7" t="n">
        <v>0</v>
      </c>
      <c r="AQ699" s="7" t="n">
        <v>0</v>
      </c>
      <c r="AR699" s="6" t="s">
        <v>63</v>
      </c>
      <c r="AS699" s="6" t="s">
        <v>57</v>
      </c>
      <c r="AT699" s="25" t="str">
        <f aca="false">HYPERLINK("http://catalog.hathitrust.org/Record/001390027","HathiTrust Record")</f>
        <v>HathiTrust Record</v>
      </c>
      <c r="AU699" s="25" t="str">
        <f aca="false">HYPERLINK("https://creighton-primo.hosted.exlibrisgroup.com/primo-explore/search?tab=default_tab&amp;search_scope=EVERYTHING&amp;vid=01CRU&amp;lang=en_US&amp;offset=0&amp;query=any,contains,991003704169702656","Catalog Record")</f>
        <v>Catalog Record</v>
      </c>
      <c r="AV699" s="25" t="str">
        <f aca="false">HYPERLINK("http://www.worldcat.org/oclc/1340630","WorldCat Record")</f>
        <v>WorldCat Record</v>
      </c>
      <c r="AW699" s="6" t="s">
        <v>2429</v>
      </c>
      <c r="AX699" s="6" t="s">
        <v>2430</v>
      </c>
      <c r="AY699" s="6" t="s">
        <v>2431</v>
      </c>
      <c r="AZ699" s="6" t="s">
        <v>2431</v>
      </c>
      <c r="BA699" s="6" t="s">
        <v>2432</v>
      </c>
      <c r="BB699" s="6" t="s">
        <v>2433</v>
      </c>
      <c r="BC699" s="6" t="s">
        <v>2434</v>
      </c>
      <c r="BE699" s="15" t="s">
        <v>2145</v>
      </c>
      <c r="BF699" s="6" t="s">
        <v>2435</v>
      </c>
    </row>
    <row r="700" customFormat="false" ht="151.5" hidden="false" customHeight="false" outlineLevel="0" collapsed="false">
      <c r="A700" s="4" t="s">
        <v>63</v>
      </c>
      <c r="B700" s="5" t="s">
        <v>2129</v>
      </c>
      <c r="C700" s="5" t="s">
        <v>2130</v>
      </c>
      <c r="D700" s="5" t="s">
        <v>2436</v>
      </c>
      <c r="E700" s="5" t="s">
        <v>2437</v>
      </c>
      <c r="F700" s="5" t="s">
        <v>2438</v>
      </c>
      <c r="H700" s="6" t="s">
        <v>63</v>
      </c>
      <c r="I700" s="6" t="s">
        <v>62</v>
      </c>
      <c r="J700" s="6" t="s">
        <v>63</v>
      </c>
      <c r="K700" s="6" t="s">
        <v>63</v>
      </c>
      <c r="L700" s="6" t="s">
        <v>64</v>
      </c>
      <c r="M700" s="5" t="s">
        <v>2439</v>
      </c>
      <c r="N700" s="5" t="s">
        <v>2440</v>
      </c>
      <c r="O700" s="6" t="s">
        <v>2411</v>
      </c>
      <c r="Q700" s="6" t="s">
        <v>67</v>
      </c>
      <c r="R700" s="6" t="s">
        <v>68</v>
      </c>
      <c r="T700" s="6" t="s">
        <v>2137</v>
      </c>
      <c r="U700" s="7" t="n">
        <v>1</v>
      </c>
      <c r="V700" s="7" t="n">
        <v>1</v>
      </c>
      <c r="W700" s="8" t="s">
        <v>2441</v>
      </c>
      <c r="X700" s="8" t="s">
        <v>2441</v>
      </c>
      <c r="Y700" s="8" t="s">
        <v>2442</v>
      </c>
      <c r="Z700" s="8" t="s">
        <v>2442</v>
      </c>
      <c r="AA700" s="7" t="n">
        <v>187</v>
      </c>
      <c r="AB700" s="7" t="n">
        <v>151</v>
      </c>
      <c r="AC700" s="7" t="n">
        <v>158</v>
      </c>
      <c r="AD700" s="7" t="n">
        <v>2</v>
      </c>
      <c r="AE700" s="7" t="n">
        <v>2</v>
      </c>
      <c r="AF700" s="7" t="n">
        <v>17</v>
      </c>
      <c r="AG700" s="7" t="n">
        <v>17</v>
      </c>
      <c r="AH700" s="7" t="n">
        <v>3</v>
      </c>
      <c r="AI700" s="7" t="n">
        <v>3</v>
      </c>
      <c r="AJ700" s="7" t="n">
        <v>6</v>
      </c>
      <c r="AK700" s="7" t="n">
        <v>6</v>
      </c>
      <c r="AL700" s="7" t="n">
        <v>13</v>
      </c>
      <c r="AM700" s="7" t="n">
        <v>13</v>
      </c>
      <c r="AN700" s="7" t="n">
        <v>1</v>
      </c>
      <c r="AO700" s="7" t="n">
        <v>1</v>
      </c>
      <c r="AP700" s="7" t="n">
        <v>0</v>
      </c>
      <c r="AQ700" s="7" t="n">
        <v>0</v>
      </c>
      <c r="AR700" s="6" t="s">
        <v>63</v>
      </c>
      <c r="AS700" s="6" t="s">
        <v>57</v>
      </c>
      <c r="AT700" s="25" t="str">
        <f aca="false">HYPERLINK("http://catalog.hathitrust.org/Record/001831530","HathiTrust Record")</f>
        <v>HathiTrust Record</v>
      </c>
      <c r="AU700" s="25" t="str">
        <f aca="false">HYPERLINK("https://creighton-primo.hosted.exlibrisgroup.com/primo-explore/search?tab=default_tab&amp;search_scope=EVERYTHING&amp;vid=01CRU&amp;lang=en_US&amp;offset=0&amp;query=any,contains,991001493689702656","Catalog Record")</f>
        <v>Catalog Record</v>
      </c>
      <c r="AV700" s="25" t="str">
        <f aca="false">HYPERLINK("http://www.worldcat.org/oclc/19740719","WorldCat Record")</f>
        <v>WorldCat Record</v>
      </c>
      <c r="AW700" s="6" t="s">
        <v>2443</v>
      </c>
      <c r="AX700" s="6" t="s">
        <v>2444</v>
      </c>
      <c r="AY700" s="6" t="s">
        <v>2445</v>
      </c>
      <c r="AZ700" s="6" t="s">
        <v>2445</v>
      </c>
      <c r="BA700" s="6" t="s">
        <v>2446</v>
      </c>
      <c r="BB700" s="6" t="s">
        <v>2447</v>
      </c>
      <c r="BC700" s="6" t="s">
        <v>2448</v>
      </c>
      <c r="BE700" s="15" t="s">
        <v>2145</v>
      </c>
      <c r="BF700" s="6" t="s">
        <v>2449</v>
      </c>
    </row>
    <row r="701" customFormat="false" ht="71" hidden="false" customHeight="false" outlineLevel="0" collapsed="false">
      <c r="A701" s="4" t="s">
        <v>57</v>
      </c>
      <c r="B701" s="5" t="s">
        <v>2129</v>
      </c>
      <c r="C701" s="5" t="s">
        <v>2130</v>
      </c>
      <c r="D701" s="5" t="s">
        <v>2450</v>
      </c>
      <c r="E701" s="5" t="s">
        <v>2451</v>
      </c>
      <c r="F701" s="5" t="s">
        <v>2452</v>
      </c>
      <c r="H701" s="6" t="s">
        <v>63</v>
      </c>
      <c r="I701" s="6" t="s">
        <v>62</v>
      </c>
      <c r="J701" s="6" t="s">
        <v>63</v>
      </c>
      <c r="K701" s="6" t="s">
        <v>63</v>
      </c>
      <c r="L701" s="6" t="s">
        <v>64</v>
      </c>
      <c r="M701" s="5" t="s">
        <v>2453</v>
      </c>
      <c r="N701" s="5" t="s">
        <v>2454</v>
      </c>
      <c r="O701" s="6" t="s">
        <v>167</v>
      </c>
      <c r="Q701" s="6" t="s">
        <v>67</v>
      </c>
      <c r="R701" s="6" t="s">
        <v>68</v>
      </c>
      <c r="T701" s="6" t="s">
        <v>2137</v>
      </c>
      <c r="U701" s="7" t="n">
        <v>3</v>
      </c>
      <c r="V701" s="7" t="n">
        <v>3</v>
      </c>
      <c r="W701" s="8" t="s">
        <v>2455</v>
      </c>
      <c r="X701" s="8" t="s">
        <v>2455</v>
      </c>
      <c r="Y701" s="8" t="s">
        <v>2139</v>
      </c>
      <c r="Z701" s="8" t="s">
        <v>2139</v>
      </c>
      <c r="AA701" s="7" t="n">
        <v>415</v>
      </c>
      <c r="AB701" s="7" t="n">
        <v>382</v>
      </c>
      <c r="AC701" s="7" t="n">
        <v>435</v>
      </c>
      <c r="AD701" s="7" t="n">
        <v>2</v>
      </c>
      <c r="AE701" s="7" t="n">
        <v>2</v>
      </c>
      <c r="AF701" s="7" t="n">
        <v>18</v>
      </c>
      <c r="AG701" s="7" t="n">
        <v>19</v>
      </c>
      <c r="AH701" s="7" t="n">
        <v>7</v>
      </c>
      <c r="AI701" s="7" t="n">
        <v>8</v>
      </c>
      <c r="AJ701" s="7" t="n">
        <v>4</v>
      </c>
      <c r="AK701" s="7" t="n">
        <v>4</v>
      </c>
      <c r="AL701" s="7" t="n">
        <v>12</v>
      </c>
      <c r="AM701" s="7" t="n">
        <v>13</v>
      </c>
      <c r="AN701" s="7" t="n">
        <v>1</v>
      </c>
      <c r="AO701" s="7" t="n">
        <v>1</v>
      </c>
      <c r="AP701" s="7" t="n">
        <v>0</v>
      </c>
      <c r="AQ701" s="7" t="n">
        <v>0</v>
      </c>
      <c r="AR701" s="6" t="s">
        <v>63</v>
      </c>
      <c r="AS701" s="6" t="s">
        <v>63</v>
      </c>
      <c r="AU701" s="25" t="str">
        <f aca="false">HYPERLINK("https://creighton-primo.hosted.exlibrisgroup.com/primo-explore/search?tab=default_tab&amp;search_scope=EVERYTHING&amp;vid=01CRU&amp;lang=en_US&amp;offset=0&amp;query=any,contains,991002452719702656","Catalog Record")</f>
        <v>Catalog Record</v>
      </c>
      <c r="AV701" s="25" t="str">
        <f aca="false">HYPERLINK("http://www.worldcat.org/oclc/353244","WorldCat Record")</f>
        <v>WorldCat Record</v>
      </c>
      <c r="AW701" s="6" t="s">
        <v>2456</v>
      </c>
      <c r="AX701" s="6" t="s">
        <v>2457</v>
      </c>
      <c r="AY701" s="6" t="s">
        <v>2458</v>
      </c>
      <c r="AZ701" s="6" t="s">
        <v>2458</v>
      </c>
      <c r="BA701" s="6" t="s">
        <v>2459</v>
      </c>
      <c r="BC701" s="6" t="s">
        <v>2460</v>
      </c>
      <c r="BE701" s="15" t="s">
        <v>2145</v>
      </c>
      <c r="BF701" s="6" t="s">
        <v>2461</v>
      </c>
    </row>
    <row r="702" customFormat="false" ht="163" hidden="false" customHeight="false" outlineLevel="0" collapsed="false">
      <c r="A702" s="4" t="s">
        <v>63</v>
      </c>
      <c r="B702" s="5" t="s">
        <v>2129</v>
      </c>
      <c r="C702" s="5" t="s">
        <v>2130</v>
      </c>
      <c r="D702" s="5" t="s">
        <v>2462</v>
      </c>
      <c r="E702" s="5" t="s">
        <v>2463</v>
      </c>
      <c r="F702" s="5" t="s">
        <v>2464</v>
      </c>
      <c r="G702" s="6" t="s">
        <v>498</v>
      </c>
      <c r="H702" s="6" t="s">
        <v>63</v>
      </c>
      <c r="I702" s="6" t="s">
        <v>62</v>
      </c>
      <c r="J702" s="6" t="s">
        <v>63</v>
      </c>
      <c r="K702" s="6" t="s">
        <v>63</v>
      </c>
      <c r="L702" s="6" t="s">
        <v>64</v>
      </c>
      <c r="M702" s="5" t="s">
        <v>2465</v>
      </c>
      <c r="N702" s="5" t="s">
        <v>2466</v>
      </c>
      <c r="O702" s="6" t="s">
        <v>2467</v>
      </c>
      <c r="Q702" s="6" t="s">
        <v>67</v>
      </c>
      <c r="R702" s="6" t="s">
        <v>1059</v>
      </c>
      <c r="S702" s="5" t="s">
        <v>2468</v>
      </c>
      <c r="T702" s="6" t="s">
        <v>2137</v>
      </c>
      <c r="U702" s="7" t="n">
        <v>4</v>
      </c>
      <c r="V702" s="7" t="n">
        <v>4</v>
      </c>
      <c r="W702" s="8" t="s">
        <v>2469</v>
      </c>
      <c r="X702" s="8" t="s">
        <v>2469</v>
      </c>
      <c r="Y702" s="8" t="s">
        <v>2139</v>
      </c>
      <c r="Z702" s="8" t="s">
        <v>2139</v>
      </c>
      <c r="AA702" s="7" t="n">
        <v>634</v>
      </c>
      <c r="AB702" s="7" t="n">
        <v>610</v>
      </c>
      <c r="AC702" s="7" t="n">
        <v>919</v>
      </c>
      <c r="AD702" s="7" t="n">
        <v>4</v>
      </c>
      <c r="AE702" s="7" t="n">
        <v>6</v>
      </c>
      <c r="AF702" s="7" t="n">
        <v>22</v>
      </c>
      <c r="AG702" s="7" t="n">
        <v>25</v>
      </c>
      <c r="AH702" s="7" t="n">
        <v>9</v>
      </c>
      <c r="AI702" s="7" t="n">
        <v>9</v>
      </c>
      <c r="AJ702" s="7" t="n">
        <v>3</v>
      </c>
      <c r="AK702" s="7" t="n">
        <v>3</v>
      </c>
      <c r="AL702" s="7" t="n">
        <v>11</v>
      </c>
      <c r="AM702" s="7" t="n">
        <v>12</v>
      </c>
      <c r="AN702" s="7" t="n">
        <v>3</v>
      </c>
      <c r="AO702" s="7" t="n">
        <v>5</v>
      </c>
      <c r="AP702" s="7" t="n">
        <v>0</v>
      </c>
      <c r="AQ702" s="7" t="n">
        <v>0</v>
      </c>
      <c r="AR702" s="6" t="s">
        <v>63</v>
      </c>
      <c r="AS702" s="6" t="s">
        <v>63</v>
      </c>
      <c r="AU702" s="25" t="str">
        <f aca="false">HYPERLINK("https://creighton-primo.hosted.exlibrisgroup.com/primo-explore/search?tab=default_tab&amp;search_scope=EVERYTHING&amp;vid=01CRU&amp;lang=en_US&amp;offset=0&amp;query=any,contains,991002570329702656","Catalog Record")</f>
        <v>Catalog Record</v>
      </c>
      <c r="AV702" s="25" t="str">
        <f aca="false">HYPERLINK("http://www.worldcat.org/oclc/373496","WorldCat Record")</f>
        <v>WorldCat Record</v>
      </c>
      <c r="AW702" s="6" t="s">
        <v>2470</v>
      </c>
      <c r="AX702" s="6" t="s">
        <v>2471</v>
      </c>
      <c r="AY702" s="6" t="s">
        <v>2472</v>
      </c>
      <c r="AZ702" s="6" t="s">
        <v>2472</v>
      </c>
      <c r="BA702" s="6" t="s">
        <v>2473</v>
      </c>
      <c r="BC702" s="6" t="s">
        <v>2474</v>
      </c>
      <c r="BE702" s="15" t="s">
        <v>2145</v>
      </c>
      <c r="BF702" s="6" t="s">
        <v>2475</v>
      </c>
    </row>
    <row r="703" customFormat="false" ht="163" hidden="false" customHeight="false" outlineLevel="0" collapsed="false">
      <c r="A703" s="4" t="s">
        <v>63</v>
      </c>
      <c r="B703" s="5" t="s">
        <v>2129</v>
      </c>
      <c r="C703" s="5" t="s">
        <v>2130</v>
      </c>
      <c r="D703" s="5" t="s">
        <v>2476</v>
      </c>
      <c r="E703" s="5" t="s">
        <v>2477</v>
      </c>
      <c r="F703" s="5" t="s">
        <v>2478</v>
      </c>
      <c r="G703" s="6" t="s">
        <v>502</v>
      </c>
      <c r="H703" s="6" t="s">
        <v>63</v>
      </c>
      <c r="I703" s="6" t="s">
        <v>62</v>
      </c>
      <c r="J703" s="6" t="s">
        <v>63</v>
      </c>
      <c r="K703" s="6" t="s">
        <v>63</v>
      </c>
      <c r="L703" s="6" t="s">
        <v>64</v>
      </c>
      <c r="M703" s="5" t="s">
        <v>2465</v>
      </c>
      <c r="N703" s="5" t="s">
        <v>2479</v>
      </c>
      <c r="O703" s="6" t="s">
        <v>2467</v>
      </c>
      <c r="Q703" s="6" t="s">
        <v>67</v>
      </c>
      <c r="R703" s="6" t="s">
        <v>1059</v>
      </c>
      <c r="T703" s="6" t="s">
        <v>2137</v>
      </c>
      <c r="U703" s="7" t="n">
        <v>1</v>
      </c>
      <c r="V703" s="7" t="n">
        <v>1</v>
      </c>
      <c r="W703" s="8" t="s">
        <v>2480</v>
      </c>
      <c r="X703" s="8" t="s">
        <v>2480</v>
      </c>
      <c r="Y703" s="8" t="s">
        <v>2139</v>
      </c>
      <c r="Z703" s="8" t="s">
        <v>2139</v>
      </c>
      <c r="AA703" s="7" t="n">
        <v>598</v>
      </c>
      <c r="AB703" s="7" t="n">
        <v>581</v>
      </c>
      <c r="AC703" s="7" t="n">
        <v>1016</v>
      </c>
      <c r="AD703" s="7" t="n">
        <v>2</v>
      </c>
      <c r="AE703" s="7" t="n">
        <v>5</v>
      </c>
      <c r="AF703" s="7" t="n">
        <v>19</v>
      </c>
      <c r="AG703" s="7" t="n">
        <v>25</v>
      </c>
      <c r="AH703" s="7" t="n">
        <v>9</v>
      </c>
      <c r="AI703" s="7" t="n">
        <v>9</v>
      </c>
      <c r="AJ703" s="7" t="n">
        <v>3</v>
      </c>
      <c r="AK703" s="7" t="n">
        <v>4</v>
      </c>
      <c r="AL703" s="7" t="n">
        <v>10</v>
      </c>
      <c r="AM703" s="7" t="n">
        <v>13</v>
      </c>
      <c r="AN703" s="7" t="n">
        <v>1</v>
      </c>
      <c r="AO703" s="7" t="n">
        <v>4</v>
      </c>
      <c r="AP703" s="7" t="n">
        <v>0</v>
      </c>
      <c r="AQ703" s="7" t="n">
        <v>0</v>
      </c>
      <c r="AR703" s="6" t="s">
        <v>63</v>
      </c>
      <c r="AS703" s="6" t="s">
        <v>63</v>
      </c>
      <c r="AU703" s="25" t="str">
        <f aca="false">HYPERLINK("https://creighton-primo.hosted.exlibrisgroup.com/primo-explore/search?tab=default_tab&amp;search_scope=EVERYTHING&amp;vid=01CRU&amp;lang=en_US&amp;offset=0&amp;query=any,contains,991002583649702656","Catalog Record")</f>
        <v>Catalog Record</v>
      </c>
      <c r="AV703" s="25" t="str">
        <f aca="false">HYPERLINK("http://www.worldcat.org/oclc/375272","WorldCat Record")</f>
        <v>WorldCat Record</v>
      </c>
      <c r="AW703" s="6" t="s">
        <v>2481</v>
      </c>
      <c r="AX703" s="6" t="s">
        <v>2482</v>
      </c>
      <c r="AY703" s="6" t="s">
        <v>2483</v>
      </c>
      <c r="AZ703" s="6" t="s">
        <v>2483</v>
      </c>
      <c r="BA703" s="6" t="s">
        <v>2484</v>
      </c>
      <c r="BC703" s="6" t="s">
        <v>2485</v>
      </c>
      <c r="BE703" s="15" t="s">
        <v>2145</v>
      </c>
      <c r="BF703" s="6" t="s">
        <v>2486</v>
      </c>
    </row>
    <row r="704" customFormat="false" ht="163" hidden="false" customHeight="false" outlineLevel="0" collapsed="false">
      <c r="A704" s="4" t="s">
        <v>63</v>
      </c>
      <c r="B704" s="5" t="s">
        <v>2129</v>
      </c>
      <c r="C704" s="5" t="s">
        <v>2130</v>
      </c>
      <c r="D704" s="5" t="s">
        <v>2487</v>
      </c>
      <c r="E704" s="5" t="s">
        <v>2488</v>
      </c>
      <c r="F704" s="5" t="s">
        <v>2489</v>
      </c>
      <c r="G704" s="6" t="s">
        <v>1513</v>
      </c>
      <c r="H704" s="6" t="s">
        <v>63</v>
      </c>
      <c r="I704" s="6" t="s">
        <v>62</v>
      </c>
      <c r="J704" s="6" t="s">
        <v>63</v>
      </c>
      <c r="K704" s="6" t="s">
        <v>63</v>
      </c>
      <c r="L704" s="6" t="s">
        <v>64</v>
      </c>
      <c r="M704" s="5" t="s">
        <v>2465</v>
      </c>
      <c r="N704" s="5" t="s">
        <v>2490</v>
      </c>
      <c r="O704" s="6" t="s">
        <v>2467</v>
      </c>
      <c r="Q704" s="6" t="s">
        <v>67</v>
      </c>
      <c r="R704" s="6" t="s">
        <v>1059</v>
      </c>
      <c r="S704" s="5" t="s">
        <v>2468</v>
      </c>
      <c r="T704" s="6" t="s">
        <v>2137</v>
      </c>
      <c r="U704" s="7" t="n">
        <v>1</v>
      </c>
      <c r="V704" s="7" t="n">
        <v>1</v>
      </c>
      <c r="W704" s="8" t="s">
        <v>2491</v>
      </c>
      <c r="X704" s="8" t="s">
        <v>2491</v>
      </c>
      <c r="Y704" s="8" t="s">
        <v>2139</v>
      </c>
      <c r="Z704" s="8" t="s">
        <v>2139</v>
      </c>
      <c r="AA704" s="7" t="n">
        <v>644</v>
      </c>
      <c r="AB704" s="7" t="n">
        <v>622</v>
      </c>
      <c r="AC704" s="7" t="n">
        <v>1312</v>
      </c>
      <c r="AD704" s="7" t="n">
        <v>2</v>
      </c>
      <c r="AE704" s="7" t="n">
        <v>5</v>
      </c>
      <c r="AF704" s="7" t="n">
        <v>21</v>
      </c>
      <c r="AG704" s="7" t="n">
        <v>34</v>
      </c>
      <c r="AH704" s="7" t="n">
        <v>9</v>
      </c>
      <c r="AI704" s="7" t="n">
        <v>13</v>
      </c>
      <c r="AJ704" s="7" t="n">
        <v>5</v>
      </c>
      <c r="AK704" s="7" t="n">
        <v>6</v>
      </c>
      <c r="AL704" s="7" t="n">
        <v>13</v>
      </c>
      <c r="AM704" s="7" t="n">
        <v>19</v>
      </c>
      <c r="AN704" s="7" t="n">
        <v>1</v>
      </c>
      <c r="AO704" s="7" t="n">
        <v>4</v>
      </c>
      <c r="AP704" s="7" t="n">
        <v>0</v>
      </c>
      <c r="AQ704" s="7" t="n">
        <v>0</v>
      </c>
      <c r="AR704" s="6" t="s">
        <v>63</v>
      </c>
      <c r="AS704" s="6" t="s">
        <v>57</v>
      </c>
      <c r="AT704" s="25" t="str">
        <f aca="false">HYPERLINK("http://catalog.hathitrust.org/Record/001389724","HathiTrust Record")</f>
        <v>HathiTrust Record</v>
      </c>
      <c r="AU704" s="25" t="str">
        <f aca="false">HYPERLINK("https://creighton-primo.hosted.exlibrisgroup.com/primo-explore/search?tab=default_tab&amp;search_scope=EVERYTHING&amp;vid=01CRU&amp;lang=en_US&amp;offset=0&amp;query=any,contains,991002570309702656","Catalog Record")</f>
        <v>Catalog Record</v>
      </c>
      <c r="AV704" s="25" t="str">
        <f aca="false">HYPERLINK("http://www.worldcat.org/oclc/373494","WorldCat Record")</f>
        <v>WorldCat Record</v>
      </c>
      <c r="AW704" s="6" t="s">
        <v>2492</v>
      </c>
      <c r="AX704" s="6" t="s">
        <v>2493</v>
      </c>
      <c r="AY704" s="6" t="s">
        <v>2494</v>
      </c>
      <c r="AZ704" s="6" t="s">
        <v>2494</v>
      </c>
      <c r="BA704" s="6" t="s">
        <v>2495</v>
      </c>
      <c r="BC704" s="6" t="s">
        <v>2496</v>
      </c>
      <c r="BE704" s="15" t="s">
        <v>2145</v>
      </c>
      <c r="BF704" s="6" t="s">
        <v>2497</v>
      </c>
    </row>
    <row r="705" customFormat="false" ht="151.5" hidden="false" customHeight="false" outlineLevel="0" collapsed="false">
      <c r="A705" s="4" t="s">
        <v>63</v>
      </c>
      <c r="B705" s="5" t="s">
        <v>2129</v>
      </c>
      <c r="C705" s="5" t="s">
        <v>2130</v>
      </c>
      <c r="D705" s="5" t="s">
        <v>2498</v>
      </c>
      <c r="E705" s="5" t="s">
        <v>2499</v>
      </c>
      <c r="F705" s="5" t="s">
        <v>2500</v>
      </c>
      <c r="H705" s="6" t="s">
        <v>63</v>
      </c>
      <c r="I705" s="6" t="s">
        <v>62</v>
      </c>
      <c r="J705" s="6" t="s">
        <v>63</v>
      </c>
      <c r="K705" s="6" t="s">
        <v>63</v>
      </c>
      <c r="L705" s="6" t="s">
        <v>64</v>
      </c>
      <c r="M705" s="5" t="s">
        <v>2501</v>
      </c>
      <c r="N705" s="5" t="s">
        <v>2502</v>
      </c>
      <c r="O705" s="6" t="s">
        <v>167</v>
      </c>
      <c r="Q705" s="6" t="s">
        <v>67</v>
      </c>
      <c r="R705" s="6" t="s">
        <v>2503</v>
      </c>
      <c r="T705" s="6" t="s">
        <v>2137</v>
      </c>
      <c r="U705" s="7" t="n">
        <v>4</v>
      </c>
      <c r="V705" s="7" t="n">
        <v>4</v>
      </c>
      <c r="W705" s="8" t="s">
        <v>2504</v>
      </c>
      <c r="X705" s="8" t="s">
        <v>2504</v>
      </c>
      <c r="Y705" s="8" t="s">
        <v>2139</v>
      </c>
      <c r="Z705" s="8" t="s">
        <v>2139</v>
      </c>
      <c r="AA705" s="7" t="n">
        <v>332</v>
      </c>
      <c r="AB705" s="7" t="n">
        <v>297</v>
      </c>
      <c r="AC705" s="7" t="n">
        <v>521</v>
      </c>
      <c r="AD705" s="7" t="n">
        <v>3</v>
      </c>
      <c r="AE705" s="7" t="n">
        <v>4</v>
      </c>
      <c r="AF705" s="7" t="n">
        <v>20</v>
      </c>
      <c r="AG705" s="7" t="n">
        <v>29</v>
      </c>
      <c r="AH705" s="7" t="n">
        <v>5</v>
      </c>
      <c r="AI705" s="7" t="n">
        <v>10</v>
      </c>
      <c r="AJ705" s="7" t="n">
        <v>6</v>
      </c>
      <c r="AK705" s="7" t="n">
        <v>7</v>
      </c>
      <c r="AL705" s="7" t="n">
        <v>11</v>
      </c>
      <c r="AM705" s="7" t="n">
        <v>16</v>
      </c>
      <c r="AN705" s="7" t="n">
        <v>2</v>
      </c>
      <c r="AO705" s="7" t="n">
        <v>3</v>
      </c>
      <c r="AP705" s="7" t="n">
        <v>0</v>
      </c>
      <c r="AQ705" s="7" t="n">
        <v>0</v>
      </c>
      <c r="AR705" s="6" t="s">
        <v>63</v>
      </c>
      <c r="AS705" s="6" t="s">
        <v>57</v>
      </c>
      <c r="AT705" s="25" t="str">
        <f aca="false">HYPERLINK("http://catalog.hathitrust.org/Record/001389729","HathiTrust Record")</f>
        <v>HathiTrust Record</v>
      </c>
      <c r="AU705" s="25" t="str">
        <f aca="false">HYPERLINK("https://creighton-primo.hosted.exlibrisgroup.com/primo-explore/search?tab=default_tab&amp;search_scope=EVERYTHING&amp;vid=01CRU&amp;lang=en_US&amp;offset=0&amp;query=any,contains,991003249209702656","Catalog Record")</f>
        <v>Catalog Record</v>
      </c>
      <c r="AV705" s="25" t="str">
        <f aca="false">HYPERLINK("http://www.worldcat.org/oclc/774060","WorldCat Record")</f>
        <v>WorldCat Record</v>
      </c>
      <c r="AW705" s="6" t="s">
        <v>2505</v>
      </c>
      <c r="AX705" s="6" t="s">
        <v>2506</v>
      </c>
      <c r="AY705" s="6" t="s">
        <v>2507</v>
      </c>
      <c r="AZ705" s="6" t="s">
        <v>2507</v>
      </c>
      <c r="BA705" s="6" t="s">
        <v>2508</v>
      </c>
      <c r="BC705" s="6" t="s">
        <v>2509</v>
      </c>
      <c r="BE705" s="15" t="s">
        <v>2145</v>
      </c>
      <c r="BF705" s="6" t="s">
        <v>2510</v>
      </c>
    </row>
    <row r="706" customFormat="false" ht="71" hidden="false" customHeight="false" outlineLevel="0" collapsed="false">
      <c r="A706" s="4" t="s">
        <v>63</v>
      </c>
      <c r="B706" s="5" t="s">
        <v>2129</v>
      </c>
      <c r="C706" s="5" t="s">
        <v>2130</v>
      </c>
      <c r="D706" s="5" t="s">
        <v>2511</v>
      </c>
      <c r="E706" s="5" t="s">
        <v>2512</v>
      </c>
      <c r="F706" s="5" t="s">
        <v>2513</v>
      </c>
      <c r="H706" s="6" t="s">
        <v>63</v>
      </c>
      <c r="I706" s="6" t="s">
        <v>62</v>
      </c>
      <c r="J706" s="6" t="s">
        <v>63</v>
      </c>
      <c r="K706" s="6" t="s">
        <v>63</v>
      </c>
      <c r="L706" s="6" t="s">
        <v>64</v>
      </c>
      <c r="M706" s="5" t="s">
        <v>2514</v>
      </c>
      <c r="N706" s="5" t="s">
        <v>2515</v>
      </c>
      <c r="O706" s="6" t="s">
        <v>2329</v>
      </c>
      <c r="Q706" s="6" t="s">
        <v>67</v>
      </c>
      <c r="R706" s="6" t="s">
        <v>1108</v>
      </c>
      <c r="S706" s="5" t="s">
        <v>2516</v>
      </c>
      <c r="T706" s="6" t="s">
        <v>2137</v>
      </c>
      <c r="U706" s="7" t="n">
        <v>3</v>
      </c>
      <c r="V706" s="7" t="n">
        <v>3</v>
      </c>
      <c r="W706" s="8" t="s">
        <v>2517</v>
      </c>
      <c r="X706" s="8" t="s">
        <v>2517</v>
      </c>
      <c r="Y706" s="8" t="s">
        <v>2139</v>
      </c>
      <c r="Z706" s="8" t="s">
        <v>2139</v>
      </c>
      <c r="AA706" s="7" t="n">
        <v>1013</v>
      </c>
      <c r="AB706" s="7" t="n">
        <v>905</v>
      </c>
      <c r="AC706" s="7" t="n">
        <v>1150</v>
      </c>
      <c r="AD706" s="7" t="n">
        <v>7</v>
      </c>
      <c r="AE706" s="7" t="n">
        <v>9</v>
      </c>
      <c r="AF706" s="7" t="n">
        <v>41</v>
      </c>
      <c r="AG706" s="7" t="n">
        <v>57</v>
      </c>
      <c r="AH706" s="7" t="n">
        <v>15</v>
      </c>
      <c r="AI706" s="7" t="n">
        <v>22</v>
      </c>
      <c r="AJ706" s="7" t="n">
        <v>9</v>
      </c>
      <c r="AK706" s="7" t="n">
        <v>11</v>
      </c>
      <c r="AL706" s="7" t="n">
        <v>22</v>
      </c>
      <c r="AM706" s="7" t="n">
        <v>26</v>
      </c>
      <c r="AN706" s="7" t="n">
        <v>5</v>
      </c>
      <c r="AO706" s="7" t="n">
        <v>6</v>
      </c>
      <c r="AP706" s="7" t="n">
        <v>0</v>
      </c>
      <c r="AQ706" s="7" t="n">
        <v>6</v>
      </c>
      <c r="AR706" s="6" t="s">
        <v>63</v>
      </c>
      <c r="AS706" s="6" t="s">
        <v>63</v>
      </c>
      <c r="AT706" s="25" t="str">
        <f aca="false">HYPERLINK("http://catalog.hathitrust.org/Record/001390083","HathiTrust Record")</f>
        <v>HathiTrust Record</v>
      </c>
      <c r="AU706" s="25" t="str">
        <f aca="false">HYPERLINK("https://creighton-primo.hosted.exlibrisgroup.com/primo-explore/search?tab=default_tab&amp;search_scope=EVERYTHING&amp;vid=01CRU&amp;lang=en_US&amp;offset=0&amp;query=any,contains,991002347909702656","Catalog Record")</f>
        <v>Catalog Record</v>
      </c>
      <c r="AV706" s="25" t="str">
        <f aca="false">HYPERLINK("http://www.worldcat.org/oclc/324853","WorldCat Record")</f>
        <v>WorldCat Record</v>
      </c>
      <c r="AW706" s="6" t="s">
        <v>2518</v>
      </c>
      <c r="AX706" s="6" t="s">
        <v>2519</v>
      </c>
      <c r="AY706" s="6" t="s">
        <v>2520</v>
      </c>
      <c r="AZ706" s="6" t="s">
        <v>2520</v>
      </c>
      <c r="BA706" s="6" t="s">
        <v>2521</v>
      </c>
      <c r="BC706" s="6" t="s">
        <v>2522</v>
      </c>
      <c r="BE706" s="15" t="s">
        <v>2145</v>
      </c>
      <c r="BF706" s="6" t="s">
        <v>2523</v>
      </c>
    </row>
    <row r="707" customFormat="false" ht="163" hidden="false" customHeight="false" outlineLevel="0" collapsed="false">
      <c r="A707" s="4" t="s">
        <v>63</v>
      </c>
      <c r="B707" s="5" t="s">
        <v>2129</v>
      </c>
      <c r="C707" s="5" t="s">
        <v>2130</v>
      </c>
      <c r="D707" s="5" t="s">
        <v>2524</v>
      </c>
      <c r="E707" s="5" t="s">
        <v>2525</v>
      </c>
      <c r="F707" s="5" t="s">
        <v>2526</v>
      </c>
      <c r="H707" s="6" t="s">
        <v>63</v>
      </c>
      <c r="I707" s="6" t="s">
        <v>62</v>
      </c>
      <c r="J707" s="6" t="s">
        <v>63</v>
      </c>
      <c r="K707" s="6" t="s">
        <v>63</v>
      </c>
      <c r="L707" s="6" t="s">
        <v>64</v>
      </c>
      <c r="M707" s="5" t="s">
        <v>2527</v>
      </c>
      <c r="N707" s="5" t="s">
        <v>2528</v>
      </c>
      <c r="O707" s="6" t="s">
        <v>2426</v>
      </c>
      <c r="P707" s="5" t="s">
        <v>2529</v>
      </c>
      <c r="Q707" s="6" t="s">
        <v>67</v>
      </c>
      <c r="R707" s="6" t="s">
        <v>68</v>
      </c>
      <c r="S707" s="5" t="s">
        <v>2530</v>
      </c>
      <c r="T707" s="6" t="s">
        <v>2137</v>
      </c>
      <c r="U707" s="7" t="n">
        <v>2</v>
      </c>
      <c r="V707" s="7" t="n">
        <v>2</v>
      </c>
      <c r="W707" s="8" t="s">
        <v>2531</v>
      </c>
      <c r="X707" s="8" t="s">
        <v>2531</v>
      </c>
      <c r="Y707" s="8" t="s">
        <v>2139</v>
      </c>
      <c r="Z707" s="8" t="s">
        <v>2139</v>
      </c>
      <c r="AA707" s="7" t="n">
        <v>92</v>
      </c>
      <c r="AB707" s="7" t="n">
        <v>76</v>
      </c>
      <c r="AC707" s="7" t="n">
        <v>224</v>
      </c>
      <c r="AD707" s="7" t="n">
        <v>2</v>
      </c>
      <c r="AE707" s="7" t="n">
        <v>3</v>
      </c>
      <c r="AF707" s="7" t="n">
        <v>9</v>
      </c>
      <c r="AG707" s="7" t="n">
        <v>16</v>
      </c>
      <c r="AH707" s="7" t="n">
        <v>1</v>
      </c>
      <c r="AI707" s="7" t="n">
        <v>3</v>
      </c>
      <c r="AJ707" s="7" t="n">
        <v>4</v>
      </c>
      <c r="AK707" s="7" t="n">
        <v>5</v>
      </c>
      <c r="AL707" s="7" t="n">
        <v>3</v>
      </c>
      <c r="AM707" s="7" t="n">
        <v>6</v>
      </c>
      <c r="AN707" s="7" t="n">
        <v>1</v>
      </c>
      <c r="AO707" s="7" t="n">
        <v>2</v>
      </c>
      <c r="AP707" s="7" t="n">
        <v>0</v>
      </c>
      <c r="AQ707" s="7" t="n">
        <v>0</v>
      </c>
      <c r="AR707" s="6" t="s">
        <v>63</v>
      </c>
      <c r="AS707" s="6" t="s">
        <v>63</v>
      </c>
      <c r="AU707" s="25" t="str">
        <f aca="false">HYPERLINK("https://creighton-primo.hosted.exlibrisgroup.com/primo-explore/search?tab=default_tab&amp;search_scope=EVERYTHING&amp;vid=01CRU&amp;lang=en_US&amp;offset=0&amp;query=any,contains,991003577059702656","Catalog Record")</f>
        <v>Catalog Record</v>
      </c>
      <c r="AV707" s="25" t="str">
        <f aca="false">HYPERLINK("http://www.worldcat.org/oclc/1156540","WorldCat Record")</f>
        <v>WorldCat Record</v>
      </c>
      <c r="AW707" s="6" t="s">
        <v>2532</v>
      </c>
      <c r="AX707" s="6" t="s">
        <v>2533</v>
      </c>
      <c r="AY707" s="6" t="s">
        <v>2534</v>
      </c>
      <c r="AZ707" s="6" t="s">
        <v>2534</v>
      </c>
      <c r="BA707" s="6" t="s">
        <v>2535</v>
      </c>
      <c r="BB707" s="6" t="s">
        <v>2536</v>
      </c>
      <c r="BC707" s="6" t="s">
        <v>2537</v>
      </c>
      <c r="BE707" s="15" t="s">
        <v>2145</v>
      </c>
      <c r="BF707" s="6" t="s">
        <v>2538</v>
      </c>
    </row>
    <row r="708" customFormat="false" ht="128.5" hidden="false" customHeight="false" outlineLevel="0" collapsed="false">
      <c r="A708" s="4" t="s">
        <v>63</v>
      </c>
      <c r="B708" s="5" t="s">
        <v>2129</v>
      </c>
      <c r="C708" s="5" t="s">
        <v>2130</v>
      </c>
      <c r="D708" s="5" t="s">
        <v>2539</v>
      </c>
      <c r="E708" s="5" t="s">
        <v>2540</v>
      </c>
      <c r="F708" s="5" t="s">
        <v>2541</v>
      </c>
      <c r="H708" s="6" t="s">
        <v>63</v>
      </c>
      <c r="I708" s="6" t="s">
        <v>62</v>
      </c>
      <c r="J708" s="6" t="s">
        <v>63</v>
      </c>
      <c r="K708" s="6" t="s">
        <v>63</v>
      </c>
      <c r="L708" s="6" t="s">
        <v>64</v>
      </c>
      <c r="M708" s="5" t="s">
        <v>2542</v>
      </c>
      <c r="N708" s="5" t="s">
        <v>755</v>
      </c>
      <c r="O708" s="6" t="s">
        <v>208</v>
      </c>
      <c r="Q708" s="6" t="s">
        <v>67</v>
      </c>
      <c r="R708" s="6" t="s">
        <v>401</v>
      </c>
      <c r="T708" s="6" t="s">
        <v>2137</v>
      </c>
      <c r="U708" s="7" t="n">
        <v>1</v>
      </c>
      <c r="V708" s="7" t="n">
        <v>1</v>
      </c>
      <c r="W708" s="8" t="s">
        <v>2543</v>
      </c>
      <c r="X708" s="8" t="s">
        <v>2543</v>
      </c>
      <c r="Y708" s="8" t="s">
        <v>2544</v>
      </c>
      <c r="Z708" s="8" t="s">
        <v>2544</v>
      </c>
      <c r="AA708" s="7" t="n">
        <v>221</v>
      </c>
      <c r="AB708" s="7" t="n">
        <v>182</v>
      </c>
      <c r="AC708" s="7" t="n">
        <v>184</v>
      </c>
      <c r="AD708" s="7" t="n">
        <v>1</v>
      </c>
      <c r="AE708" s="7" t="n">
        <v>1</v>
      </c>
      <c r="AF708" s="7" t="n">
        <v>13</v>
      </c>
      <c r="AG708" s="7" t="n">
        <v>13</v>
      </c>
      <c r="AH708" s="7" t="n">
        <v>3</v>
      </c>
      <c r="AI708" s="7" t="n">
        <v>3</v>
      </c>
      <c r="AJ708" s="7" t="n">
        <v>4</v>
      </c>
      <c r="AK708" s="7" t="n">
        <v>4</v>
      </c>
      <c r="AL708" s="7" t="n">
        <v>10</v>
      </c>
      <c r="AM708" s="7" t="n">
        <v>10</v>
      </c>
      <c r="AN708" s="7" t="n">
        <v>0</v>
      </c>
      <c r="AO708" s="7" t="n">
        <v>0</v>
      </c>
      <c r="AP708" s="7" t="n">
        <v>0</v>
      </c>
      <c r="AQ708" s="7" t="n">
        <v>0</v>
      </c>
      <c r="AR708" s="6" t="s">
        <v>63</v>
      </c>
      <c r="AS708" s="6" t="s">
        <v>57</v>
      </c>
      <c r="AT708" s="25" t="str">
        <f aca="false">HYPERLINK("http://catalog.hathitrust.org/Record/006015393","HathiTrust Record")</f>
        <v>HathiTrust Record</v>
      </c>
      <c r="AU708" s="25" t="str">
        <f aca="false">HYPERLINK("https://creighton-primo.hosted.exlibrisgroup.com/primo-explore/search?tab=default_tab&amp;search_scope=EVERYTHING&amp;vid=01CRU&amp;lang=en_US&amp;offset=0&amp;query=any,contains,991001001069702656","Catalog Record")</f>
        <v>Catalog Record</v>
      </c>
      <c r="AV708" s="25" t="str">
        <f aca="false">HYPERLINK("http://www.worldcat.org/oclc/15198563","WorldCat Record")</f>
        <v>WorldCat Record</v>
      </c>
      <c r="AW708" s="6" t="s">
        <v>2545</v>
      </c>
      <c r="AX708" s="6" t="s">
        <v>2546</v>
      </c>
      <c r="AY708" s="6" t="s">
        <v>2547</v>
      </c>
      <c r="AZ708" s="6" t="s">
        <v>2547</v>
      </c>
      <c r="BA708" s="6" t="s">
        <v>2548</v>
      </c>
      <c r="BB708" s="6" t="s">
        <v>2549</v>
      </c>
      <c r="BC708" s="6" t="s">
        <v>2550</v>
      </c>
      <c r="BE708" s="15" t="s">
        <v>2145</v>
      </c>
      <c r="BF708" s="6" t="s">
        <v>2551</v>
      </c>
    </row>
    <row r="709" customFormat="false" ht="140" hidden="false" customHeight="false" outlineLevel="0" collapsed="false">
      <c r="A709" s="4" t="s">
        <v>63</v>
      </c>
      <c r="B709" s="5" t="s">
        <v>2129</v>
      </c>
      <c r="C709" s="5" t="s">
        <v>2130</v>
      </c>
      <c r="D709" s="5" t="s">
        <v>2552</v>
      </c>
      <c r="E709" s="5" t="s">
        <v>2553</v>
      </c>
      <c r="F709" s="5" t="s">
        <v>2554</v>
      </c>
      <c r="H709" s="6" t="s">
        <v>63</v>
      </c>
      <c r="I709" s="6" t="s">
        <v>62</v>
      </c>
      <c r="J709" s="6" t="s">
        <v>63</v>
      </c>
      <c r="K709" s="6" t="s">
        <v>63</v>
      </c>
      <c r="L709" s="6" t="s">
        <v>64</v>
      </c>
      <c r="M709" s="5" t="s">
        <v>2555</v>
      </c>
      <c r="N709" s="5" t="s">
        <v>2556</v>
      </c>
      <c r="O709" s="6" t="s">
        <v>2557</v>
      </c>
      <c r="P709" s="5" t="s">
        <v>2558</v>
      </c>
      <c r="Q709" s="6" t="s">
        <v>67</v>
      </c>
      <c r="R709" s="6" t="s">
        <v>68</v>
      </c>
      <c r="T709" s="6" t="s">
        <v>2137</v>
      </c>
      <c r="U709" s="7" t="n">
        <v>0</v>
      </c>
      <c r="V709" s="7" t="n">
        <v>0</v>
      </c>
      <c r="W709" s="8" t="s">
        <v>2559</v>
      </c>
      <c r="X709" s="8" t="s">
        <v>2559</v>
      </c>
      <c r="Y709" s="8" t="s">
        <v>2139</v>
      </c>
      <c r="Z709" s="8" t="s">
        <v>2139</v>
      </c>
      <c r="AA709" s="7" t="n">
        <v>69</v>
      </c>
      <c r="AB709" s="7" t="n">
        <v>67</v>
      </c>
      <c r="AC709" s="7" t="n">
        <v>95</v>
      </c>
      <c r="AD709" s="7" t="n">
        <v>2</v>
      </c>
      <c r="AE709" s="7" t="n">
        <v>2</v>
      </c>
      <c r="AF709" s="7" t="n">
        <v>19</v>
      </c>
      <c r="AG709" s="7" t="n">
        <v>22</v>
      </c>
      <c r="AH709" s="7" t="n">
        <v>2</v>
      </c>
      <c r="AI709" s="7" t="n">
        <v>4</v>
      </c>
      <c r="AJ709" s="7" t="n">
        <v>4</v>
      </c>
      <c r="AK709" s="7" t="n">
        <v>4</v>
      </c>
      <c r="AL709" s="7" t="n">
        <v>17</v>
      </c>
      <c r="AM709" s="7" t="n">
        <v>20</v>
      </c>
      <c r="AN709" s="7" t="n">
        <v>0</v>
      </c>
      <c r="AO709" s="7" t="n">
        <v>0</v>
      </c>
      <c r="AP709" s="7" t="n">
        <v>1</v>
      </c>
      <c r="AQ709" s="7" t="n">
        <v>1</v>
      </c>
      <c r="AR709" s="6" t="s">
        <v>63</v>
      </c>
      <c r="AS709" s="6" t="s">
        <v>57</v>
      </c>
      <c r="AT709" s="25" t="str">
        <f aca="false">HYPERLINK("http://catalog.hathitrust.org/Record/008372949","HathiTrust Record")</f>
        <v>HathiTrust Record</v>
      </c>
      <c r="AU709" s="25" t="str">
        <f aca="false">HYPERLINK("https://creighton-primo.hosted.exlibrisgroup.com/primo-explore/search?tab=default_tab&amp;search_scope=EVERYTHING&amp;vid=01CRU&amp;lang=en_US&amp;offset=0&amp;query=any,contains,991004349329702656","Catalog Record")</f>
        <v>Catalog Record</v>
      </c>
      <c r="AV709" s="25" t="str">
        <f aca="false">HYPERLINK("http://www.worldcat.org/oclc/3113792","WorldCat Record")</f>
        <v>WorldCat Record</v>
      </c>
      <c r="AW709" s="6" t="s">
        <v>2560</v>
      </c>
      <c r="AX709" s="6" t="s">
        <v>2561</v>
      </c>
      <c r="AY709" s="6" t="s">
        <v>2562</v>
      </c>
      <c r="AZ709" s="6" t="s">
        <v>2562</v>
      </c>
      <c r="BA709" s="6" t="s">
        <v>2563</v>
      </c>
      <c r="BC709" s="6" t="s">
        <v>2564</v>
      </c>
      <c r="BE709" s="15" t="s">
        <v>2145</v>
      </c>
      <c r="BF709" s="6" t="s">
        <v>2565</v>
      </c>
    </row>
    <row r="710" customFormat="false" ht="105.5" hidden="false" customHeight="false" outlineLevel="0" collapsed="false">
      <c r="A710" s="4" t="s">
        <v>63</v>
      </c>
      <c r="B710" s="5" t="s">
        <v>2129</v>
      </c>
      <c r="C710" s="5" t="s">
        <v>2130</v>
      </c>
      <c r="D710" s="5" t="s">
        <v>2566</v>
      </c>
      <c r="E710" s="5" t="s">
        <v>2567</v>
      </c>
      <c r="F710" s="5" t="s">
        <v>2568</v>
      </c>
      <c r="H710" s="6" t="s">
        <v>63</v>
      </c>
      <c r="I710" s="6" t="s">
        <v>62</v>
      </c>
      <c r="J710" s="6" t="s">
        <v>57</v>
      </c>
      <c r="K710" s="6" t="s">
        <v>63</v>
      </c>
      <c r="L710" s="6" t="s">
        <v>64</v>
      </c>
      <c r="M710" s="5" t="s">
        <v>2569</v>
      </c>
      <c r="N710" s="5" t="s">
        <v>2570</v>
      </c>
      <c r="O710" s="6" t="s">
        <v>246</v>
      </c>
      <c r="Q710" s="6" t="s">
        <v>67</v>
      </c>
      <c r="R710" s="6" t="s">
        <v>500</v>
      </c>
      <c r="T710" s="6" t="s">
        <v>2137</v>
      </c>
      <c r="U710" s="7" t="n">
        <v>6</v>
      </c>
      <c r="V710" s="7" t="n">
        <v>9</v>
      </c>
      <c r="W710" s="8" t="s">
        <v>2571</v>
      </c>
      <c r="X710" s="8" t="s">
        <v>2571</v>
      </c>
      <c r="Y710" s="8" t="s">
        <v>2399</v>
      </c>
      <c r="Z710" s="8" t="s">
        <v>2399</v>
      </c>
      <c r="AA710" s="7" t="n">
        <v>542</v>
      </c>
      <c r="AB710" s="7" t="n">
        <v>454</v>
      </c>
      <c r="AC710" s="7" t="n">
        <v>462</v>
      </c>
      <c r="AD710" s="7" t="n">
        <v>6</v>
      </c>
      <c r="AE710" s="7" t="n">
        <v>6</v>
      </c>
      <c r="AF710" s="7" t="n">
        <v>41</v>
      </c>
      <c r="AG710" s="7" t="n">
        <v>41</v>
      </c>
      <c r="AH710" s="7" t="n">
        <v>15</v>
      </c>
      <c r="AI710" s="7" t="n">
        <v>15</v>
      </c>
      <c r="AJ710" s="7" t="n">
        <v>10</v>
      </c>
      <c r="AK710" s="7" t="n">
        <v>10</v>
      </c>
      <c r="AL710" s="7" t="n">
        <v>26</v>
      </c>
      <c r="AM710" s="7" t="n">
        <v>26</v>
      </c>
      <c r="AN710" s="7" t="n">
        <v>3</v>
      </c>
      <c r="AO710" s="7" t="n">
        <v>3</v>
      </c>
      <c r="AP710" s="7" t="n">
        <v>0</v>
      </c>
      <c r="AQ710" s="7" t="n">
        <v>0</v>
      </c>
      <c r="AR710" s="6" t="s">
        <v>63</v>
      </c>
      <c r="AS710" s="6" t="s">
        <v>57</v>
      </c>
      <c r="AT710" s="25" t="str">
        <f aca="false">HYPERLINK("http://catalog.hathitrust.org/Record/000027065","HathiTrust Record")</f>
        <v>HathiTrust Record</v>
      </c>
      <c r="AU710" s="25" t="str">
        <f aca="false">HYPERLINK("https://creighton-primo.hosted.exlibrisgroup.com/primo-explore/search?tab=default_tab&amp;search_scope=EVERYTHING&amp;vid=01CRU&amp;lang=en_US&amp;offset=0&amp;query=any,contains,991001789159702656","Catalog Record")</f>
        <v>Catalog Record</v>
      </c>
      <c r="AV710" s="25" t="str">
        <f aca="false">HYPERLINK("http://www.worldcat.org/oclc/4516030","WorldCat Record")</f>
        <v>WorldCat Record</v>
      </c>
      <c r="AW710" s="6" t="s">
        <v>2572</v>
      </c>
      <c r="AX710" s="6" t="s">
        <v>2573</v>
      </c>
      <c r="AY710" s="6" t="s">
        <v>2574</v>
      </c>
      <c r="AZ710" s="6" t="s">
        <v>2574</v>
      </c>
      <c r="BA710" s="6" t="s">
        <v>2575</v>
      </c>
      <c r="BB710" s="6" t="s">
        <v>2576</v>
      </c>
      <c r="BC710" s="6" t="s">
        <v>2577</v>
      </c>
      <c r="BE710" s="15" t="s">
        <v>2145</v>
      </c>
      <c r="BF710" s="6" t="s">
        <v>2578</v>
      </c>
    </row>
    <row r="711" customFormat="false" ht="71" hidden="false" customHeight="false" outlineLevel="0" collapsed="false">
      <c r="A711" s="4" t="s">
        <v>63</v>
      </c>
      <c r="B711" s="5" t="s">
        <v>2129</v>
      </c>
      <c r="C711" s="5" t="s">
        <v>2130</v>
      </c>
      <c r="D711" s="5" t="s">
        <v>2579</v>
      </c>
      <c r="E711" s="5" t="s">
        <v>2580</v>
      </c>
      <c r="F711" s="5" t="s">
        <v>2581</v>
      </c>
      <c r="H711" s="6" t="s">
        <v>63</v>
      </c>
      <c r="I711" s="6" t="s">
        <v>62</v>
      </c>
      <c r="J711" s="6" t="s">
        <v>63</v>
      </c>
      <c r="K711" s="6" t="s">
        <v>63</v>
      </c>
      <c r="L711" s="6" t="s">
        <v>64</v>
      </c>
      <c r="M711" s="5" t="s">
        <v>2582</v>
      </c>
      <c r="N711" s="5" t="s">
        <v>2583</v>
      </c>
      <c r="O711" s="6" t="s">
        <v>208</v>
      </c>
      <c r="Q711" s="6" t="s">
        <v>67</v>
      </c>
      <c r="R711" s="6" t="s">
        <v>68</v>
      </c>
      <c r="T711" s="6" t="s">
        <v>2137</v>
      </c>
      <c r="U711" s="7" t="n">
        <v>7</v>
      </c>
      <c r="V711" s="7" t="n">
        <v>7</v>
      </c>
      <c r="W711" s="8" t="s">
        <v>2584</v>
      </c>
      <c r="X711" s="8" t="s">
        <v>2584</v>
      </c>
      <c r="Y711" s="8" t="s">
        <v>2399</v>
      </c>
      <c r="Z711" s="8" t="s">
        <v>2399</v>
      </c>
      <c r="AA711" s="7" t="n">
        <v>244</v>
      </c>
      <c r="AB711" s="7" t="n">
        <v>206</v>
      </c>
      <c r="AC711" s="7" t="n">
        <v>211</v>
      </c>
      <c r="AD711" s="7" t="n">
        <v>2</v>
      </c>
      <c r="AE711" s="7" t="n">
        <v>2</v>
      </c>
      <c r="AF711" s="7" t="n">
        <v>20</v>
      </c>
      <c r="AG711" s="7" t="n">
        <v>20</v>
      </c>
      <c r="AH711" s="7" t="n">
        <v>6</v>
      </c>
      <c r="AI711" s="7" t="n">
        <v>6</v>
      </c>
      <c r="AJ711" s="7" t="n">
        <v>5</v>
      </c>
      <c r="AK711" s="7" t="n">
        <v>5</v>
      </c>
      <c r="AL711" s="7" t="n">
        <v>15</v>
      </c>
      <c r="AM711" s="7" t="n">
        <v>15</v>
      </c>
      <c r="AN711" s="7" t="n">
        <v>0</v>
      </c>
      <c r="AO711" s="7" t="n">
        <v>0</v>
      </c>
      <c r="AP711" s="7" t="n">
        <v>1</v>
      </c>
      <c r="AQ711" s="7" t="n">
        <v>1</v>
      </c>
      <c r="AR711" s="6" t="s">
        <v>63</v>
      </c>
      <c r="AS711" s="6" t="s">
        <v>57</v>
      </c>
      <c r="AT711" s="25" t="str">
        <f aca="false">HYPERLINK("http://catalog.hathitrust.org/Record/010095179","HathiTrust Record")</f>
        <v>HathiTrust Record</v>
      </c>
      <c r="AU711" s="25" t="str">
        <f aca="false">HYPERLINK("https://creighton-primo.hosted.exlibrisgroup.com/primo-explore/search?tab=default_tab&amp;search_scope=EVERYTHING&amp;vid=01CRU&amp;lang=en_US&amp;offset=0&amp;query=any,contains,991001062489702656","Catalog Record")</f>
        <v>Catalog Record</v>
      </c>
      <c r="AV711" s="25" t="str">
        <f aca="false">HYPERLINK("http://www.worldcat.org/oclc/15791271","WorldCat Record")</f>
        <v>WorldCat Record</v>
      </c>
      <c r="AW711" s="6" t="s">
        <v>2585</v>
      </c>
      <c r="AX711" s="6" t="s">
        <v>2586</v>
      </c>
      <c r="AY711" s="6" t="s">
        <v>2587</v>
      </c>
      <c r="AZ711" s="6" t="s">
        <v>2587</v>
      </c>
      <c r="BA711" s="6" t="s">
        <v>2588</v>
      </c>
      <c r="BB711" s="6" t="s">
        <v>2589</v>
      </c>
      <c r="BC711" s="6" t="s">
        <v>2590</v>
      </c>
      <c r="BE711" s="15" t="s">
        <v>2145</v>
      </c>
      <c r="BF711" s="6" t="s">
        <v>2591</v>
      </c>
    </row>
    <row r="712" customFormat="false" ht="163" hidden="false" customHeight="false" outlineLevel="0" collapsed="false">
      <c r="A712" s="4" t="s">
        <v>63</v>
      </c>
      <c r="B712" s="5" t="s">
        <v>2129</v>
      </c>
      <c r="C712" s="5" t="s">
        <v>2130</v>
      </c>
      <c r="D712" s="5" t="s">
        <v>2592</v>
      </c>
      <c r="E712" s="5" t="s">
        <v>2593</v>
      </c>
      <c r="F712" s="5" t="s">
        <v>2594</v>
      </c>
      <c r="H712" s="6" t="s">
        <v>63</v>
      </c>
      <c r="I712" s="6" t="s">
        <v>62</v>
      </c>
      <c r="J712" s="6" t="s">
        <v>63</v>
      </c>
      <c r="K712" s="6" t="s">
        <v>63</v>
      </c>
      <c r="L712" s="6" t="s">
        <v>64</v>
      </c>
      <c r="M712" s="5" t="s">
        <v>2595</v>
      </c>
      <c r="N712" s="5" t="s">
        <v>2596</v>
      </c>
      <c r="O712" s="6" t="s">
        <v>2262</v>
      </c>
      <c r="Q712" s="6" t="s">
        <v>67</v>
      </c>
      <c r="R712" s="6" t="s">
        <v>401</v>
      </c>
      <c r="T712" s="6" t="s">
        <v>2137</v>
      </c>
      <c r="U712" s="7" t="n">
        <v>3</v>
      </c>
      <c r="V712" s="7" t="n">
        <v>3</v>
      </c>
      <c r="W712" s="8" t="s">
        <v>2597</v>
      </c>
      <c r="X712" s="8" t="s">
        <v>2597</v>
      </c>
      <c r="Y712" s="8" t="s">
        <v>2399</v>
      </c>
      <c r="Z712" s="8" t="s">
        <v>2399</v>
      </c>
      <c r="AA712" s="7" t="n">
        <v>298</v>
      </c>
      <c r="AB712" s="7" t="n">
        <v>254</v>
      </c>
      <c r="AC712" s="7" t="n">
        <v>256</v>
      </c>
      <c r="AD712" s="7" t="n">
        <v>1</v>
      </c>
      <c r="AE712" s="7" t="n">
        <v>1</v>
      </c>
      <c r="AF712" s="7" t="n">
        <v>23</v>
      </c>
      <c r="AG712" s="7" t="n">
        <v>23</v>
      </c>
      <c r="AH712" s="7" t="n">
        <v>10</v>
      </c>
      <c r="AI712" s="7" t="n">
        <v>10</v>
      </c>
      <c r="AJ712" s="7" t="n">
        <v>4</v>
      </c>
      <c r="AK712" s="7" t="n">
        <v>4</v>
      </c>
      <c r="AL712" s="7" t="n">
        <v>17</v>
      </c>
      <c r="AM712" s="7" t="n">
        <v>17</v>
      </c>
      <c r="AN712" s="7" t="n">
        <v>0</v>
      </c>
      <c r="AO712" s="7" t="n">
        <v>0</v>
      </c>
      <c r="AP712" s="7" t="n">
        <v>0</v>
      </c>
      <c r="AQ712" s="7" t="n">
        <v>0</v>
      </c>
      <c r="AR712" s="6" t="s">
        <v>63</v>
      </c>
      <c r="AS712" s="6" t="s">
        <v>57</v>
      </c>
      <c r="AT712" s="25" t="str">
        <f aca="false">HYPERLINK("http://catalog.hathitrust.org/Record/000630246","HathiTrust Record")</f>
        <v>HathiTrust Record</v>
      </c>
      <c r="AU712" s="25" t="str">
        <f aca="false">HYPERLINK("https://creighton-primo.hosted.exlibrisgroup.com/primo-explore/search?tab=default_tab&amp;search_scope=EVERYTHING&amp;vid=01CRU&amp;lang=en_US&amp;offset=0&amp;query=any,contains,991000786419702656","Catalog Record")</f>
        <v>Catalog Record</v>
      </c>
      <c r="AV712" s="25" t="str">
        <f aca="false">HYPERLINK("http://www.worldcat.org/oclc/13124959","WorldCat Record")</f>
        <v>WorldCat Record</v>
      </c>
      <c r="AW712" s="6" t="s">
        <v>2598</v>
      </c>
      <c r="AX712" s="6" t="s">
        <v>2599</v>
      </c>
      <c r="AY712" s="6" t="s">
        <v>2600</v>
      </c>
      <c r="AZ712" s="6" t="s">
        <v>2600</v>
      </c>
      <c r="BA712" s="6" t="s">
        <v>2601</v>
      </c>
      <c r="BB712" s="6" t="s">
        <v>2602</v>
      </c>
      <c r="BC712" s="6" t="s">
        <v>2603</v>
      </c>
      <c r="BE712" s="15" t="s">
        <v>2145</v>
      </c>
      <c r="BF712" s="6" t="s">
        <v>2604</v>
      </c>
    </row>
    <row r="713" customFormat="false" ht="71" hidden="false" customHeight="false" outlineLevel="0" collapsed="false">
      <c r="A713" s="4" t="s">
        <v>63</v>
      </c>
      <c r="B713" s="5" t="s">
        <v>2129</v>
      </c>
      <c r="C713" s="5" t="s">
        <v>2130</v>
      </c>
      <c r="D713" s="5" t="s">
        <v>2605</v>
      </c>
      <c r="E713" s="5" t="s">
        <v>2606</v>
      </c>
      <c r="F713" s="5" t="s">
        <v>2607</v>
      </c>
      <c r="H713" s="6" t="s">
        <v>63</v>
      </c>
      <c r="I713" s="6" t="s">
        <v>62</v>
      </c>
      <c r="J713" s="6" t="s">
        <v>63</v>
      </c>
      <c r="K713" s="6" t="s">
        <v>63</v>
      </c>
      <c r="L713" s="6" t="s">
        <v>64</v>
      </c>
      <c r="M713" s="5" t="s">
        <v>2608</v>
      </c>
      <c r="N713" s="5" t="s">
        <v>2609</v>
      </c>
      <c r="O713" s="6" t="s">
        <v>2610</v>
      </c>
      <c r="Q713" s="6" t="s">
        <v>67</v>
      </c>
      <c r="R713" s="6" t="s">
        <v>68</v>
      </c>
      <c r="T713" s="6" t="s">
        <v>2137</v>
      </c>
      <c r="U713" s="7" t="n">
        <v>2</v>
      </c>
      <c r="V713" s="7" t="n">
        <v>2</v>
      </c>
      <c r="W713" s="8" t="s">
        <v>2611</v>
      </c>
      <c r="X713" s="8" t="s">
        <v>2611</v>
      </c>
      <c r="Y713" s="8" t="s">
        <v>2139</v>
      </c>
      <c r="Z713" s="8" t="s">
        <v>2139</v>
      </c>
      <c r="AA713" s="7" t="n">
        <v>141</v>
      </c>
      <c r="AB713" s="7" t="n">
        <v>128</v>
      </c>
      <c r="AC713" s="7" t="n">
        <v>162</v>
      </c>
      <c r="AD713" s="7" t="n">
        <v>1</v>
      </c>
      <c r="AE713" s="7" t="n">
        <v>3</v>
      </c>
      <c r="AF713" s="7" t="n">
        <v>22</v>
      </c>
      <c r="AG713" s="7" t="n">
        <v>25</v>
      </c>
      <c r="AH713" s="7" t="n">
        <v>5</v>
      </c>
      <c r="AI713" s="7" t="n">
        <v>5</v>
      </c>
      <c r="AJ713" s="7" t="n">
        <v>6</v>
      </c>
      <c r="AK713" s="7" t="n">
        <v>7</v>
      </c>
      <c r="AL713" s="7" t="n">
        <v>18</v>
      </c>
      <c r="AM713" s="7" t="n">
        <v>19</v>
      </c>
      <c r="AN713" s="7" t="n">
        <v>0</v>
      </c>
      <c r="AO713" s="7" t="n">
        <v>1</v>
      </c>
      <c r="AP713" s="7" t="n">
        <v>1</v>
      </c>
      <c r="AQ713" s="7" t="n">
        <v>1</v>
      </c>
      <c r="AR713" s="6" t="s">
        <v>57</v>
      </c>
      <c r="AS713" s="6" t="s">
        <v>63</v>
      </c>
      <c r="AT713" s="25" t="str">
        <f aca="false">HYPERLINK("http://catalog.hathitrust.org/Record/001390089","HathiTrust Record")</f>
        <v>HathiTrust Record</v>
      </c>
      <c r="AU713" s="25" t="str">
        <f aca="false">HYPERLINK("https://creighton-primo.hosted.exlibrisgroup.com/primo-explore/search?tab=default_tab&amp;search_scope=EVERYTHING&amp;vid=01CRU&amp;lang=en_US&amp;offset=0&amp;query=any,contains,991003941899702656","Catalog Record")</f>
        <v>Catalog Record</v>
      </c>
      <c r="AV713" s="25" t="str">
        <f aca="false">HYPERLINK("http://www.worldcat.org/oclc/1934129","WorldCat Record")</f>
        <v>WorldCat Record</v>
      </c>
      <c r="AW713" s="6" t="s">
        <v>2612</v>
      </c>
      <c r="AX713" s="6" t="s">
        <v>2613</v>
      </c>
      <c r="AY713" s="6" t="s">
        <v>2614</v>
      </c>
      <c r="AZ713" s="6" t="s">
        <v>2614</v>
      </c>
      <c r="BA713" s="6" t="s">
        <v>2615</v>
      </c>
      <c r="BC713" s="6" t="s">
        <v>2616</v>
      </c>
      <c r="BE713" s="15" t="s">
        <v>2145</v>
      </c>
      <c r="BF713" s="6" t="s">
        <v>2617</v>
      </c>
    </row>
    <row r="714" customFormat="false" ht="117" hidden="false" customHeight="false" outlineLevel="0" collapsed="false">
      <c r="A714" s="4" t="s">
        <v>63</v>
      </c>
      <c r="B714" s="5" t="s">
        <v>2129</v>
      </c>
      <c r="C714" s="5" t="s">
        <v>2130</v>
      </c>
      <c r="D714" s="5" t="s">
        <v>2618</v>
      </c>
      <c r="E714" s="5" t="s">
        <v>2619</v>
      </c>
      <c r="F714" s="5" t="s">
        <v>2620</v>
      </c>
      <c r="H714" s="6" t="s">
        <v>63</v>
      </c>
      <c r="I714" s="6" t="s">
        <v>62</v>
      </c>
      <c r="J714" s="6" t="s">
        <v>63</v>
      </c>
      <c r="K714" s="6" t="s">
        <v>63</v>
      </c>
      <c r="L714" s="6" t="s">
        <v>64</v>
      </c>
      <c r="M714" s="5" t="s">
        <v>2621</v>
      </c>
      <c r="N714" s="5" t="s">
        <v>2622</v>
      </c>
      <c r="O714" s="6" t="s">
        <v>2623</v>
      </c>
      <c r="Q714" s="6" t="s">
        <v>67</v>
      </c>
      <c r="R714" s="6" t="s">
        <v>1086</v>
      </c>
      <c r="T714" s="6" t="s">
        <v>2137</v>
      </c>
      <c r="U714" s="7" t="n">
        <v>5</v>
      </c>
      <c r="V714" s="7" t="n">
        <v>5</v>
      </c>
      <c r="W714" s="8" t="s">
        <v>2624</v>
      </c>
      <c r="X714" s="8" t="s">
        <v>2624</v>
      </c>
      <c r="Y714" s="8" t="s">
        <v>2399</v>
      </c>
      <c r="Z714" s="8" t="s">
        <v>2399</v>
      </c>
      <c r="AA714" s="7" t="n">
        <v>127</v>
      </c>
      <c r="AB714" s="7" t="n">
        <v>92</v>
      </c>
      <c r="AC714" s="7" t="n">
        <v>122</v>
      </c>
      <c r="AD714" s="7" t="n">
        <v>1</v>
      </c>
      <c r="AE714" s="7" t="n">
        <v>1</v>
      </c>
      <c r="AF714" s="7" t="n">
        <v>15</v>
      </c>
      <c r="AG714" s="7" t="n">
        <v>17</v>
      </c>
      <c r="AH714" s="7" t="n">
        <v>2</v>
      </c>
      <c r="AI714" s="7" t="n">
        <v>3</v>
      </c>
      <c r="AJ714" s="7" t="n">
        <v>4</v>
      </c>
      <c r="AK714" s="7" t="n">
        <v>4</v>
      </c>
      <c r="AL714" s="7" t="n">
        <v>13</v>
      </c>
      <c r="AM714" s="7" t="n">
        <v>15</v>
      </c>
      <c r="AN714" s="7" t="n">
        <v>0</v>
      </c>
      <c r="AO714" s="7" t="n">
        <v>0</v>
      </c>
      <c r="AP714" s="7" t="n">
        <v>0</v>
      </c>
      <c r="AQ714" s="7" t="n">
        <v>0</v>
      </c>
      <c r="AR714" s="6" t="s">
        <v>63</v>
      </c>
      <c r="AS714" s="6" t="s">
        <v>57</v>
      </c>
      <c r="AT714" s="25" t="str">
        <f aca="false">HYPERLINK("http://catalog.hathitrust.org/Record/101883167","HathiTrust Record")</f>
        <v>HathiTrust Record</v>
      </c>
      <c r="AU714" s="25" t="str">
        <f aca="false">HYPERLINK("https://creighton-primo.hosted.exlibrisgroup.com/primo-explore/search?tab=default_tab&amp;search_scope=EVERYTHING&amp;vid=01CRU&amp;lang=en_US&amp;offset=0&amp;query=any,contains,991005243949702656","Catalog Record")</f>
        <v>Catalog Record</v>
      </c>
      <c r="AV714" s="25" t="str">
        <f aca="false">HYPERLINK("http://www.worldcat.org/oclc/8442166","WorldCat Record")</f>
        <v>WorldCat Record</v>
      </c>
      <c r="AW714" s="6" t="s">
        <v>2625</v>
      </c>
      <c r="AX714" s="6" t="s">
        <v>2626</v>
      </c>
      <c r="AY714" s="6" t="s">
        <v>2627</v>
      </c>
      <c r="AZ714" s="6" t="s">
        <v>2627</v>
      </c>
      <c r="BA714" s="6" t="s">
        <v>2628</v>
      </c>
      <c r="BC714" s="6" t="s">
        <v>2629</v>
      </c>
      <c r="BE714" s="15" t="s">
        <v>2145</v>
      </c>
      <c r="BF714" s="6" t="s">
        <v>2630</v>
      </c>
    </row>
    <row r="715" customFormat="false" ht="105.5" hidden="false" customHeight="false" outlineLevel="0" collapsed="false">
      <c r="A715" s="4" t="s">
        <v>63</v>
      </c>
      <c r="B715" s="5" t="s">
        <v>2129</v>
      </c>
      <c r="C715" s="5" t="s">
        <v>2130</v>
      </c>
      <c r="D715" s="5" t="s">
        <v>2631</v>
      </c>
      <c r="E715" s="5" t="s">
        <v>2632</v>
      </c>
      <c r="F715" s="5" t="s">
        <v>2633</v>
      </c>
      <c r="H715" s="6" t="s">
        <v>63</v>
      </c>
      <c r="I715" s="6" t="s">
        <v>62</v>
      </c>
      <c r="J715" s="6" t="s">
        <v>63</v>
      </c>
      <c r="K715" s="6" t="s">
        <v>63</v>
      </c>
      <c r="L715" s="6" t="s">
        <v>64</v>
      </c>
      <c r="M715" s="5" t="s">
        <v>2634</v>
      </c>
      <c r="N715" s="5" t="s">
        <v>2635</v>
      </c>
      <c r="O715" s="6" t="s">
        <v>2636</v>
      </c>
      <c r="P715" s="5" t="s">
        <v>2637</v>
      </c>
      <c r="Q715" s="6" t="s">
        <v>67</v>
      </c>
      <c r="R715" s="6" t="s">
        <v>68</v>
      </c>
      <c r="S715" s="5" t="s">
        <v>2638</v>
      </c>
      <c r="T715" s="6" t="s">
        <v>2137</v>
      </c>
      <c r="U715" s="7" t="n">
        <v>10</v>
      </c>
      <c r="V715" s="7" t="n">
        <v>10</v>
      </c>
      <c r="W715" s="8" t="s">
        <v>2639</v>
      </c>
      <c r="X715" s="8" t="s">
        <v>2639</v>
      </c>
      <c r="Y715" s="8" t="s">
        <v>2139</v>
      </c>
      <c r="Z715" s="8" t="s">
        <v>2139</v>
      </c>
      <c r="AA715" s="7" t="n">
        <v>117</v>
      </c>
      <c r="AB715" s="7" t="n">
        <v>89</v>
      </c>
      <c r="AC715" s="7" t="n">
        <v>356</v>
      </c>
      <c r="AD715" s="7" t="n">
        <v>1</v>
      </c>
      <c r="AE715" s="7" t="n">
        <v>4</v>
      </c>
      <c r="AF715" s="7" t="n">
        <v>11</v>
      </c>
      <c r="AG715" s="7" t="n">
        <v>34</v>
      </c>
      <c r="AH715" s="7" t="n">
        <v>4</v>
      </c>
      <c r="AI715" s="7" t="n">
        <v>11</v>
      </c>
      <c r="AJ715" s="7" t="n">
        <v>5</v>
      </c>
      <c r="AK715" s="7" t="n">
        <v>8</v>
      </c>
      <c r="AL715" s="7" t="n">
        <v>7</v>
      </c>
      <c r="AM715" s="7" t="n">
        <v>16</v>
      </c>
      <c r="AN715" s="7" t="n">
        <v>0</v>
      </c>
      <c r="AO715" s="7" t="n">
        <v>1</v>
      </c>
      <c r="AP715" s="7" t="n">
        <v>0</v>
      </c>
      <c r="AQ715" s="7" t="n">
        <v>7</v>
      </c>
      <c r="AR715" s="6" t="s">
        <v>57</v>
      </c>
      <c r="AS715" s="6" t="s">
        <v>63</v>
      </c>
      <c r="AT715" s="25" t="str">
        <f aca="false">HYPERLINK("http://catalog.hathitrust.org/Record/007691897","HathiTrust Record")</f>
        <v>HathiTrust Record</v>
      </c>
      <c r="AU715" s="25" t="str">
        <f aca="false">HYPERLINK("https://creighton-primo.hosted.exlibrisgroup.com/primo-explore/search?tab=default_tab&amp;search_scope=EVERYTHING&amp;vid=01CRU&amp;lang=en_US&amp;offset=0&amp;query=any,contains,991004207809702656","Catalog Record")</f>
        <v>Catalog Record</v>
      </c>
      <c r="AV715" s="25" t="str">
        <f aca="false">HYPERLINK("http://www.worldcat.org/oclc/2672442","WorldCat Record")</f>
        <v>WorldCat Record</v>
      </c>
      <c r="AW715" s="6" t="s">
        <v>2640</v>
      </c>
      <c r="AX715" s="6" t="s">
        <v>2641</v>
      </c>
      <c r="AY715" s="6" t="s">
        <v>2642</v>
      </c>
      <c r="AZ715" s="6" t="s">
        <v>2642</v>
      </c>
      <c r="BA715" s="6" t="s">
        <v>2643</v>
      </c>
      <c r="BC715" s="6" t="s">
        <v>2644</v>
      </c>
      <c r="BE715" s="15" t="s">
        <v>2145</v>
      </c>
      <c r="BF715" s="6" t="s">
        <v>2645</v>
      </c>
    </row>
    <row r="716" customFormat="false" ht="94" hidden="false" customHeight="false" outlineLevel="0" collapsed="false">
      <c r="A716" s="4" t="s">
        <v>63</v>
      </c>
      <c r="B716" s="5" t="s">
        <v>2129</v>
      </c>
      <c r="C716" s="5" t="s">
        <v>2130</v>
      </c>
      <c r="D716" s="5" t="s">
        <v>2646</v>
      </c>
      <c r="E716" s="5" t="s">
        <v>2647</v>
      </c>
      <c r="F716" s="5" t="s">
        <v>2648</v>
      </c>
      <c r="H716" s="6" t="s">
        <v>63</v>
      </c>
      <c r="I716" s="6" t="s">
        <v>62</v>
      </c>
      <c r="J716" s="6" t="s">
        <v>63</v>
      </c>
      <c r="K716" s="6" t="s">
        <v>63</v>
      </c>
      <c r="L716" s="6" t="s">
        <v>64</v>
      </c>
      <c r="M716" s="5" t="s">
        <v>2649</v>
      </c>
      <c r="N716" s="5" t="s">
        <v>2650</v>
      </c>
      <c r="O716" s="6" t="s">
        <v>2651</v>
      </c>
      <c r="Q716" s="6" t="s">
        <v>67</v>
      </c>
      <c r="R716" s="6" t="s">
        <v>68</v>
      </c>
      <c r="T716" s="6" t="s">
        <v>2137</v>
      </c>
      <c r="U716" s="7" t="n">
        <v>3</v>
      </c>
      <c r="V716" s="7" t="n">
        <v>3</v>
      </c>
      <c r="W716" s="8" t="s">
        <v>2652</v>
      </c>
      <c r="X716" s="8" t="s">
        <v>2652</v>
      </c>
      <c r="Y716" s="8" t="s">
        <v>2653</v>
      </c>
      <c r="Z716" s="8" t="s">
        <v>2653</v>
      </c>
      <c r="AA716" s="7" t="n">
        <v>82</v>
      </c>
      <c r="AB716" s="7" t="n">
        <v>74</v>
      </c>
      <c r="AC716" s="7" t="n">
        <v>124</v>
      </c>
      <c r="AD716" s="7" t="n">
        <v>4</v>
      </c>
      <c r="AE716" s="7" t="n">
        <v>4</v>
      </c>
      <c r="AF716" s="7" t="n">
        <v>10</v>
      </c>
      <c r="AG716" s="7" t="n">
        <v>15</v>
      </c>
      <c r="AH716" s="7" t="n">
        <v>2</v>
      </c>
      <c r="AI716" s="7" t="n">
        <v>3</v>
      </c>
      <c r="AJ716" s="7" t="n">
        <v>4</v>
      </c>
      <c r="AK716" s="7" t="n">
        <v>5</v>
      </c>
      <c r="AL716" s="7" t="n">
        <v>9</v>
      </c>
      <c r="AM716" s="7" t="n">
        <v>13</v>
      </c>
      <c r="AN716" s="7" t="n">
        <v>0</v>
      </c>
      <c r="AO716" s="7" t="n">
        <v>0</v>
      </c>
      <c r="AP716" s="7" t="n">
        <v>0</v>
      </c>
      <c r="AQ716" s="7" t="n">
        <v>0</v>
      </c>
      <c r="AR716" s="6" t="s">
        <v>63</v>
      </c>
      <c r="AS716" s="6" t="s">
        <v>63</v>
      </c>
      <c r="AU716" s="25" t="str">
        <f aca="false">HYPERLINK("https://creighton-primo.hosted.exlibrisgroup.com/primo-explore/search?tab=default_tab&amp;search_scope=EVERYTHING&amp;vid=01CRU&amp;lang=en_US&amp;offset=0&amp;query=any,contains,991003907689702656","Catalog Record")</f>
        <v>Catalog Record</v>
      </c>
      <c r="AV716" s="25" t="str">
        <f aca="false">HYPERLINK("http://www.worldcat.org/oclc/1843412","WorldCat Record")</f>
        <v>WorldCat Record</v>
      </c>
      <c r="AW716" s="6" t="s">
        <v>2654</v>
      </c>
      <c r="AX716" s="6" t="s">
        <v>2655</v>
      </c>
      <c r="AY716" s="6" t="s">
        <v>2656</v>
      </c>
      <c r="AZ716" s="6" t="s">
        <v>2656</v>
      </c>
      <c r="BA716" s="6" t="s">
        <v>2657</v>
      </c>
      <c r="BC716" s="6" t="s">
        <v>2658</v>
      </c>
      <c r="BE716" s="15" t="s">
        <v>2145</v>
      </c>
      <c r="BF716" s="6" t="s">
        <v>2659</v>
      </c>
    </row>
    <row r="717" customFormat="false" ht="71" hidden="false" customHeight="false" outlineLevel="0" collapsed="false">
      <c r="A717" s="4" t="s">
        <v>63</v>
      </c>
      <c r="B717" s="5" t="s">
        <v>2129</v>
      </c>
      <c r="C717" s="5" t="s">
        <v>2130</v>
      </c>
      <c r="D717" s="5" t="s">
        <v>2660</v>
      </c>
      <c r="E717" s="5" t="s">
        <v>2661</v>
      </c>
      <c r="F717" s="5" t="s">
        <v>2662</v>
      </c>
      <c r="H717" s="6" t="s">
        <v>63</v>
      </c>
      <c r="I717" s="6" t="s">
        <v>62</v>
      </c>
      <c r="J717" s="6" t="s">
        <v>63</v>
      </c>
      <c r="K717" s="6" t="s">
        <v>63</v>
      </c>
      <c r="L717" s="6" t="s">
        <v>64</v>
      </c>
      <c r="M717" s="5" t="s">
        <v>2663</v>
      </c>
      <c r="N717" s="5" t="s">
        <v>2664</v>
      </c>
      <c r="O717" s="6" t="s">
        <v>2665</v>
      </c>
      <c r="Q717" s="6" t="s">
        <v>67</v>
      </c>
      <c r="R717" s="6" t="s">
        <v>1059</v>
      </c>
      <c r="T717" s="6" t="s">
        <v>2137</v>
      </c>
      <c r="U717" s="7" t="n">
        <v>4</v>
      </c>
      <c r="V717" s="7" t="n">
        <v>4</v>
      </c>
      <c r="W717" s="8" t="s">
        <v>2666</v>
      </c>
      <c r="X717" s="8" t="s">
        <v>2666</v>
      </c>
      <c r="Y717" s="8" t="s">
        <v>2667</v>
      </c>
      <c r="Z717" s="8" t="s">
        <v>2667</v>
      </c>
      <c r="AA717" s="7" t="n">
        <v>198</v>
      </c>
      <c r="AB717" s="7" t="n">
        <v>175</v>
      </c>
      <c r="AC717" s="7" t="n">
        <v>193</v>
      </c>
      <c r="AD717" s="7" t="n">
        <v>2</v>
      </c>
      <c r="AE717" s="7" t="n">
        <v>2</v>
      </c>
      <c r="AF717" s="7" t="n">
        <v>14</v>
      </c>
      <c r="AG717" s="7" t="n">
        <v>16</v>
      </c>
      <c r="AH717" s="7" t="n">
        <v>8</v>
      </c>
      <c r="AI717" s="7" t="n">
        <v>8</v>
      </c>
      <c r="AJ717" s="7" t="n">
        <v>2</v>
      </c>
      <c r="AK717" s="7" t="n">
        <v>4</v>
      </c>
      <c r="AL717" s="7" t="n">
        <v>7</v>
      </c>
      <c r="AM717" s="7" t="n">
        <v>8</v>
      </c>
      <c r="AN717" s="7" t="n">
        <v>0</v>
      </c>
      <c r="AO717" s="7" t="n">
        <v>0</v>
      </c>
      <c r="AP717" s="7" t="n">
        <v>0</v>
      </c>
      <c r="AQ717" s="7" t="n">
        <v>0</v>
      </c>
      <c r="AR717" s="6" t="s">
        <v>63</v>
      </c>
      <c r="AS717" s="6" t="s">
        <v>57</v>
      </c>
      <c r="AT717" s="25" t="str">
        <f aca="false">HYPERLINK("http://catalog.hathitrust.org/Record/006015419","HathiTrust Record")</f>
        <v>HathiTrust Record</v>
      </c>
      <c r="AU717" s="25" t="str">
        <f aca="false">HYPERLINK("https://creighton-primo.hosted.exlibrisgroup.com/primo-explore/search?tab=default_tab&amp;search_scope=EVERYTHING&amp;vid=01CRU&amp;lang=en_US&amp;offset=0&amp;query=any,contains,991002854519702656","Catalog Record")</f>
        <v>Catalog Record</v>
      </c>
      <c r="AV717" s="25" t="str">
        <f aca="false">HYPERLINK("http://www.worldcat.org/oclc/488514","WorldCat Record")</f>
        <v>WorldCat Record</v>
      </c>
      <c r="AW717" s="6" t="s">
        <v>2668</v>
      </c>
      <c r="AX717" s="6" t="s">
        <v>2669</v>
      </c>
      <c r="AY717" s="6" t="s">
        <v>2670</v>
      </c>
      <c r="AZ717" s="6" t="s">
        <v>2670</v>
      </c>
      <c r="BA717" s="6" t="s">
        <v>2671</v>
      </c>
      <c r="BB717" s="6" t="s">
        <v>2672</v>
      </c>
      <c r="BC717" s="6" t="s">
        <v>2673</v>
      </c>
      <c r="BE717" s="15" t="s">
        <v>2145</v>
      </c>
      <c r="BF717" s="6" t="s">
        <v>2674</v>
      </c>
    </row>
    <row r="718" customFormat="false" ht="209" hidden="false" customHeight="false" outlineLevel="0" collapsed="false">
      <c r="A718" s="4" t="s">
        <v>63</v>
      </c>
      <c r="B718" s="5" t="s">
        <v>2129</v>
      </c>
      <c r="C718" s="5" t="s">
        <v>2130</v>
      </c>
      <c r="D718" s="5" t="s">
        <v>2675</v>
      </c>
      <c r="E718" s="5" t="s">
        <v>2676</v>
      </c>
      <c r="F718" s="5" t="s">
        <v>2677</v>
      </c>
      <c r="H718" s="6" t="s">
        <v>63</v>
      </c>
      <c r="I718" s="6" t="s">
        <v>62</v>
      </c>
      <c r="J718" s="6" t="s">
        <v>63</v>
      </c>
      <c r="K718" s="6" t="s">
        <v>63</v>
      </c>
      <c r="L718" s="6" t="s">
        <v>64</v>
      </c>
      <c r="M718" s="5" t="s">
        <v>2678</v>
      </c>
      <c r="N718" s="5" t="s">
        <v>2679</v>
      </c>
      <c r="O718" s="6" t="s">
        <v>66</v>
      </c>
      <c r="Q718" s="6" t="s">
        <v>67</v>
      </c>
      <c r="R718" s="6" t="s">
        <v>2288</v>
      </c>
      <c r="T718" s="6" t="s">
        <v>2137</v>
      </c>
      <c r="U718" s="7" t="n">
        <v>1</v>
      </c>
      <c r="V718" s="7" t="n">
        <v>1</v>
      </c>
      <c r="W718" s="8" t="s">
        <v>2680</v>
      </c>
      <c r="X718" s="8" t="s">
        <v>2680</v>
      </c>
      <c r="Y718" s="8" t="s">
        <v>2667</v>
      </c>
      <c r="Z718" s="8" t="s">
        <v>2667</v>
      </c>
      <c r="AA718" s="7" t="n">
        <v>177</v>
      </c>
      <c r="AB718" s="7" t="n">
        <v>152</v>
      </c>
      <c r="AC718" s="7" t="n">
        <v>236</v>
      </c>
      <c r="AD718" s="7" t="n">
        <v>1</v>
      </c>
      <c r="AE718" s="7" t="n">
        <v>1</v>
      </c>
      <c r="AF718" s="7" t="n">
        <v>10</v>
      </c>
      <c r="AG718" s="7" t="n">
        <v>13</v>
      </c>
      <c r="AH718" s="7" t="n">
        <v>2</v>
      </c>
      <c r="AI718" s="7" t="n">
        <v>5</v>
      </c>
      <c r="AJ718" s="7" t="n">
        <v>4</v>
      </c>
      <c r="AK718" s="7" t="n">
        <v>4</v>
      </c>
      <c r="AL718" s="7" t="n">
        <v>7</v>
      </c>
      <c r="AM718" s="7" t="n">
        <v>8</v>
      </c>
      <c r="AN718" s="7" t="n">
        <v>0</v>
      </c>
      <c r="AO718" s="7" t="n">
        <v>0</v>
      </c>
      <c r="AP718" s="7" t="n">
        <v>0</v>
      </c>
      <c r="AQ718" s="7" t="n">
        <v>0</v>
      </c>
      <c r="AR718" s="6" t="s">
        <v>63</v>
      </c>
      <c r="AS718" s="6" t="s">
        <v>57</v>
      </c>
      <c r="AT718" s="25" t="str">
        <f aca="false">HYPERLINK("http://catalog.hathitrust.org/Record/002635918","HathiTrust Record")</f>
        <v>HathiTrust Record</v>
      </c>
      <c r="AU718" s="25" t="str">
        <f aca="false">HYPERLINK("https://creighton-primo.hosted.exlibrisgroup.com/primo-explore/search?tab=default_tab&amp;search_scope=EVERYTHING&amp;vid=01CRU&amp;lang=en_US&amp;offset=0&amp;query=any,contains,991002111139702656","Catalog Record")</f>
        <v>Catalog Record</v>
      </c>
      <c r="AV718" s="25" t="str">
        <f aca="false">HYPERLINK("http://www.worldcat.org/oclc/27066280","WorldCat Record")</f>
        <v>WorldCat Record</v>
      </c>
      <c r="AW718" s="6" t="s">
        <v>2681</v>
      </c>
      <c r="AX718" s="6" t="s">
        <v>2682</v>
      </c>
      <c r="AY718" s="6" t="s">
        <v>2683</v>
      </c>
      <c r="AZ718" s="6" t="s">
        <v>2683</v>
      </c>
      <c r="BA718" s="6" t="s">
        <v>2684</v>
      </c>
      <c r="BB718" s="6" t="s">
        <v>2685</v>
      </c>
      <c r="BC718" s="6" t="s">
        <v>2686</v>
      </c>
      <c r="BE718" s="15" t="s">
        <v>2145</v>
      </c>
      <c r="BF718" s="6" t="s">
        <v>2687</v>
      </c>
    </row>
    <row r="719" customFormat="false" ht="59.5" hidden="false" customHeight="false" outlineLevel="0" collapsed="false">
      <c r="A719" s="4" t="s">
        <v>63</v>
      </c>
      <c r="B719" s="5" t="s">
        <v>2129</v>
      </c>
      <c r="C719" s="5" t="s">
        <v>2130</v>
      </c>
      <c r="D719" s="5" t="s">
        <v>2688</v>
      </c>
      <c r="E719" s="5" t="s">
        <v>2689</v>
      </c>
      <c r="F719" s="5" t="s">
        <v>2690</v>
      </c>
      <c r="H719" s="6" t="s">
        <v>63</v>
      </c>
      <c r="I719" s="6" t="s">
        <v>62</v>
      </c>
      <c r="J719" s="6" t="s">
        <v>63</v>
      </c>
      <c r="K719" s="6" t="s">
        <v>63</v>
      </c>
      <c r="L719" s="6" t="s">
        <v>64</v>
      </c>
      <c r="M719" s="5" t="s">
        <v>2691</v>
      </c>
      <c r="N719" s="5" t="s">
        <v>2692</v>
      </c>
      <c r="O719" s="6" t="s">
        <v>2693</v>
      </c>
      <c r="Q719" s="6" t="s">
        <v>67</v>
      </c>
      <c r="R719" s="6" t="s">
        <v>384</v>
      </c>
      <c r="T719" s="6" t="s">
        <v>2137</v>
      </c>
      <c r="U719" s="7" t="n">
        <v>1</v>
      </c>
      <c r="V719" s="7" t="n">
        <v>1</v>
      </c>
      <c r="W719" s="8" t="s">
        <v>2694</v>
      </c>
      <c r="X719" s="8" t="s">
        <v>2694</v>
      </c>
      <c r="Y719" s="8" t="s">
        <v>2695</v>
      </c>
      <c r="Z719" s="8" t="s">
        <v>2695</v>
      </c>
      <c r="AA719" s="7" t="n">
        <v>201</v>
      </c>
      <c r="AB719" s="7" t="n">
        <v>137</v>
      </c>
      <c r="AC719" s="7" t="n">
        <v>142</v>
      </c>
      <c r="AD719" s="7" t="n">
        <v>2</v>
      </c>
      <c r="AE719" s="7" t="n">
        <v>2</v>
      </c>
      <c r="AF719" s="7" t="n">
        <v>10</v>
      </c>
      <c r="AG719" s="7" t="n">
        <v>10</v>
      </c>
      <c r="AH719" s="7" t="n">
        <v>2</v>
      </c>
      <c r="AI719" s="7" t="n">
        <v>2</v>
      </c>
      <c r="AJ719" s="7" t="n">
        <v>3</v>
      </c>
      <c r="AK719" s="7" t="n">
        <v>3</v>
      </c>
      <c r="AL719" s="7" t="n">
        <v>5</v>
      </c>
      <c r="AM719" s="7" t="n">
        <v>5</v>
      </c>
      <c r="AN719" s="7" t="n">
        <v>1</v>
      </c>
      <c r="AO719" s="7" t="n">
        <v>1</v>
      </c>
      <c r="AP719" s="7" t="n">
        <v>0</v>
      </c>
      <c r="AQ719" s="7" t="n">
        <v>0</v>
      </c>
      <c r="AR719" s="6" t="s">
        <v>63</v>
      </c>
      <c r="AS719" s="6" t="s">
        <v>63</v>
      </c>
      <c r="AU719" s="25" t="str">
        <f aca="false">HYPERLINK("https://creighton-primo.hosted.exlibrisgroup.com/primo-explore/search?tab=default_tab&amp;search_scope=EVERYTHING&amp;vid=01CRU&amp;lang=en_US&amp;offset=0&amp;query=any,contains,991000098359702656","Catalog Record")</f>
        <v>Catalog Record</v>
      </c>
      <c r="AV719" s="25" t="str">
        <f aca="false">HYPERLINK("http://www.worldcat.org/oclc/43242","WorldCat Record")</f>
        <v>WorldCat Record</v>
      </c>
      <c r="AW719" s="6" t="s">
        <v>2696</v>
      </c>
      <c r="AX719" s="6" t="s">
        <v>2697</v>
      </c>
      <c r="AY719" s="6" t="s">
        <v>2698</v>
      </c>
      <c r="AZ719" s="6" t="s">
        <v>2698</v>
      </c>
      <c r="BA719" s="6" t="s">
        <v>2699</v>
      </c>
      <c r="BB719" s="6" t="s">
        <v>2700</v>
      </c>
      <c r="BC719" s="6" t="s">
        <v>2701</v>
      </c>
      <c r="BE719" s="15" t="s">
        <v>2145</v>
      </c>
      <c r="BF719" s="6" t="s">
        <v>2702</v>
      </c>
    </row>
    <row r="720" customFormat="false" ht="151.5" hidden="false" customHeight="false" outlineLevel="0" collapsed="false">
      <c r="A720" s="4" t="s">
        <v>63</v>
      </c>
      <c r="B720" s="5" t="s">
        <v>2129</v>
      </c>
      <c r="C720" s="5" t="s">
        <v>2130</v>
      </c>
      <c r="D720" s="5" t="s">
        <v>2703</v>
      </c>
      <c r="E720" s="5" t="s">
        <v>2704</v>
      </c>
      <c r="F720" s="5" t="s">
        <v>2705</v>
      </c>
      <c r="H720" s="6" t="s">
        <v>63</v>
      </c>
      <c r="I720" s="6" t="s">
        <v>62</v>
      </c>
      <c r="J720" s="6" t="s">
        <v>63</v>
      </c>
      <c r="K720" s="6" t="s">
        <v>63</v>
      </c>
      <c r="L720" s="6" t="s">
        <v>64</v>
      </c>
      <c r="N720" s="5" t="s">
        <v>2706</v>
      </c>
      <c r="O720" s="6" t="s">
        <v>2623</v>
      </c>
      <c r="Q720" s="6" t="s">
        <v>67</v>
      </c>
      <c r="R720" s="6" t="s">
        <v>68</v>
      </c>
      <c r="S720" s="5" t="s">
        <v>2707</v>
      </c>
      <c r="T720" s="6" t="s">
        <v>2137</v>
      </c>
      <c r="U720" s="7" t="n">
        <v>5</v>
      </c>
      <c r="V720" s="7" t="n">
        <v>5</v>
      </c>
      <c r="W720" s="8" t="s">
        <v>2708</v>
      </c>
      <c r="X720" s="8" t="s">
        <v>2708</v>
      </c>
      <c r="Y720" s="8" t="s">
        <v>2709</v>
      </c>
      <c r="Z720" s="8" t="s">
        <v>2709</v>
      </c>
      <c r="AA720" s="7" t="n">
        <v>409</v>
      </c>
      <c r="AB720" s="7" t="n">
        <v>341</v>
      </c>
      <c r="AC720" s="7" t="n">
        <v>349</v>
      </c>
      <c r="AD720" s="7" t="n">
        <v>3</v>
      </c>
      <c r="AE720" s="7" t="n">
        <v>3</v>
      </c>
      <c r="AF720" s="7" t="n">
        <v>35</v>
      </c>
      <c r="AG720" s="7" t="n">
        <v>35</v>
      </c>
      <c r="AH720" s="7" t="n">
        <v>15</v>
      </c>
      <c r="AI720" s="7" t="n">
        <v>15</v>
      </c>
      <c r="AJ720" s="7" t="n">
        <v>7</v>
      </c>
      <c r="AK720" s="7" t="n">
        <v>7</v>
      </c>
      <c r="AL720" s="7" t="n">
        <v>24</v>
      </c>
      <c r="AM720" s="7" t="n">
        <v>24</v>
      </c>
      <c r="AN720" s="7" t="n">
        <v>1</v>
      </c>
      <c r="AO720" s="7" t="n">
        <v>1</v>
      </c>
      <c r="AP720" s="7" t="n">
        <v>0</v>
      </c>
      <c r="AQ720" s="7" t="n">
        <v>0</v>
      </c>
      <c r="AR720" s="6" t="s">
        <v>63</v>
      </c>
      <c r="AS720" s="6" t="s">
        <v>57</v>
      </c>
      <c r="AT720" s="25" t="str">
        <f aca="false">HYPERLINK("http://catalog.hathitrust.org/Record/003819064","HathiTrust Record")</f>
        <v>HathiTrust Record</v>
      </c>
      <c r="AU720" s="25" t="str">
        <f aca="false">HYPERLINK("https://creighton-primo.hosted.exlibrisgroup.com/primo-explore/search?tab=default_tab&amp;search_scope=EVERYTHING&amp;vid=01CRU&amp;lang=en_US&amp;offset=0&amp;query=any,contains,991005082689702656","Catalog Record")</f>
        <v>Catalog Record</v>
      </c>
      <c r="AV720" s="25" t="str">
        <f aca="false">HYPERLINK("http://www.worldcat.org/oclc/7174925","WorldCat Record")</f>
        <v>WorldCat Record</v>
      </c>
      <c r="AW720" s="6" t="s">
        <v>2710</v>
      </c>
      <c r="AX720" s="6" t="s">
        <v>2711</v>
      </c>
      <c r="AY720" s="6" t="s">
        <v>2712</v>
      </c>
      <c r="AZ720" s="6" t="s">
        <v>2712</v>
      </c>
      <c r="BA720" s="6" t="s">
        <v>2713</v>
      </c>
      <c r="BB720" s="6" t="s">
        <v>2714</v>
      </c>
      <c r="BC720" s="6" t="s">
        <v>2715</v>
      </c>
      <c r="BE720" s="15" t="s">
        <v>2145</v>
      </c>
      <c r="BF720" s="6" t="s">
        <v>2716</v>
      </c>
    </row>
    <row r="721" customFormat="false" ht="163" hidden="false" customHeight="false" outlineLevel="0" collapsed="false">
      <c r="A721" s="4" t="s">
        <v>63</v>
      </c>
      <c r="B721" s="5" t="s">
        <v>2129</v>
      </c>
      <c r="C721" s="5" t="s">
        <v>2130</v>
      </c>
      <c r="D721" s="5" t="s">
        <v>2717</v>
      </c>
      <c r="E721" s="5" t="s">
        <v>2718</v>
      </c>
      <c r="F721" s="5" t="s">
        <v>2719</v>
      </c>
      <c r="H721" s="6" t="s">
        <v>63</v>
      </c>
      <c r="I721" s="6" t="s">
        <v>62</v>
      </c>
      <c r="J721" s="6" t="s">
        <v>63</v>
      </c>
      <c r="K721" s="6" t="s">
        <v>63</v>
      </c>
      <c r="L721" s="6" t="s">
        <v>64</v>
      </c>
      <c r="N721" s="5" t="s">
        <v>2720</v>
      </c>
      <c r="O721" s="6" t="s">
        <v>2721</v>
      </c>
      <c r="Q721" s="6" t="s">
        <v>67</v>
      </c>
      <c r="R721" s="6" t="s">
        <v>68</v>
      </c>
      <c r="S721" s="5" t="s">
        <v>2722</v>
      </c>
      <c r="T721" s="6" t="s">
        <v>2137</v>
      </c>
      <c r="U721" s="7" t="n">
        <v>1</v>
      </c>
      <c r="V721" s="7" t="n">
        <v>1</v>
      </c>
      <c r="W721" s="8" t="s">
        <v>2723</v>
      </c>
      <c r="X721" s="8" t="s">
        <v>2723</v>
      </c>
      <c r="Y721" s="8" t="s">
        <v>2724</v>
      </c>
      <c r="Z721" s="8" t="s">
        <v>2724</v>
      </c>
      <c r="AA721" s="7" t="n">
        <v>193</v>
      </c>
      <c r="AB721" s="7" t="n">
        <v>142</v>
      </c>
      <c r="AC721" s="7" t="n">
        <v>142</v>
      </c>
      <c r="AD721" s="7" t="n">
        <v>1</v>
      </c>
      <c r="AE721" s="7" t="n">
        <v>1</v>
      </c>
      <c r="AF721" s="7" t="n">
        <v>11</v>
      </c>
      <c r="AG721" s="7" t="n">
        <v>11</v>
      </c>
      <c r="AH721" s="7" t="n">
        <v>3</v>
      </c>
      <c r="AI721" s="7" t="n">
        <v>3</v>
      </c>
      <c r="AJ721" s="7" t="n">
        <v>4</v>
      </c>
      <c r="AK721" s="7" t="n">
        <v>4</v>
      </c>
      <c r="AL721" s="7" t="n">
        <v>5</v>
      </c>
      <c r="AM721" s="7" t="n">
        <v>5</v>
      </c>
      <c r="AN721" s="7" t="n">
        <v>0</v>
      </c>
      <c r="AO721" s="7" t="n">
        <v>0</v>
      </c>
      <c r="AP721" s="7" t="n">
        <v>0</v>
      </c>
      <c r="AQ721" s="7" t="n">
        <v>0</v>
      </c>
      <c r="AR721" s="6" t="s">
        <v>63</v>
      </c>
      <c r="AS721" s="6" t="s">
        <v>63</v>
      </c>
      <c r="AU721" s="25" t="str">
        <f aca="false">HYPERLINK("https://creighton-primo.hosted.exlibrisgroup.com/primo-explore/search?tab=default_tab&amp;search_scope=EVERYTHING&amp;vid=01CRU&amp;lang=en_US&amp;offset=0&amp;query=any,contains,991002369129702656","Catalog Record")</f>
        <v>Catalog Record</v>
      </c>
      <c r="AV721" s="25" t="str">
        <f aca="false">HYPERLINK("http://www.worldcat.org/oclc/30788426","WorldCat Record")</f>
        <v>WorldCat Record</v>
      </c>
      <c r="AW721" s="6" t="s">
        <v>2725</v>
      </c>
      <c r="AX721" s="6" t="s">
        <v>2726</v>
      </c>
      <c r="AY721" s="6" t="s">
        <v>2727</v>
      </c>
      <c r="AZ721" s="6" t="s">
        <v>2727</v>
      </c>
      <c r="BA721" s="6" t="s">
        <v>2728</v>
      </c>
      <c r="BB721" s="6" t="s">
        <v>2729</v>
      </c>
      <c r="BC721" s="6" t="s">
        <v>2730</v>
      </c>
      <c r="BE721" s="15" t="s">
        <v>2145</v>
      </c>
      <c r="BF721" s="6" t="s">
        <v>2731</v>
      </c>
    </row>
    <row r="722" customFormat="false" ht="197.5" hidden="false" customHeight="false" outlineLevel="0" collapsed="false">
      <c r="A722" s="4" t="s">
        <v>63</v>
      </c>
      <c r="B722" s="5" t="s">
        <v>2129</v>
      </c>
      <c r="C722" s="5" t="s">
        <v>2130</v>
      </c>
      <c r="D722" s="5" t="s">
        <v>2732</v>
      </c>
      <c r="E722" s="5" t="s">
        <v>2733</v>
      </c>
      <c r="F722" s="5" t="s">
        <v>2734</v>
      </c>
      <c r="H722" s="6" t="s">
        <v>63</v>
      </c>
      <c r="I722" s="6" t="s">
        <v>62</v>
      </c>
      <c r="J722" s="6" t="s">
        <v>63</v>
      </c>
      <c r="K722" s="6" t="s">
        <v>63</v>
      </c>
      <c r="L722" s="6" t="s">
        <v>64</v>
      </c>
      <c r="M722" s="5" t="s">
        <v>2735</v>
      </c>
      <c r="N722" s="5" t="s">
        <v>2736</v>
      </c>
      <c r="O722" s="6" t="s">
        <v>264</v>
      </c>
      <c r="Q722" s="6" t="s">
        <v>67</v>
      </c>
      <c r="R722" s="6" t="s">
        <v>2288</v>
      </c>
      <c r="T722" s="6" t="s">
        <v>2137</v>
      </c>
      <c r="U722" s="7" t="n">
        <v>6</v>
      </c>
      <c r="V722" s="7" t="n">
        <v>6</v>
      </c>
      <c r="W722" s="8" t="s">
        <v>2737</v>
      </c>
      <c r="X722" s="8" t="s">
        <v>2737</v>
      </c>
      <c r="Y722" s="8" t="s">
        <v>2738</v>
      </c>
      <c r="Z722" s="8" t="s">
        <v>2738</v>
      </c>
      <c r="AA722" s="7" t="n">
        <v>239</v>
      </c>
      <c r="AB722" s="7" t="n">
        <v>224</v>
      </c>
      <c r="AC722" s="7" t="n">
        <v>230</v>
      </c>
      <c r="AD722" s="7" t="n">
        <v>3</v>
      </c>
      <c r="AE722" s="7" t="n">
        <v>3</v>
      </c>
      <c r="AF722" s="7" t="n">
        <v>20</v>
      </c>
      <c r="AG722" s="7" t="n">
        <v>20</v>
      </c>
      <c r="AH722" s="7" t="n">
        <v>5</v>
      </c>
      <c r="AI722" s="7" t="n">
        <v>5</v>
      </c>
      <c r="AJ722" s="7" t="n">
        <v>5</v>
      </c>
      <c r="AK722" s="7" t="n">
        <v>5</v>
      </c>
      <c r="AL722" s="7" t="n">
        <v>15</v>
      </c>
      <c r="AM722" s="7" t="n">
        <v>15</v>
      </c>
      <c r="AN722" s="7" t="n">
        <v>1</v>
      </c>
      <c r="AO722" s="7" t="n">
        <v>1</v>
      </c>
      <c r="AP722" s="7" t="n">
        <v>0</v>
      </c>
      <c r="AQ722" s="7" t="n">
        <v>0</v>
      </c>
      <c r="AR722" s="6" t="s">
        <v>63</v>
      </c>
      <c r="AS722" s="6" t="s">
        <v>63</v>
      </c>
      <c r="AU722" s="25" t="str">
        <f aca="false">HYPERLINK("https://creighton-primo.hosted.exlibrisgroup.com/primo-explore/search?tab=default_tab&amp;search_scope=EVERYTHING&amp;vid=01CRU&amp;lang=en_US&amp;offset=0&amp;query=any,contains,991000564109702656","Catalog Record")</f>
        <v>Catalog Record</v>
      </c>
      <c r="AV722" s="25" t="str">
        <f aca="false">HYPERLINK("http://www.worldcat.org/oclc/93783","WorldCat Record")</f>
        <v>WorldCat Record</v>
      </c>
      <c r="AW722" s="6" t="s">
        <v>2739</v>
      </c>
      <c r="AX722" s="6" t="s">
        <v>2740</v>
      </c>
      <c r="AY722" s="6" t="s">
        <v>2741</v>
      </c>
      <c r="AZ722" s="6" t="s">
        <v>2741</v>
      </c>
      <c r="BA722" s="6" t="s">
        <v>2742</v>
      </c>
      <c r="BC722" s="6" t="s">
        <v>2743</v>
      </c>
      <c r="BE722" s="15" t="s">
        <v>2145</v>
      </c>
      <c r="BF722" s="6" t="s">
        <v>2744</v>
      </c>
    </row>
    <row r="723" customFormat="false" ht="94" hidden="false" customHeight="false" outlineLevel="0" collapsed="false">
      <c r="A723" s="4" t="s">
        <v>63</v>
      </c>
      <c r="B723" s="5" t="s">
        <v>2129</v>
      </c>
      <c r="C723" s="5" t="s">
        <v>2130</v>
      </c>
      <c r="D723" s="5" t="s">
        <v>2745</v>
      </c>
      <c r="E723" s="5" t="s">
        <v>2746</v>
      </c>
      <c r="F723" s="5" t="s">
        <v>2747</v>
      </c>
      <c r="H723" s="6" t="s">
        <v>63</v>
      </c>
      <c r="I723" s="6" t="s">
        <v>62</v>
      </c>
      <c r="J723" s="6" t="s">
        <v>63</v>
      </c>
      <c r="K723" s="6" t="s">
        <v>63</v>
      </c>
      <c r="L723" s="6" t="s">
        <v>64</v>
      </c>
      <c r="M723" s="5" t="s">
        <v>2735</v>
      </c>
      <c r="N723" s="5" t="s">
        <v>2748</v>
      </c>
      <c r="O723" s="6" t="s">
        <v>2467</v>
      </c>
      <c r="Q723" s="6" t="s">
        <v>67</v>
      </c>
      <c r="R723" s="6" t="s">
        <v>401</v>
      </c>
      <c r="T723" s="6" t="s">
        <v>2137</v>
      </c>
      <c r="U723" s="7" t="n">
        <v>8</v>
      </c>
      <c r="V723" s="7" t="n">
        <v>8</v>
      </c>
      <c r="W723" s="8" t="s">
        <v>2737</v>
      </c>
      <c r="X723" s="8" t="s">
        <v>2737</v>
      </c>
      <c r="Y723" s="8" t="s">
        <v>2738</v>
      </c>
      <c r="Z723" s="8" t="s">
        <v>2738</v>
      </c>
      <c r="AA723" s="7" t="n">
        <v>1043</v>
      </c>
      <c r="AB723" s="7" t="n">
        <v>938</v>
      </c>
      <c r="AC723" s="7" t="n">
        <v>957</v>
      </c>
      <c r="AD723" s="7" t="n">
        <v>7</v>
      </c>
      <c r="AE723" s="7" t="n">
        <v>7</v>
      </c>
      <c r="AF723" s="7" t="n">
        <v>41</v>
      </c>
      <c r="AG723" s="7" t="n">
        <v>41</v>
      </c>
      <c r="AH723" s="7" t="n">
        <v>15</v>
      </c>
      <c r="AI723" s="7" t="n">
        <v>15</v>
      </c>
      <c r="AJ723" s="7" t="n">
        <v>9</v>
      </c>
      <c r="AK723" s="7" t="n">
        <v>9</v>
      </c>
      <c r="AL723" s="7" t="n">
        <v>27</v>
      </c>
      <c r="AM723" s="7" t="n">
        <v>27</v>
      </c>
      <c r="AN723" s="7" t="n">
        <v>3</v>
      </c>
      <c r="AO723" s="7" t="n">
        <v>3</v>
      </c>
      <c r="AP723" s="7" t="n">
        <v>0</v>
      </c>
      <c r="AQ723" s="7" t="n">
        <v>0</v>
      </c>
      <c r="AR723" s="6" t="s">
        <v>63</v>
      </c>
      <c r="AS723" s="6" t="s">
        <v>57</v>
      </c>
      <c r="AT723" s="25" t="str">
        <f aca="false">HYPERLINK("http://catalog.hathitrust.org/Record/009500539","HathiTrust Record")</f>
        <v>HathiTrust Record</v>
      </c>
      <c r="AU723" s="25" t="str">
        <f aca="false">HYPERLINK("https://creighton-primo.hosted.exlibrisgroup.com/primo-explore/search?tab=default_tab&amp;search_scope=EVERYTHING&amp;vid=01CRU&amp;lang=en_US&amp;offset=0&amp;query=any,contains,991000964049702656","Catalog Record")</f>
        <v>Catalog Record</v>
      </c>
      <c r="AV723" s="25" t="str">
        <f aca="false">HYPERLINK("http://www.worldcat.org/oclc/170070","WorldCat Record")</f>
        <v>WorldCat Record</v>
      </c>
      <c r="AW723" s="6" t="s">
        <v>2749</v>
      </c>
      <c r="AX723" s="6" t="s">
        <v>2750</v>
      </c>
      <c r="AY723" s="6" t="s">
        <v>2751</v>
      </c>
      <c r="AZ723" s="6" t="s">
        <v>2751</v>
      </c>
      <c r="BA723" s="6" t="s">
        <v>2752</v>
      </c>
      <c r="BC723" s="6" t="s">
        <v>2753</v>
      </c>
      <c r="BE723" s="15" t="s">
        <v>2145</v>
      </c>
      <c r="BF723" s="6" t="s">
        <v>2754</v>
      </c>
    </row>
    <row r="724" customFormat="false" ht="82.5" hidden="false" customHeight="false" outlineLevel="0" collapsed="false">
      <c r="A724" s="4" t="s">
        <v>63</v>
      </c>
      <c r="B724" s="5" t="s">
        <v>2129</v>
      </c>
      <c r="C724" s="5" t="s">
        <v>2130</v>
      </c>
      <c r="D724" s="5" t="s">
        <v>2755</v>
      </c>
      <c r="E724" s="5" t="s">
        <v>2756</v>
      </c>
      <c r="F724" s="5" t="s">
        <v>2757</v>
      </c>
      <c r="H724" s="6" t="s">
        <v>63</v>
      </c>
      <c r="I724" s="6" t="s">
        <v>62</v>
      </c>
      <c r="J724" s="6" t="s">
        <v>63</v>
      </c>
      <c r="K724" s="6" t="s">
        <v>63</v>
      </c>
      <c r="L724" s="6" t="s">
        <v>64</v>
      </c>
      <c r="M724" s="5" t="s">
        <v>2758</v>
      </c>
      <c r="N724" s="5" t="s">
        <v>2759</v>
      </c>
      <c r="O724" s="6" t="s">
        <v>2693</v>
      </c>
      <c r="P724" s="5" t="s">
        <v>255</v>
      </c>
      <c r="Q724" s="6" t="s">
        <v>67</v>
      </c>
      <c r="R724" s="6" t="s">
        <v>68</v>
      </c>
      <c r="T724" s="6" t="s">
        <v>2137</v>
      </c>
      <c r="U724" s="7" t="n">
        <v>3</v>
      </c>
      <c r="V724" s="7" t="n">
        <v>3</v>
      </c>
      <c r="W724" s="8" t="s">
        <v>2760</v>
      </c>
      <c r="X724" s="8" t="s">
        <v>2760</v>
      </c>
      <c r="Y724" s="8" t="s">
        <v>2695</v>
      </c>
      <c r="Z724" s="8" t="s">
        <v>2695</v>
      </c>
      <c r="AA724" s="7" t="n">
        <v>694</v>
      </c>
      <c r="AB724" s="7" t="n">
        <v>615</v>
      </c>
      <c r="AC724" s="7" t="n">
        <v>783</v>
      </c>
      <c r="AD724" s="7" t="n">
        <v>5</v>
      </c>
      <c r="AE724" s="7" t="n">
        <v>7</v>
      </c>
      <c r="AF724" s="7" t="n">
        <v>42</v>
      </c>
      <c r="AG724" s="7" t="n">
        <v>51</v>
      </c>
      <c r="AH724" s="7" t="n">
        <v>17</v>
      </c>
      <c r="AI724" s="7" t="n">
        <v>22</v>
      </c>
      <c r="AJ724" s="7" t="n">
        <v>9</v>
      </c>
      <c r="AK724" s="7" t="n">
        <v>10</v>
      </c>
      <c r="AL724" s="7" t="n">
        <v>25</v>
      </c>
      <c r="AM724" s="7" t="n">
        <v>26</v>
      </c>
      <c r="AN724" s="7" t="n">
        <v>3</v>
      </c>
      <c r="AO724" s="7" t="n">
        <v>5</v>
      </c>
      <c r="AP724" s="7" t="n">
        <v>0</v>
      </c>
      <c r="AQ724" s="7" t="n">
        <v>0</v>
      </c>
      <c r="AR724" s="6" t="s">
        <v>63</v>
      </c>
      <c r="AS724" s="6" t="s">
        <v>63</v>
      </c>
      <c r="AU724" s="25" t="str">
        <f aca="false">HYPERLINK("https://creighton-primo.hosted.exlibrisgroup.com/primo-explore/search?tab=default_tab&amp;search_scope=EVERYTHING&amp;vid=01CRU&amp;lang=en_US&amp;offset=0&amp;query=any,contains,991002261649702656","Catalog Record")</f>
        <v>Catalog Record</v>
      </c>
      <c r="AV724" s="25" t="str">
        <f aca="false">HYPERLINK("http://www.worldcat.org/oclc/304710","WorldCat Record")</f>
        <v>WorldCat Record</v>
      </c>
      <c r="AW724" s="6" t="s">
        <v>2761</v>
      </c>
      <c r="AX724" s="6" t="s">
        <v>2762</v>
      </c>
      <c r="AY724" s="6" t="s">
        <v>2763</v>
      </c>
      <c r="AZ724" s="6" t="s">
        <v>2763</v>
      </c>
      <c r="BA724" s="6" t="s">
        <v>2764</v>
      </c>
      <c r="BC724" s="6" t="s">
        <v>2765</v>
      </c>
      <c r="BE724" s="15" t="s">
        <v>2145</v>
      </c>
      <c r="BF724" s="6" t="s">
        <v>2766</v>
      </c>
    </row>
    <row r="725" customFormat="false" ht="163" hidden="false" customHeight="false" outlineLevel="0" collapsed="false">
      <c r="A725" s="4" t="s">
        <v>57</v>
      </c>
      <c r="B725" s="5" t="s">
        <v>2129</v>
      </c>
      <c r="C725" s="5" t="s">
        <v>2130</v>
      </c>
      <c r="D725" s="5" t="s">
        <v>2767</v>
      </c>
      <c r="E725" s="5" t="s">
        <v>2768</v>
      </c>
      <c r="F725" s="5" t="s">
        <v>2769</v>
      </c>
      <c r="H725" s="6" t="s">
        <v>63</v>
      </c>
      <c r="I725" s="6" t="s">
        <v>62</v>
      </c>
      <c r="J725" s="6" t="s">
        <v>63</v>
      </c>
      <c r="K725" s="6" t="s">
        <v>63</v>
      </c>
      <c r="L725" s="6" t="s">
        <v>64</v>
      </c>
      <c r="M725" s="5" t="s">
        <v>2514</v>
      </c>
      <c r="N725" s="5" t="s">
        <v>2770</v>
      </c>
      <c r="O725" s="6" t="s">
        <v>2721</v>
      </c>
      <c r="Q725" s="6" t="s">
        <v>67</v>
      </c>
      <c r="R725" s="6" t="s">
        <v>181</v>
      </c>
      <c r="T725" s="6" t="s">
        <v>2137</v>
      </c>
      <c r="U725" s="7" t="n">
        <v>2</v>
      </c>
      <c r="V725" s="7" t="n">
        <v>2</v>
      </c>
      <c r="W725" s="8" t="s">
        <v>2771</v>
      </c>
      <c r="X725" s="8" t="s">
        <v>2771</v>
      </c>
      <c r="Y725" s="8" t="s">
        <v>2772</v>
      </c>
      <c r="Z725" s="8" t="s">
        <v>2772</v>
      </c>
      <c r="AA725" s="7" t="n">
        <v>442</v>
      </c>
      <c r="AB725" s="7" t="n">
        <v>386</v>
      </c>
      <c r="AC725" s="7" t="n">
        <v>563</v>
      </c>
      <c r="AD725" s="7" t="n">
        <v>4</v>
      </c>
      <c r="AE725" s="7" t="n">
        <v>4</v>
      </c>
      <c r="AF725" s="7" t="n">
        <v>23</v>
      </c>
      <c r="AG725" s="7" t="n">
        <v>31</v>
      </c>
      <c r="AH725" s="7" t="n">
        <v>10</v>
      </c>
      <c r="AI725" s="7" t="n">
        <v>14</v>
      </c>
      <c r="AJ725" s="7" t="n">
        <v>4</v>
      </c>
      <c r="AK725" s="7" t="n">
        <v>8</v>
      </c>
      <c r="AL725" s="7" t="n">
        <v>12</v>
      </c>
      <c r="AM725" s="7" t="n">
        <v>16</v>
      </c>
      <c r="AN725" s="7" t="n">
        <v>3</v>
      </c>
      <c r="AO725" s="7" t="n">
        <v>3</v>
      </c>
      <c r="AP725" s="7" t="n">
        <v>0</v>
      </c>
      <c r="AQ725" s="7" t="n">
        <v>0</v>
      </c>
      <c r="AR725" s="6" t="s">
        <v>63</v>
      </c>
      <c r="AS725" s="6" t="s">
        <v>63</v>
      </c>
      <c r="AU725" s="25" t="str">
        <f aca="false">HYPERLINK("https://creighton-primo.hosted.exlibrisgroup.com/primo-explore/search?tab=default_tab&amp;search_scope=EVERYTHING&amp;vid=01CRU&amp;lang=en_US&amp;offset=0&amp;query=any,contains,991002234569702656","Catalog Record")</f>
        <v>Catalog Record</v>
      </c>
      <c r="AV725" s="25" t="str">
        <f aca="false">HYPERLINK("http://www.worldcat.org/oclc/28800201","WorldCat Record")</f>
        <v>WorldCat Record</v>
      </c>
      <c r="AW725" s="6" t="s">
        <v>2773</v>
      </c>
      <c r="AX725" s="6" t="s">
        <v>2774</v>
      </c>
      <c r="AY725" s="6" t="s">
        <v>2775</v>
      </c>
      <c r="AZ725" s="6" t="s">
        <v>2775</v>
      </c>
      <c r="BA725" s="6" t="s">
        <v>2776</v>
      </c>
      <c r="BB725" s="6" t="s">
        <v>2777</v>
      </c>
      <c r="BC725" s="6" t="s">
        <v>2778</v>
      </c>
      <c r="BE725" s="15" t="s">
        <v>2145</v>
      </c>
      <c r="BF725" s="6" t="s">
        <v>2779</v>
      </c>
    </row>
    <row r="726" customFormat="false" ht="59.5" hidden="false" customHeight="false" outlineLevel="0" collapsed="false">
      <c r="A726" s="4" t="s">
        <v>63</v>
      </c>
      <c r="B726" s="5" t="s">
        <v>2129</v>
      </c>
      <c r="C726" s="5" t="s">
        <v>2130</v>
      </c>
      <c r="D726" s="5" t="s">
        <v>2780</v>
      </c>
      <c r="E726" s="5" t="s">
        <v>2781</v>
      </c>
      <c r="F726" s="5" t="s">
        <v>2782</v>
      </c>
      <c r="H726" s="6" t="s">
        <v>63</v>
      </c>
      <c r="I726" s="6" t="s">
        <v>62</v>
      </c>
      <c r="J726" s="6" t="s">
        <v>63</v>
      </c>
      <c r="K726" s="6" t="s">
        <v>63</v>
      </c>
      <c r="L726" s="6" t="s">
        <v>64</v>
      </c>
      <c r="M726" s="5" t="s">
        <v>2783</v>
      </c>
      <c r="N726" s="5" t="s">
        <v>2784</v>
      </c>
      <c r="O726" s="6" t="s">
        <v>122</v>
      </c>
      <c r="Q726" s="6" t="s">
        <v>67</v>
      </c>
      <c r="R726" s="6" t="s">
        <v>68</v>
      </c>
      <c r="T726" s="6" t="s">
        <v>2137</v>
      </c>
      <c r="U726" s="7" t="n">
        <v>1</v>
      </c>
      <c r="V726" s="7" t="n">
        <v>1</v>
      </c>
      <c r="W726" s="8" t="s">
        <v>2785</v>
      </c>
      <c r="X726" s="8" t="s">
        <v>2785</v>
      </c>
      <c r="Y726" s="8" t="s">
        <v>2695</v>
      </c>
      <c r="Z726" s="8" t="s">
        <v>2695</v>
      </c>
      <c r="AA726" s="7" t="n">
        <v>578</v>
      </c>
      <c r="AB726" s="7" t="n">
        <v>526</v>
      </c>
      <c r="AC726" s="7" t="n">
        <v>546</v>
      </c>
      <c r="AD726" s="7" t="n">
        <v>5</v>
      </c>
      <c r="AE726" s="7" t="n">
        <v>5</v>
      </c>
      <c r="AF726" s="7" t="n">
        <v>36</v>
      </c>
      <c r="AG726" s="7" t="n">
        <v>37</v>
      </c>
      <c r="AH726" s="7" t="n">
        <v>11</v>
      </c>
      <c r="AI726" s="7" t="n">
        <v>12</v>
      </c>
      <c r="AJ726" s="7" t="n">
        <v>9</v>
      </c>
      <c r="AK726" s="7" t="n">
        <v>9</v>
      </c>
      <c r="AL726" s="7" t="n">
        <v>22</v>
      </c>
      <c r="AM726" s="7" t="n">
        <v>22</v>
      </c>
      <c r="AN726" s="7" t="n">
        <v>3</v>
      </c>
      <c r="AO726" s="7" t="n">
        <v>3</v>
      </c>
      <c r="AP726" s="7" t="n">
        <v>0</v>
      </c>
      <c r="AQ726" s="7" t="n">
        <v>0</v>
      </c>
      <c r="AR726" s="6" t="s">
        <v>63</v>
      </c>
      <c r="AS726" s="6" t="s">
        <v>57</v>
      </c>
      <c r="AT726" s="25" t="str">
        <f aca="false">HYPERLINK("http://catalog.hathitrust.org/Record/001390125","HathiTrust Record")</f>
        <v>HathiTrust Record</v>
      </c>
      <c r="AU726" s="25" t="str">
        <f aca="false">HYPERLINK("https://creighton-primo.hosted.exlibrisgroup.com/primo-explore/search?tab=default_tab&amp;search_scope=EVERYTHING&amp;vid=01CRU&amp;lang=en_US&amp;offset=0&amp;query=any,contains,991002572709702656","Catalog Record")</f>
        <v>Catalog Record</v>
      </c>
      <c r="AV726" s="25" t="str">
        <f aca="false">HYPERLINK("http://www.worldcat.org/oclc/374116","WorldCat Record")</f>
        <v>WorldCat Record</v>
      </c>
      <c r="AW726" s="6" t="s">
        <v>2786</v>
      </c>
      <c r="AX726" s="6" t="s">
        <v>2787</v>
      </c>
      <c r="AY726" s="6" t="s">
        <v>2788</v>
      </c>
      <c r="AZ726" s="6" t="s">
        <v>2788</v>
      </c>
      <c r="BA726" s="6" t="s">
        <v>2789</v>
      </c>
      <c r="BC726" s="6" t="s">
        <v>2790</v>
      </c>
      <c r="BE726" s="15" t="s">
        <v>2145</v>
      </c>
      <c r="BF726" s="6" t="s">
        <v>2791</v>
      </c>
    </row>
    <row r="727" customFormat="false" ht="82.5" hidden="false" customHeight="false" outlineLevel="0" collapsed="false">
      <c r="A727" s="4" t="s">
        <v>63</v>
      </c>
      <c r="B727" s="5" t="s">
        <v>2129</v>
      </c>
      <c r="C727" s="5" t="s">
        <v>2130</v>
      </c>
      <c r="D727" s="5" t="s">
        <v>2792</v>
      </c>
      <c r="E727" s="5" t="s">
        <v>2793</v>
      </c>
      <c r="F727" s="5" t="s">
        <v>2794</v>
      </c>
      <c r="H727" s="6" t="s">
        <v>63</v>
      </c>
      <c r="I727" s="6" t="s">
        <v>62</v>
      </c>
      <c r="J727" s="6" t="s">
        <v>63</v>
      </c>
      <c r="K727" s="6" t="s">
        <v>63</v>
      </c>
      <c r="L727" s="6" t="s">
        <v>64</v>
      </c>
      <c r="M727" s="5" t="s">
        <v>2795</v>
      </c>
      <c r="N727" s="5" t="s">
        <v>2796</v>
      </c>
      <c r="O727" s="6" t="s">
        <v>2797</v>
      </c>
      <c r="Q727" s="6" t="s">
        <v>67</v>
      </c>
      <c r="R727" s="6" t="s">
        <v>123</v>
      </c>
      <c r="S727" s="5" t="s">
        <v>2798</v>
      </c>
      <c r="T727" s="6" t="s">
        <v>2137</v>
      </c>
      <c r="U727" s="7" t="n">
        <v>2</v>
      </c>
      <c r="V727" s="7" t="n">
        <v>2</v>
      </c>
      <c r="W727" s="8" t="s">
        <v>2799</v>
      </c>
      <c r="X727" s="8" t="s">
        <v>2799</v>
      </c>
      <c r="Y727" s="8" t="s">
        <v>2695</v>
      </c>
      <c r="Z727" s="8" t="s">
        <v>2695</v>
      </c>
      <c r="AA727" s="7" t="n">
        <v>417</v>
      </c>
      <c r="AB727" s="7" t="n">
        <v>388</v>
      </c>
      <c r="AC727" s="7" t="n">
        <v>485</v>
      </c>
      <c r="AD727" s="7" t="n">
        <v>4</v>
      </c>
      <c r="AE727" s="7" t="n">
        <v>4</v>
      </c>
      <c r="AF727" s="7" t="n">
        <v>21</v>
      </c>
      <c r="AG727" s="7" t="n">
        <v>29</v>
      </c>
      <c r="AH727" s="7" t="n">
        <v>9</v>
      </c>
      <c r="AI727" s="7" t="n">
        <v>14</v>
      </c>
      <c r="AJ727" s="7" t="n">
        <v>3</v>
      </c>
      <c r="AK727" s="7" t="n">
        <v>4</v>
      </c>
      <c r="AL727" s="7" t="n">
        <v>11</v>
      </c>
      <c r="AM727" s="7" t="n">
        <v>17</v>
      </c>
      <c r="AN727" s="7" t="n">
        <v>3</v>
      </c>
      <c r="AO727" s="7" t="n">
        <v>3</v>
      </c>
      <c r="AP727" s="7" t="n">
        <v>0</v>
      </c>
      <c r="AQ727" s="7" t="n">
        <v>0</v>
      </c>
      <c r="AR727" s="6" t="s">
        <v>63</v>
      </c>
      <c r="AS727" s="6" t="s">
        <v>63</v>
      </c>
      <c r="AU727" s="25" t="str">
        <f aca="false">HYPERLINK("https://creighton-primo.hosted.exlibrisgroup.com/primo-explore/search?tab=default_tab&amp;search_scope=EVERYTHING&amp;vid=01CRU&amp;lang=en_US&amp;offset=0&amp;query=any,contains,991002193869702656","Catalog Record")</f>
        <v>Catalog Record</v>
      </c>
      <c r="AV727" s="25" t="str">
        <f aca="false">HYPERLINK("http://www.worldcat.org/oclc/282329","WorldCat Record")</f>
        <v>WorldCat Record</v>
      </c>
      <c r="AW727" s="6" t="s">
        <v>2800</v>
      </c>
      <c r="AX727" s="6" t="s">
        <v>2801</v>
      </c>
      <c r="AY727" s="6" t="s">
        <v>2802</v>
      </c>
      <c r="AZ727" s="6" t="s">
        <v>2802</v>
      </c>
      <c r="BA727" s="6" t="s">
        <v>2803</v>
      </c>
      <c r="BC727" s="6" t="s">
        <v>2804</v>
      </c>
      <c r="BE727" s="15" t="s">
        <v>2145</v>
      </c>
      <c r="BF727" s="6" t="s">
        <v>2805</v>
      </c>
    </row>
    <row r="728" customFormat="false" ht="105.5" hidden="false" customHeight="false" outlineLevel="0" collapsed="false">
      <c r="A728" s="4" t="s">
        <v>63</v>
      </c>
      <c r="B728" s="5" t="s">
        <v>2129</v>
      </c>
      <c r="C728" s="5" t="s">
        <v>2130</v>
      </c>
      <c r="D728" s="5" t="s">
        <v>2806</v>
      </c>
      <c r="E728" s="5" t="s">
        <v>2807</v>
      </c>
      <c r="F728" s="5" t="s">
        <v>2808</v>
      </c>
      <c r="H728" s="6" t="s">
        <v>63</v>
      </c>
      <c r="I728" s="6" t="s">
        <v>62</v>
      </c>
      <c r="J728" s="6" t="s">
        <v>63</v>
      </c>
      <c r="K728" s="6" t="s">
        <v>63</v>
      </c>
      <c r="L728" s="6" t="s">
        <v>64</v>
      </c>
      <c r="M728" s="5" t="s">
        <v>2809</v>
      </c>
      <c r="N728" s="5" t="s">
        <v>2810</v>
      </c>
      <c r="O728" s="6" t="s">
        <v>2811</v>
      </c>
      <c r="Q728" s="6" t="s">
        <v>67</v>
      </c>
      <c r="R728" s="6" t="s">
        <v>401</v>
      </c>
      <c r="S728" s="5" t="s">
        <v>2812</v>
      </c>
      <c r="T728" s="6" t="s">
        <v>2137</v>
      </c>
      <c r="U728" s="7" t="n">
        <v>3</v>
      </c>
      <c r="V728" s="7" t="n">
        <v>3</v>
      </c>
      <c r="W728" s="8" t="s">
        <v>2813</v>
      </c>
      <c r="X728" s="8" t="s">
        <v>2813</v>
      </c>
      <c r="Y728" s="8" t="s">
        <v>2814</v>
      </c>
      <c r="Z728" s="8" t="s">
        <v>2814</v>
      </c>
      <c r="AA728" s="7" t="n">
        <v>397</v>
      </c>
      <c r="AB728" s="7" t="n">
        <v>344</v>
      </c>
      <c r="AC728" s="7" t="n">
        <v>350</v>
      </c>
      <c r="AD728" s="7" t="n">
        <v>6</v>
      </c>
      <c r="AE728" s="7" t="n">
        <v>6</v>
      </c>
      <c r="AF728" s="7" t="n">
        <v>29</v>
      </c>
      <c r="AG728" s="7" t="n">
        <v>29</v>
      </c>
      <c r="AH728" s="7" t="n">
        <v>9</v>
      </c>
      <c r="AI728" s="7" t="n">
        <v>9</v>
      </c>
      <c r="AJ728" s="7" t="n">
        <v>8</v>
      </c>
      <c r="AK728" s="7" t="n">
        <v>8</v>
      </c>
      <c r="AL728" s="7" t="n">
        <v>17</v>
      </c>
      <c r="AM728" s="7" t="n">
        <v>17</v>
      </c>
      <c r="AN728" s="7" t="n">
        <v>4</v>
      </c>
      <c r="AO728" s="7" t="n">
        <v>4</v>
      </c>
      <c r="AP728" s="7" t="n">
        <v>0</v>
      </c>
      <c r="AQ728" s="7" t="n">
        <v>0</v>
      </c>
      <c r="AR728" s="6" t="s">
        <v>63</v>
      </c>
      <c r="AS728" s="6" t="s">
        <v>57</v>
      </c>
      <c r="AT728" s="25" t="str">
        <f aca="false">HYPERLINK("http://catalog.hathitrust.org/Record/007128018","HathiTrust Record")</f>
        <v>HathiTrust Record</v>
      </c>
      <c r="AU728" s="25" t="str">
        <f aca="false">HYPERLINK("https://creighton-primo.hosted.exlibrisgroup.com/primo-explore/search?tab=default_tab&amp;search_scope=EVERYTHING&amp;vid=01CRU&amp;lang=en_US&amp;offset=0&amp;query=any,contains,991000812429702656","Catalog Record")</f>
        <v>Catalog Record</v>
      </c>
      <c r="AV728" s="25" t="str">
        <f aca="false">HYPERLINK("http://www.worldcat.org/oclc/140997","WorldCat Record")</f>
        <v>WorldCat Record</v>
      </c>
      <c r="AW728" s="6" t="s">
        <v>2815</v>
      </c>
      <c r="AX728" s="6" t="s">
        <v>2816</v>
      </c>
      <c r="AY728" s="6" t="s">
        <v>2817</v>
      </c>
      <c r="AZ728" s="6" t="s">
        <v>2817</v>
      </c>
      <c r="BA728" s="6" t="s">
        <v>2818</v>
      </c>
      <c r="BB728" s="6" t="s">
        <v>2819</v>
      </c>
      <c r="BC728" s="6" t="s">
        <v>2820</v>
      </c>
      <c r="BE728" s="15" t="s">
        <v>2145</v>
      </c>
      <c r="BF728" s="6" t="s">
        <v>2821</v>
      </c>
    </row>
    <row r="729" customFormat="false" ht="140" hidden="false" customHeight="false" outlineLevel="0" collapsed="false">
      <c r="A729" s="4" t="s">
        <v>63</v>
      </c>
      <c r="B729" s="5" t="s">
        <v>2129</v>
      </c>
      <c r="C729" s="5" t="s">
        <v>2130</v>
      </c>
      <c r="D729" s="5" t="s">
        <v>2822</v>
      </c>
      <c r="E729" s="5" t="s">
        <v>2823</v>
      </c>
      <c r="F729" s="5" t="s">
        <v>2824</v>
      </c>
      <c r="H729" s="6" t="s">
        <v>63</v>
      </c>
      <c r="I729" s="6" t="s">
        <v>62</v>
      </c>
      <c r="J729" s="6" t="s">
        <v>63</v>
      </c>
      <c r="K729" s="6" t="s">
        <v>57</v>
      </c>
      <c r="L729" s="6" t="s">
        <v>64</v>
      </c>
      <c r="M729" s="5" t="s">
        <v>2825</v>
      </c>
      <c r="N729" s="5" t="s">
        <v>2826</v>
      </c>
      <c r="O729" s="6" t="s">
        <v>2369</v>
      </c>
      <c r="Q729" s="6" t="s">
        <v>67</v>
      </c>
      <c r="R729" s="6" t="s">
        <v>68</v>
      </c>
      <c r="S729" s="5" t="s">
        <v>2827</v>
      </c>
      <c r="T729" s="6" t="s">
        <v>2137</v>
      </c>
      <c r="U729" s="7" t="n">
        <v>3</v>
      </c>
      <c r="V729" s="7" t="n">
        <v>3</v>
      </c>
      <c r="W729" s="8" t="s">
        <v>2828</v>
      </c>
      <c r="X729" s="8" t="s">
        <v>2828</v>
      </c>
      <c r="Y729" s="8" t="s">
        <v>2695</v>
      </c>
      <c r="Z729" s="8" t="s">
        <v>2695</v>
      </c>
      <c r="AA729" s="7" t="n">
        <v>520</v>
      </c>
      <c r="AB729" s="7" t="n">
        <v>486</v>
      </c>
      <c r="AC729" s="7" t="n">
        <v>1606</v>
      </c>
      <c r="AD729" s="7" t="n">
        <v>5</v>
      </c>
      <c r="AE729" s="7" t="n">
        <v>16</v>
      </c>
      <c r="AF729" s="7" t="n">
        <v>22</v>
      </c>
      <c r="AG729" s="7" t="n">
        <v>66</v>
      </c>
      <c r="AH729" s="7" t="n">
        <v>8</v>
      </c>
      <c r="AI729" s="7" t="n">
        <v>29</v>
      </c>
      <c r="AJ729" s="7" t="n">
        <v>5</v>
      </c>
      <c r="AK729" s="7" t="n">
        <v>11</v>
      </c>
      <c r="AL729" s="7" t="n">
        <v>10</v>
      </c>
      <c r="AM729" s="7" t="n">
        <v>28</v>
      </c>
      <c r="AN729" s="7" t="n">
        <v>3</v>
      </c>
      <c r="AO729" s="7" t="n">
        <v>12</v>
      </c>
      <c r="AP729" s="7" t="n">
        <v>0</v>
      </c>
      <c r="AQ729" s="7" t="n">
        <v>0</v>
      </c>
      <c r="AR729" s="6" t="s">
        <v>63</v>
      </c>
      <c r="AS729" s="6" t="s">
        <v>57</v>
      </c>
      <c r="AT729" s="25" t="str">
        <f aca="false">HYPERLINK("http://catalog.hathitrust.org/Record/102070692","HathiTrust Record")</f>
        <v>HathiTrust Record</v>
      </c>
      <c r="AU729" s="25" t="str">
        <f aca="false">HYPERLINK("https://creighton-primo.hosted.exlibrisgroup.com/primo-explore/search?tab=default_tab&amp;search_scope=EVERYTHING&amp;vid=01CRU&amp;lang=en_US&amp;offset=0&amp;query=any,contains,991002003279702656","Catalog Record")</f>
        <v>Catalog Record</v>
      </c>
      <c r="AV729" s="25" t="str">
        <f aca="false">HYPERLINK("http://www.worldcat.org/oclc/5453541","WorldCat Record")</f>
        <v>WorldCat Record</v>
      </c>
      <c r="AW729" s="6" t="s">
        <v>2829</v>
      </c>
      <c r="AX729" s="6" t="s">
        <v>2830</v>
      </c>
      <c r="AY729" s="6" t="s">
        <v>2831</v>
      </c>
      <c r="AZ729" s="6" t="s">
        <v>2831</v>
      </c>
      <c r="BA729" s="6" t="s">
        <v>2832</v>
      </c>
      <c r="BC729" s="6" t="s">
        <v>2833</v>
      </c>
      <c r="BE729" s="15" t="s">
        <v>2145</v>
      </c>
      <c r="BF729" s="6" t="s">
        <v>2834</v>
      </c>
    </row>
    <row r="730" customFormat="false" ht="94" hidden="false" customHeight="false" outlineLevel="0" collapsed="false">
      <c r="A730" s="4" t="s">
        <v>63</v>
      </c>
      <c r="B730" s="5" t="s">
        <v>2129</v>
      </c>
      <c r="C730" s="5" t="s">
        <v>2130</v>
      </c>
      <c r="D730" s="5" t="s">
        <v>2835</v>
      </c>
      <c r="E730" s="5" t="s">
        <v>2836</v>
      </c>
      <c r="F730" s="5" t="s">
        <v>2837</v>
      </c>
      <c r="H730" s="6" t="s">
        <v>57</v>
      </c>
      <c r="I730" s="6" t="s">
        <v>62</v>
      </c>
      <c r="J730" s="6" t="s">
        <v>63</v>
      </c>
      <c r="K730" s="6" t="s">
        <v>63</v>
      </c>
      <c r="L730" s="6" t="s">
        <v>64</v>
      </c>
      <c r="M730" s="5" t="s">
        <v>2838</v>
      </c>
      <c r="N730" s="5" t="s">
        <v>2839</v>
      </c>
      <c r="O730" s="6" t="s">
        <v>2262</v>
      </c>
      <c r="Q730" s="6" t="s">
        <v>67</v>
      </c>
      <c r="R730" s="6" t="s">
        <v>401</v>
      </c>
      <c r="T730" s="6" t="s">
        <v>2137</v>
      </c>
      <c r="U730" s="7" t="n">
        <v>5</v>
      </c>
      <c r="V730" s="7" t="n">
        <v>5</v>
      </c>
      <c r="W730" s="8" t="s">
        <v>2840</v>
      </c>
      <c r="X730" s="8" t="s">
        <v>2840</v>
      </c>
      <c r="Y730" s="8" t="s">
        <v>2709</v>
      </c>
      <c r="Z730" s="8" t="s">
        <v>2709</v>
      </c>
      <c r="AA730" s="7" t="n">
        <v>356</v>
      </c>
      <c r="AB730" s="7" t="n">
        <v>297</v>
      </c>
      <c r="AC730" s="7" t="n">
        <v>299</v>
      </c>
      <c r="AD730" s="7" t="n">
        <v>3</v>
      </c>
      <c r="AE730" s="7" t="n">
        <v>3</v>
      </c>
      <c r="AF730" s="7" t="n">
        <v>21</v>
      </c>
      <c r="AG730" s="7" t="n">
        <v>21</v>
      </c>
      <c r="AH730" s="7" t="n">
        <v>9</v>
      </c>
      <c r="AI730" s="7" t="n">
        <v>9</v>
      </c>
      <c r="AJ730" s="7" t="n">
        <v>3</v>
      </c>
      <c r="AK730" s="7" t="n">
        <v>3</v>
      </c>
      <c r="AL730" s="7" t="n">
        <v>13</v>
      </c>
      <c r="AM730" s="7" t="n">
        <v>13</v>
      </c>
      <c r="AN730" s="7" t="n">
        <v>2</v>
      </c>
      <c r="AO730" s="7" t="n">
        <v>2</v>
      </c>
      <c r="AP730" s="7" t="n">
        <v>0</v>
      </c>
      <c r="AQ730" s="7" t="n">
        <v>0</v>
      </c>
      <c r="AR730" s="6" t="s">
        <v>63</v>
      </c>
      <c r="AS730" s="6" t="s">
        <v>57</v>
      </c>
      <c r="AT730" s="25" t="str">
        <f aca="false">HYPERLINK("http://catalog.hathitrust.org/Record/000804338","HathiTrust Record")</f>
        <v>HathiTrust Record</v>
      </c>
      <c r="AU730" s="25" t="str">
        <f aca="false">HYPERLINK("https://creighton-primo.hosted.exlibrisgroup.com/primo-explore/search?tab=default_tab&amp;search_scope=EVERYTHING&amp;vid=01CRU&amp;lang=en_US&amp;offset=0&amp;query=any,contains,991000762119702656","Catalog Record")</f>
        <v>Catalog Record</v>
      </c>
      <c r="AV730" s="25" t="str">
        <f aca="false">HYPERLINK("http://www.worldcat.org/oclc/12974445","WorldCat Record")</f>
        <v>WorldCat Record</v>
      </c>
      <c r="AW730" s="6" t="s">
        <v>2841</v>
      </c>
      <c r="AX730" s="6" t="s">
        <v>2842</v>
      </c>
      <c r="AY730" s="6" t="s">
        <v>2843</v>
      </c>
      <c r="AZ730" s="6" t="s">
        <v>2843</v>
      </c>
      <c r="BA730" s="6" t="s">
        <v>2844</v>
      </c>
      <c r="BB730" s="6" t="s">
        <v>2845</v>
      </c>
      <c r="BC730" s="6" t="s">
        <v>2846</v>
      </c>
      <c r="BE730" s="15" t="s">
        <v>2145</v>
      </c>
      <c r="BF730" s="6" t="s">
        <v>2847</v>
      </c>
    </row>
    <row r="731" customFormat="false" ht="128.5" hidden="false" customHeight="false" outlineLevel="0" collapsed="false">
      <c r="A731" s="4" t="s">
        <v>63</v>
      </c>
      <c r="B731" s="5" t="s">
        <v>2129</v>
      </c>
      <c r="C731" s="5" t="s">
        <v>2130</v>
      </c>
      <c r="D731" s="5" t="s">
        <v>2848</v>
      </c>
      <c r="E731" s="5" t="s">
        <v>2849</v>
      </c>
      <c r="F731" s="5" t="s">
        <v>2850</v>
      </c>
      <c r="H731" s="6" t="s">
        <v>63</v>
      </c>
      <c r="I731" s="6" t="s">
        <v>62</v>
      </c>
      <c r="J731" s="6" t="s">
        <v>63</v>
      </c>
      <c r="K731" s="6" t="s">
        <v>63</v>
      </c>
      <c r="L731" s="6" t="s">
        <v>64</v>
      </c>
      <c r="M731" s="5" t="s">
        <v>2851</v>
      </c>
      <c r="N731" s="5" t="s">
        <v>2852</v>
      </c>
      <c r="O731" s="6" t="s">
        <v>2411</v>
      </c>
      <c r="Q731" s="6" t="s">
        <v>67</v>
      </c>
      <c r="R731" s="6" t="s">
        <v>928</v>
      </c>
      <c r="T731" s="6" t="s">
        <v>2137</v>
      </c>
      <c r="U731" s="7" t="n">
        <v>2</v>
      </c>
      <c r="V731" s="7" t="n">
        <v>2</v>
      </c>
      <c r="W731" s="8" t="s">
        <v>2853</v>
      </c>
      <c r="X731" s="8" t="s">
        <v>2853</v>
      </c>
      <c r="Y731" s="8" t="s">
        <v>2854</v>
      </c>
      <c r="Z731" s="8" t="s">
        <v>2854</v>
      </c>
      <c r="AA731" s="7" t="n">
        <v>326</v>
      </c>
      <c r="AB731" s="7" t="n">
        <v>278</v>
      </c>
      <c r="AC731" s="7" t="n">
        <v>279</v>
      </c>
      <c r="AD731" s="7" t="n">
        <v>3</v>
      </c>
      <c r="AE731" s="7" t="n">
        <v>3</v>
      </c>
      <c r="AF731" s="7" t="n">
        <v>18</v>
      </c>
      <c r="AG731" s="7" t="n">
        <v>18</v>
      </c>
      <c r="AH731" s="7" t="n">
        <v>9</v>
      </c>
      <c r="AI731" s="7" t="n">
        <v>9</v>
      </c>
      <c r="AJ731" s="7" t="n">
        <v>4</v>
      </c>
      <c r="AK731" s="7" t="n">
        <v>4</v>
      </c>
      <c r="AL731" s="7" t="n">
        <v>11</v>
      </c>
      <c r="AM731" s="7" t="n">
        <v>11</v>
      </c>
      <c r="AN731" s="7" t="n">
        <v>1</v>
      </c>
      <c r="AO731" s="7" t="n">
        <v>1</v>
      </c>
      <c r="AP731" s="7" t="n">
        <v>0</v>
      </c>
      <c r="AQ731" s="7" t="n">
        <v>0</v>
      </c>
      <c r="AR731" s="6" t="s">
        <v>63</v>
      </c>
      <c r="AS731" s="6" t="s">
        <v>57</v>
      </c>
      <c r="AT731" s="25" t="str">
        <f aca="false">HYPERLINK("http://catalog.hathitrust.org/Record/101904113","HathiTrust Record")</f>
        <v>HathiTrust Record</v>
      </c>
      <c r="AU731" s="25" t="str">
        <f aca="false">HYPERLINK("https://creighton-primo.hosted.exlibrisgroup.com/primo-explore/search?tab=default_tab&amp;search_scope=EVERYTHING&amp;vid=01CRU&amp;lang=en_US&amp;offset=0&amp;query=any,contains,991001496899702656","Catalog Record")</f>
        <v>Catalog Record</v>
      </c>
      <c r="AV731" s="25" t="str">
        <f aca="false">HYPERLINK("http://www.worldcat.org/oclc/19774898","WorldCat Record")</f>
        <v>WorldCat Record</v>
      </c>
      <c r="AW731" s="6" t="s">
        <v>2855</v>
      </c>
      <c r="AX731" s="6" t="s">
        <v>2856</v>
      </c>
      <c r="AY731" s="6" t="s">
        <v>2857</v>
      </c>
      <c r="AZ731" s="6" t="s">
        <v>2857</v>
      </c>
      <c r="BA731" s="6" t="s">
        <v>2858</v>
      </c>
      <c r="BB731" s="6" t="s">
        <v>2859</v>
      </c>
      <c r="BC731" s="6" t="s">
        <v>2860</v>
      </c>
      <c r="BE731" s="15" t="s">
        <v>2145</v>
      </c>
      <c r="BF731" s="6" t="s">
        <v>2861</v>
      </c>
    </row>
    <row r="732" customFormat="false" ht="117" hidden="false" customHeight="false" outlineLevel="0" collapsed="false">
      <c r="A732" s="4" t="s">
        <v>63</v>
      </c>
      <c r="B732" s="5" t="s">
        <v>2129</v>
      </c>
      <c r="C732" s="5" t="s">
        <v>2130</v>
      </c>
      <c r="D732" s="5" t="s">
        <v>2862</v>
      </c>
      <c r="E732" s="5" t="s">
        <v>2863</v>
      </c>
      <c r="F732" s="5" t="s">
        <v>2864</v>
      </c>
      <c r="G732" s="6" t="s">
        <v>1513</v>
      </c>
      <c r="H732" s="6" t="s">
        <v>63</v>
      </c>
      <c r="I732" s="6" t="s">
        <v>62</v>
      </c>
      <c r="J732" s="6" t="s">
        <v>63</v>
      </c>
      <c r="K732" s="6" t="s">
        <v>63</v>
      </c>
      <c r="L732" s="6" t="s">
        <v>64</v>
      </c>
      <c r="M732" s="5" t="s">
        <v>2865</v>
      </c>
      <c r="N732" s="5" t="s">
        <v>2866</v>
      </c>
      <c r="O732" s="6" t="s">
        <v>246</v>
      </c>
      <c r="Q732" s="6" t="s">
        <v>67</v>
      </c>
      <c r="R732" s="6" t="s">
        <v>318</v>
      </c>
      <c r="T732" s="6" t="s">
        <v>2137</v>
      </c>
      <c r="U732" s="7" t="n">
        <v>3</v>
      </c>
      <c r="V732" s="7" t="n">
        <v>3</v>
      </c>
      <c r="W732" s="8" t="s">
        <v>2867</v>
      </c>
      <c r="X732" s="8" t="s">
        <v>2867</v>
      </c>
      <c r="Y732" s="8" t="s">
        <v>2868</v>
      </c>
      <c r="Z732" s="8" t="s">
        <v>2868</v>
      </c>
      <c r="AA732" s="7" t="n">
        <v>353</v>
      </c>
      <c r="AB732" s="7" t="n">
        <v>286</v>
      </c>
      <c r="AC732" s="7" t="n">
        <v>290</v>
      </c>
      <c r="AD732" s="7" t="n">
        <v>3</v>
      </c>
      <c r="AE732" s="7" t="n">
        <v>3</v>
      </c>
      <c r="AF732" s="7" t="n">
        <v>12</v>
      </c>
      <c r="AG732" s="7" t="n">
        <v>12</v>
      </c>
      <c r="AH732" s="7" t="n">
        <v>6</v>
      </c>
      <c r="AI732" s="7" t="n">
        <v>6</v>
      </c>
      <c r="AJ732" s="7" t="n">
        <v>1</v>
      </c>
      <c r="AK732" s="7" t="n">
        <v>1</v>
      </c>
      <c r="AL732" s="7" t="n">
        <v>5</v>
      </c>
      <c r="AM732" s="7" t="n">
        <v>5</v>
      </c>
      <c r="AN732" s="7" t="n">
        <v>2</v>
      </c>
      <c r="AO732" s="7" t="n">
        <v>2</v>
      </c>
      <c r="AP732" s="7" t="n">
        <v>0</v>
      </c>
      <c r="AQ732" s="7" t="n">
        <v>0</v>
      </c>
      <c r="AR732" s="6" t="s">
        <v>63</v>
      </c>
      <c r="AS732" s="6" t="s">
        <v>57</v>
      </c>
      <c r="AT732" s="25" t="str">
        <f aca="false">HYPERLINK("http://catalog.hathitrust.org/Record/101992557","HathiTrust Record")</f>
        <v>HathiTrust Record</v>
      </c>
      <c r="AU732" s="25" t="str">
        <f aca="false">HYPERLINK("https://creighton-primo.hosted.exlibrisgroup.com/primo-explore/search?tab=default_tab&amp;search_scope=EVERYTHING&amp;vid=01CRU&amp;lang=en_US&amp;offset=0&amp;query=any,contains,991004688589702656","Catalog Record")</f>
        <v>Catalog Record</v>
      </c>
      <c r="AV732" s="25" t="str">
        <f aca="false">HYPERLINK("http://www.worldcat.org/oclc/4593683","WorldCat Record")</f>
        <v>WorldCat Record</v>
      </c>
      <c r="AW732" s="6" t="s">
        <v>2869</v>
      </c>
      <c r="AX732" s="6" t="s">
        <v>2870</v>
      </c>
      <c r="AY732" s="6" t="s">
        <v>2871</v>
      </c>
      <c r="AZ732" s="6" t="s">
        <v>2871</v>
      </c>
      <c r="BA732" s="6" t="s">
        <v>2872</v>
      </c>
      <c r="BB732" s="6" t="s">
        <v>2873</v>
      </c>
      <c r="BC732" s="6" t="s">
        <v>2874</v>
      </c>
      <c r="BE732" s="15" t="s">
        <v>2145</v>
      </c>
      <c r="BF732" s="6" t="s">
        <v>2875</v>
      </c>
    </row>
    <row r="733" customFormat="false" ht="140" hidden="false" customHeight="false" outlineLevel="0" collapsed="false">
      <c r="A733" s="4" t="s">
        <v>63</v>
      </c>
      <c r="B733" s="5" t="s">
        <v>2129</v>
      </c>
      <c r="C733" s="5" t="s">
        <v>2130</v>
      </c>
      <c r="D733" s="5" t="s">
        <v>2876</v>
      </c>
      <c r="E733" s="5" t="s">
        <v>2877</v>
      </c>
      <c r="F733" s="5" t="s">
        <v>2878</v>
      </c>
      <c r="H733" s="6" t="s">
        <v>63</v>
      </c>
      <c r="I733" s="6" t="s">
        <v>62</v>
      </c>
      <c r="J733" s="6" t="s">
        <v>63</v>
      </c>
      <c r="K733" s="6" t="s">
        <v>63</v>
      </c>
      <c r="L733" s="6" t="s">
        <v>64</v>
      </c>
      <c r="M733" s="5" t="s">
        <v>2879</v>
      </c>
      <c r="N733" s="5" t="s">
        <v>2880</v>
      </c>
      <c r="O733" s="6" t="s">
        <v>246</v>
      </c>
      <c r="Q733" s="6" t="s">
        <v>67</v>
      </c>
      <c r="R733" s="6" t="s">
        <v>2288</v>
      </c>
      <c r="T733" s="6" t="s">
        <v>2137</v>
      </c>
      <c r="U733" s="7" t="n">
        <v>2</v>
      </c>
      <c r="V733" s="7" t="n">
        <v>2</v>
      </c>
      <c r="W733" s="8" t="s">
        <v>2881</v>
      </c>
      <c r="X733" s="8" t="s">
        <v>2881</v>
      </c>
      <c r="Y733" s="8" t="s">
        <v>2709</v>
      </c>
      <c r="Z733" s="8" t="s">
        <v>2709</v>
      </c>
      <c r="AA733" s="7" t="n">
        <v>72</v>
      </c>
      <c r="AB733" s="7" t="n">
        <v>69</v>
      </c>
      <c r="AC733" s="7" t="n">
        <v>72</v>
      </c>
      <c r="AD733" s="7" t="n">
        <v>1</v>
      </c>
      <c r="AE733" s="7" t="n">
        <v>1</v>
      </c>
      <c r="AF733" s="7" t="n">
        <v>9</v>
      </c>
      <c r="AG733" s="7" t="n">
        <v>10</v>
      </c>
      <c r="AH733" s="7" t="n">
        <v>2</v>
      </c>
      <c r="AI733" s="7" t="n">
        <v>3</v>
      </c>
      <c r="AJ733" s="7" t="n">
        <v>3</v>
      </c>
      <c r="AK733" s="7" t="n">
        <v>3</v>
      </c>
      <c r="AL733" s="7" t="n">
        <v>7</v>
      </c>
      <c r="AM733" s="7" t="n">
        <v>8</v>
      </c>
      <c r="AN733" s="7" t="n">
        <v>0</v>
      </c>
      <c r="AO733" s="7" t="n">
        <v>0</v>
      </c>
      <c r="AP733" s="7" t="n">
        <v>0</v>
      </c>
      <c r="AQ733" s="7" t="n">
        <v>0</v>
      </c>
      <c r="AR733" s="6" t="s">
        <v>63</v>
      </c>
      <c r="AS733" s="6" t="s">
        <v>63</v>
      </c>
      <c r="AU733" s="25" t="str">
        <f aca="false">HYPERLINK("https://creighton-primo.hosted.exlibrisgroup.com/primo-explore/search?tab=default_tab&amp;search_scope=EVERYTHING&amp;vid=01CRU&amp;lang=en_US&amp;offset=0&amp;query=any,contains,991004971319702656","Catalog Record")</f>
        <v>Catalog Record</v>
      </c>
      <c r="AV733" s="25" t="str">
        <f aca="false">HYPERLINK("http://www.worldcat.org/oclc/6359193","WorldCat Record")</f>
        <v>WorldCat Record</v>
      </c>
      <c r="AW733" s="6" t="s">
        <v>2882</v>
      </c>
      <c r="AX733" s="6" t="s">
        <v>2883</v>
      </c>
      <c r="AY733" s="6" t="s">
        <v>2884</v>
      </c>
      <c r="AZ733" s="6" t="s">
        <v>2884</v>
      </c>
      <c r="BA733" s="6" t="s">
        <v>2885</v>
      </c>
      <c r="BC733" s="6" t="s">
        <v>2886</v>
      </c>
      <c r="BE733" s="15" t="s">
        <v>2145</v>
      </c>
      <c r="BF733" s="6" t="s">
        <v>2887</v>
      </c>
    </row>
    <row r="734" customFormat="false" ht="105.5" hidden="false" customHeight="false" outlineLevel="0" collapsed="false">
      <c r="A734" s="4" t="s">
        <v>63</v>
      </c>
      <c r="B734" s="5" t="s">
        <v>2129</v>
      </c>
      <c r="C734" s="5" t="s">
        <v>2130</v>
      </c>
      <c r="D734" s="5" t="s">
        <v>2888</v>
      </c>
      <c r="E734" s="5" t="s">
        <v>2889</v>
      </c>
      <c r="F734" s="5" t="s">
        <v>2890</v>
      </c>
      <c r="H734" s="6" t="s">
        <v>63</v>
      </c>
      <c r="I734" s="6" t="s">
        <v>62</v>
      </c>
      <c r="J734" s="6" t="s">
        <v>63</v>
      </c>
      <c r="K734" s="6" t="s">
        <v>63</v>
      </c>
      <c r="L734" s="6" t="s">
        <v>64</v>
      </c>
      <c r="M734" s="5" t="s">
        <v>2891</v>
      </c>
      <c r="N734" s="5" t="s">
        <v>2892</v>
      </c>
      <c r="O734" s="6" t="s">
        <v>2893</v>
      </c>
      <c r="Q734" s="6" t="s">
        <v>67</v>
      </c>
      <c r="R734" s="6" t="s">
        <v>2894</v>
      </c>
      <c r="T734" s="6" t="s">
        <v>2137</v>
      </c>
      <c r="U734" s="7" t="n">
        <v>3</v>
      </c>
      <c r="V734" s="7" t="n">
        <v>3</v>
      </c>
      <c r="W734" s="8" t="s">
        <v>2895</v>
      </c>
      <c r="X734" s="8" t="s">
        <v>2895</v>
      </c>
      <c r="Y734" s="8" t="s">
        <v>2695</v>
      </c>
      <c r="Z734" s="8" t="s">
        <v>2695</v>
      </c>
      <c r="AA734" s="7" t="n">
        <v>693</v>
      </c>
      <c r="AB734" s="7" t="n">
        <v>592</v>
      </c>
      <c r="AC734" s="7" t="n">
        <v>592</v>
      </c>
      <c r="AD734" s="7" t="n">
        <v>4</v>
      </c>
      <c r="AE734" s="7" t="n">
        <v>4</v>
      </c>
      <c r="AF734" s="7" t="n">
        <v>31</v>
      </c>
      <c r="AG734" s="7" t="n">
        <v>31</v>
      </c>
      <c r="AH734" s="7" t="n">
        <v>11</v>
      </c>
      <c r="AI734" s="7" t="n">
        <v>11</v>
      </c>
      <c r="AJ734" s="7" t="n">
        <v>8</v>
      </c>
      <c r="AK734" s="7" t="n">
        <v>8</v>
      </c>
      <c r="AL734" s="7" t="n">
        <v>17</v>
      </c>
      <c r="AM734" s="7" t="n">
        <v>17</v>
      </c>
      <c r="AN734" s="7" t="n">
        <v>2</v>
      </c>
      <c r="AO734" s="7" t="n">
        <v>2</v>
      </c>
      <c r="AP734" s="7" t="n">
        <v>1</v>
      </c>
      <c r="AQ734" s="7" t="n">
        <v>1</v>
      </c>
      <c r="AR734" s="6" t="s">
        <v>63</v>
      </c>
      <c r="AS734" s="6" t="s">
        <v>63</v>
      </c>
      <c r="AU734" s="25" t="str">
        <f aca="false">HYPERLINK("https://creighton-primo.hosted.exlibrisgroup.com/primo-explore/search?tab=default_tab&amp;search_scope=EVERYTHING&amp;vid=01CRU&amp;lang=en_US&amp;offset=0&amp;query=any,contains,991003540339702656","Catalog Record")</f>
        <v>Catalog Record</v>
      </c>
      <c r="AV734" s="25" t="str">
        <f aca="false">HYPERLINK("http://www.worldcat.org/oclc/1104357","WorldCat Record")</f>
        <v>WorldCat Record</v>
      </c>
      <c r="AW734" s="6" t="s">
        <v>2896</v>
      </c>
      <c r="AX734" s="6" t="s">
        <v>2897</v>
      </c>
      <c r="AY734" s="6" t="s">
        <v>2898</v>
      </c>
      <c r="AZ734" s="6" t="s">
        <v>2898</v>
      </c>
      <c r="BA734" s="6" t="s">
        <v>2899</v>
      </c>
      <c r="BB734" s="6" t="s">
        <v>2900</v>
      </c>
      <c r="BC734" s="6" t="s">
        <v>2901</v>
      </c>
      <c r="BE734" s="15" t="s">
        <v>2145</v>
      </c>
      <c r="BF734" s="6" t="s">
        <v>2902</v>
      </c>
    </row>
    <row r="735" customFormat="false" ht="232" hidden="false" customHeight="false" outlineLevel="0" collapsed="false">
      <c r="A735" s="4" t="s">
        <v>63</v>
      </c>
      <c r="B735" s="5" t="s">
        <v>2129</v>
      </c>
      <c r="C735" s="5" t="s">
        <v>2130</v>
      </c>
      <c r="D735" s="5" t="s">
        <v>2903</v>
      </c>
      <c r="E735" s="5" t="s">
        <v>2904</v>
      </c>
      <c r="F735" s="5" t="s">
        <v>2905</v>
      </c>
      <c r="H735" s="6" t="s">
        <v>63</v>
      </c>
      <c r="I735" s="6" t="s">
        <v>62</v>
      </c>
      <c r="J735" s="6" t="s">
        <v>63</v>
      </c>
      <c r="K735" s="6" t="s">
        <v>63</v>
      </c>
      <c r="L735" s="6" t="s">
        <v>64</v>
      </c>
      <c r="M735" s="5" t="s">
        <v>2906</v>
      </c>
      <c r="N735" s="5" t="s">
        <v>2907</v>
      </c>
      <c r="O735" s="6" t="s">
        <v>2811</v>
      </c>
      <c r="Q735" s="6" t="s">
        <v>67</v>
      </c>
      <c r="R735" s="6" t="s">
        <v>68</v>
      </c>
      <c r="T735" s="6" t="s">
        <v>2137</v>
      </c>
      <c r="U735" s="7" t="n">
        <v>2</v>
      </c>
      <c r="V735" s="7" t="n">
        <v>2</v>
      </c>
      <c r="W735" s="8" t="s">
        <v>2908</v>
      </c>
      <c r="X735" s="8" t="s">
        <v>2908</v>
      </c>
      <c r="Y735" s="8" t="s">
        <v>2695</v>
      </c>
      <c r="Z735" s="8" t="s">
        <v>2695</v>
      </c>
      <c r="AA735" s="7" t="n">
        <v>392</v>
      </c>
      <c r="AB735" s="7" t="n">
        <v>333</v>
      </c>
      <c r="AC735" s="7" t="n">
        <v>407</v>
      </c>
      <c r="AD735" s="7" t="n">
        <v>3</v>
      </c>
      <c r="AE735" s="7" t="n">
        <v>3</v>
      </c>
      <c r="AF735" s="7" t="n">
        <v>17</v>
      </c>
      <c r="AG735" s="7" t="n">
        <v>19</v>
      </c>
      <c r="AH735" s="7" t="n">
        <v>4</v>
      </c>
      <c r="AI735" s="7" t="n">
        <v>5</v>
      </c>
      <c r="AJ735" s="7" t="n">
        <v>6</v>
      </c>
      <c r="AK735" s="7" t="n">
        <v>6</v>
      </c>
      <c r="AL735" s="7" t="n">
        <v>10</v>
      </c>
      <c r="AM735" s="7" t="n">
        <v>11</v>
      </c>
      <c r="AN735" s="7" t="n">
        <v>2</v>
      </c>
      <c r="AO735" s="7" t="n">
        <v>2</v>
      </c>
      <c r="AP735" s="7" t="n">
        <v>0</v>
      </c>
      <c r="AQ735" s="7" t="n">
        <v>0</v>
      </c>
      <c r="AR735" s="6" t="s">
        <v>63</v>
      </c>
      <c r="AS735" s="6" t="s">
        <v>63</v>
      </c>
      <c r="AU735" s="25" t="str">
        <f aca="false">HYPERLINK("https://creighton-primo.hosted.exlibrisgroup.com/primo-explore/search?tab=default_tab&amp;search_scope=EVERYTHING&amp;vid=01CRU&amp;lang=en_US&amp;offset=0&amp;query=any,contains,991000718939702656","Catalog Record")</f>
        <v>Catalog Record</v>
      </c>
      <c r="AV735" s="25" t="str">
        <f aca="false">HYPERLINK("http://www.worldcat.org/oclc/126032","WorldCat Record")</f>
        <v>WorldCat Record</v>
      </c>
      <c r="AW735" s="6" t="s">
        <v>2909</v>
      </c>
      <c r="AX735" s="6" t="s">
        <v>2910</v>
      </c>
      <c r="AY735" s="6" t="s">
        <v>2911</v>
      </c>
      <c r="AZ735" s="6" t="s">
        <v>2911</v>
      </c>
      <c r="BA735" s="6" t="s">
        <v>2912</v>
      </c>
      <c r="BB735" s="6" t="s">
        <v>2913</v>
      </c>
      <c r="BC735" s="6" t="s">
        <v>2914</v>
      </c>
      <c r="BE735" s="15" t="s">
        <v>2145</v>
      </c>
      <c r="BF735" s="6" t="s">
        <v>2915</v>
      </c>
    </row>
    <row r="736" customFormat="false" ht="140" hidden="false" customHeight="false" outlineLevel="0" collapsed="false">
      <c r="A736" s="4" t="s">
        <v>63</v>
      </c>
      <c r="B736" s="5" t="s">
        <v>2129</v>
      </c>
      <c r="C736" s="5" t="s">
        <v>2130</v>
      </c>
      <c r="D736" s="5" t="s">
        <v>2916</v>
      </c>
      <c r="E736" s="5" t="s">
        <v>2917</v>
      </c>
      <c r="F736" s="5" t="s">
        <v>2918</v>
      </c>
      <c r="H736" s="6" t="s">
        <v>63</v>
      </c>
      <c r="I736" s="6" t="s">
        <v>62</v>
      </c>
      <c r="J736" s="6" t="s">
        <v>63</v>
      </c>
      <c r="K736" s="6" t="s">
        <v>63</v>
      </c>
      <c r="L736" s="6" t="s">
        <v>64</v>
      </c>
      <c r="M736" s="5" t="s">
        <v>2919</v>
      </c>
      <c r="N736" s="5" t="s">
        <v>2920</v>
      </c>
      <c r="O736" s="6" t="s">
        <v>152</v>
      </c>
      <c r="Q736" s="6" t="s">
        <v>67</v>
      </c>
      <c r="R736" s="6" t="s">
        <v>68</v>
      </c>
      <c r="S736" s="5" t="s">
        <v>2921</v>
      </c>
      <c r="T736" s="6" t="s">
        <v>2137</v>
      </c>
      <c r="U736" s="7" t="n">
        <v>5</v>
      </c>
      <c r="V736" s="7" t="n">
        <v>5</v>
      </c>
      <c r="W736" s="8" t="s">
        <v>2922</v>
      </c>
      <c r="X736" s="8" t="s">
        <v>2922</v>
      </c>
      <c r="Y736" s="8" t="s">
        <v>2709</v>
      </c>
      <c r="Z736" s="8" t="s">
        <v>2709</v>
      </c>
      <c r="AA736" s="7" t="n">
        <v>234</v>
      </c>
      <c r="AB736" s="7" t="n">
        <v>205</v>
      </c>
      <c r="AC736" s="7" t="n">
        <v>221</v>
      </c>
      <c r="AD736" s="7" t="n">
        <v>1</v>
      </c>
      <c r="AE736" s="7" t="n">
        <v>1</v>
      </c>
      <c r="AF736" s="7" t="n">
        <v>14</v>
      </c>
      <c r="AG736" s="7" t="n">
        <v>15</v>
      </c>
      <c r="AH736" s="7" t="n">
        <v>5</v>
      </c>
      <c r="AI736" s="7" t="n">
        <v>5</v>
      </c>
      <c r="AJ736" s="7" t="n">
        <v>2</v>
      </c>
      <c r="AK736" s="7" t="n">
        <v>3</v>
      </c>
      <c r="AL736" s="7" t="n">
        <v>7</v>
      </c>
      <c r="AM736" s="7" t="n">
        <v>8</v>
      </c>
      <c r="AN736" s="7" t="n">
        <v>0</v>
      </c>
      <c r="AO736" s="7" t="n">
        <v>0</v>
      </c>
      <c r="AP736" s="7" t="n">
        <v>3</v>
      </c>
      <c r="AQ736" s="7" t="n">
        <v>3</v>
      </c>
      <c r="AR736" s="6" t="s">
        <v>63</v>
      </c>
      <c r="AS736" s="6" t="s">
        <v>57</v>
      </c>
      <c r="AT736" s="25" t="str">
        <f aca="false">HYPERLINK("http://catalog.hathitrust.org/Record/000422239","HathiTrust Record")</f>
        <v>HathiTrust Record</v>
      </c>
      <c r="AU736" s="25" t="str">
        <f aca="false">HYPERLINK("https://creighton-primo.hosted.exlibrisgroup.com/primo-explore/search?tab=default_tab&amp;search_scope=EVERYTHING&amp;vid=01CRU&amp;lang=en_US&amp;offset=0&amp;query=any,contains,991000399929702656","Catalog Record")</f>
        <v>Catalog Record</v>
      </c>
      <c r="AV736" s="25" t="str">
        <f aca="false">HYPERLINK("http://www.worldcat.org/oclc/10605853","WorldCat Record")</f>
        <v>WorldCat Record</v>
      </c>
      <c r="AW736" s="6" t="s">
        <v>2923</v>
      </c>
      <c r="AX736" s="6" t="s">
        <v>2924</v>
      </c>
      <c r="AY736" s="6" t="s">
        <v>2925</v>
      </c>
      <c r="AZ736" s="6" t="s">
        <v>2925</v>
      </c>
      <c r="BA736" s="6" t="s">
        <v>2926</v>
      </c>
      <c r="BB736" s="6" t="s">
        <v>2927</v>
      </c>
      <c r="BC736" s="6" t="s">
        <v>2928</v>
      </c>
      <c r="BE736" s="15" t="s">
        <v>2145</v>
      </c>
      <c r="BF736" s="6" t="s">
        <v>2929</v>
      </c>
    </row>
    <row r="737" customFormat="false" ht="117" hidden="false" customHeight="false" outlineLevel="0" collapsed="false">
      <c r="A737" s="4" t="s">
        <v>63</v>
      </c>
      <c r="B737" s="5" t="s">
        <v>2129</v>
      </c>
      <c r="C737" s="5" t="s">
        <v>2130</v>
      </c>
      <c r="D737" s="5" t="s">
        <v>2930</v>
      </c>
      <c r="E737" s="5" t="s">
        <v>2931</v>
      </c>
      <c r="F737" s="5" t="s">
        <v>2932</v>
      </c>
      <c r="H737" s="6" t="s">
        <v>63</v>
      </c>
      <c r="I737" s="6" t="s">
        <v>62</v>
      </c>
      <c r="J737" s="6" t="s">
        <v>63</v>
      </c>
      <c r="K737" s="6" t="s">
        <v>63</v>
      </c>
      <c r="L737" s="6" t="s">
        <v>64</v>
      </c>
      <c r="M737" s="5" t="s">
        <v>2933</v>
      </c>
      <c r="N737" s="5" t="s">
        <v>2934</v>
      </c>
      <c r="O737" s="6" t="s">
        <v>2811</v>
      </c>
      <c r="Q737" s="6" t="s">
        <v>67</v>
      </c>
      <c r="R737" s="6" t="s">
        <v>68</v>
      </c>
      <c r="S737" s="5" t="s">
        <v>2935</v>
      </c>
      <c r="T737" s="6" t="s">
        <v>2137</v>
      </c>
      <c r="U737" s="7" t="n">
        <v>1</v>
      </c>
      <c r="V737" s="7" t="n">
        <v>1</v>
      </c>
      <c r="W737" s="8" t="s">
        <v>2936</v>
      </c>
      <c r="X737" s="8" t="s">
        <v>2936</v>
      </c>
      <c r="Y737" s="8" t="s">
        <v>2695</v>
      </c>
      <c r="Z737" s="8" t="s">
        <v>2695</v>
      </c>
      <c r="AA737" s="7" t="n">
        <v>180</v>
      </c>
      <c r="AB737" s="7" t="n">
        <v>167</v>
      </c>
      <c r="AC737" s="7" t="n">
        <v>525</v>
      </c>
      <c r="AD737" s="7" t="n">
        <v>2</v>
      </c>
      <c r="AE737" s="7" t="n">
        <v>3</v>
      </c>
      <c r="AF737" s="7" t="n">
        <v>12</v>
      </c>
      <c r="AG737" s="7" t="n">
        <v>27</v>
      </c>
      <c r="AH737" s="7" t="n">
        <v>4</v>
      </c>
      <c r="AI737" s="7" t="n">
        <v>11</v>
      </c>
      <c r="AJ737" s="7" t="n">
        <v>2</v>
      </c>
      <c r="AK737" s="7" t="n">
        <v>7</v>
      </c>
      <c r="AL737" s="7" t="n">
        <v>8</v>
      </c>
      <c r="AM737" s="7" t="n">
        <v>14</v>
      </c>
      <c r="AN737" s="7" t="n">
        <v>1</v>
      </c>
      <c r="AO737" s="7" t="n">
        <v>2</v>
      </c>
      <c r="AP737" s="7" t="n">
        <v>0</v>
      </c>
      <c r="AQ737" s="7" t="n">
        <v>0</v>
      </c>
      <c r="AR737" s="6" t="s">
        <v>63</v>
      </c>
      <c r="AS737" s="6" t="s">
        <v>57</v>
      </c>
      <c r="AT737" s="25" t="str">
        <f aca="false">HYPERLINK("http://catalog.hathitrust.org/Record/102070067","HathiTrust Record")</f>
        <v>HathiTrust Record</v>
      </c>
      <c r="AU737" s="25" t="str">
        <f aca="false">HYPERLINK("https://creighton-primo.hosted.exlibrisgroup.com/primo-explore/search?tab=default_tab&amp;search_scope=EVERYTHING&amp;vid=01CRU&amp;lang=en_US&amp;offset=0&amp;query=any,contains,991001750399702656","Catalog Record")</f>
        <v>Catalog Record</v>
      </c>
      <c r="AV737" s="25" t="str">
        <f aca="false">HYPERLINK("http://www.worldcat.org/oclc/235621","WorldCat Record")</f>
        <v>WorldCat Record</v>
      </c>
      <c r="AW737" s="6" t="s">
        <v>2937</v>
      </c>
      <c r="AX737" s="6" t="s">
        <v>2938</v>
      </c>
      <c r="AY737" s="6" t="s">
        <v>2939</v>
      </c>
      <c r="AZ737" s="6" t="s">
        <v>2939</v>
      </c>
      <c r="BA737" s="6" t="s">
        <v>2940</v>
      </c>
      <c r="BB737" s="6" t="s">
        <v>2941</v>
      </c>
      <c r="BC737" s="6" t="s">
        <v>2942</v>
      </c>
      <c r="BE737" s="15" t="s">
        <v>2145</v>
      </c>
      <c r="BF737" s="6" t="s">
        <v>2943</v>
      </c>
    </row>
    <row r="738" customFormat="false" ht="71" hidden="false" customHeight="false" outlineLevel="0" collapsed="false">
      <c r="A738" s="4" t="s">
        <v>63</v>
      </c>
      <c r="B738" s="5" t="s">
        <v>2129</v>
      </c>
      <c r="C738" s="5" t="s">
        <v>2130</v>
      </c>
      <c r="D738" s="5" t="s">
        <v>2944</v>
      </c>
      <c r="E738" s="5" t="s">
        <v>2945</v>
      </c>
      <c r="F738" s="5" t="s">
        <v>2946</v>
      </c>
      <c r="H738" s="6" t="s">
        <v>63</v>
      </c>
      <c r="I738" s="6" t="s">
        <v>62</v>
      </c>
      <c r="J738" s="6" t="s">
        <v>63</v>
      </c>
      <c r="K738" s="6" t="s">
        <v>63</v>
      </c>
      <c r="L738" s="6" t="s">
        <v>64</v>
      </c>
      <c r="M738" s="5" t="s">
        <v>2947</v>
      </c>
      <c r="N738" s="5" t="s">
        <v>2948</v>
      </c>
      <c r="O738" s="6" t="s">
        <v>264</v>
      </c>
      <c r="Q738" s="6" t="s">
        <v>67</v>
      </c>
      <c r="R738" s="6" t="s">
        <v>181</v>
      </c>
      <c r="T738" s="6" t="s">
        <v>2137</v>
      </c>
      <c r="U738" s="7" t="n">
        <v>3</v>
      </c>
      <c r="V738" s="7" t="n">
        <v>3</v>
      </c>
      <c r="W738" s="8" t="s">
        <v>2949</v>
      </c>
      <c r="X738" s="8" t="s">
        <v>2949</v>
      </c>
      <c r="Y738" s="8" t="s">
        <v>2709</v>
      </c>
      <c r="Z738" s="8" t="s">
        <v>2709</v>
      </c>
      <c r="AA738" s="7" t="n">
        <v>227</v>
      </c>
      <c r="AB738" s="7" t="n">
        <v>198</v>
      </c>
      <c r="AC738" s="7" t="n">
        <v>455</v>
      </c>
      <c r="AD738" s="7" t="n">
        <v>2</v>
      </c>
      <c r="AE738" s="7" t="n">
        <v>4</v>
      </c>
      <c r="AF738" s="7" t="n">
        <v>14</v>
      </c>
      <c r="AG738" s="7" t="n">
        <v>21</v>
      </c>
      <c r="AH738" s="7" t="n">
        <v>6</v>
      </c>
      <c r="AI738" s="7" t="n">
        <v>8</v>
      </c>
      <c r="AJ738" s="7" t="n">
        <v>6</v>
      </c>
      <c r="AK738" s="7" t="n">
        <v>8</v>
      </c>
      <c r="AL738" s="7" t="n">
        <v>6</v>
      </c>
      <c r="AM738" s="7" t="n">
        <v>9</v>
      </c>
      <c r="AN738" s="7" t="n">
        <v>1</v>
      </c>
      <c r="AO738" s="7" t="n">
        <v>3</v>
      </c>
      <c r="AP738" s="7" t="n">
        <v>0</v>
      </c>
      <c r="AQ738" s="7" t="n">
        <v>0</v>
      </c>
      <c r="AR738" s="6" t="s">
        <v>63</v>
      </c>
      <c r="AS738" s="6" t="s">
        <v>63</v>
      </c>
      <c r="AU738" s="25" t="str">
        <f aca="false">HYPERLINK("https://creighton-primo.hosted.exlibrisgroup.com/primo-explore/search?tab=default_tab&amp;search_scope=EVERYTHING&amp;vid=01CRU&amp;lang=en_US&amp;offset=0&amp;query=any,contains,991000599349702656","Catalog Record")</f>
        <v>Catalog Record</v>
      </c>
      <c r="AV738" s="25" t="str">
        <f aca="false">HYPERLINK("http://www.worldcat.org/oclc/98071","WorldCat Record")</f>
        <v>WorldCat Record</v>
      </c>
      <c r="AW738" s="6" t="s">
        <v>2950</v>
      </c>
      <c r="AX738" s="6" t="s">
        <v>2951</v>
      </c>
      <c r="AY738" s="6" t="s">
        <v>2952</v>
      </c>
      <c r="AZ738" s="6" t="s">
        <v>2952</v>
      </c>
      <c r="BA738" s="6" t="s">
        <v>2953</v>
      </c>
      <c r="BB738" s="6" t="s">
        <v>2954</v>
      </c>
      <c r="BC738" s="6" t="s">
        <v>2955</v>
      </c>
      <c r="BE738" s="15" t="s">
        <v>2145</v>
      </c>
      <c r="BF738" s="6" t="s">
        <v>2956</v>
      </c>
    </row>
    <row r="739" customFormat="false" ht="117" hidden="false" customHeight="false" outlineLevel="0" collapsed="false">
      <c r="A739" s="4" t="s">
        <v>63</v>
      </c>
      <c r="B739" s="5" t="s">
        <v>2129</v>
      </c>
      <c r="C739" s="5" t="s">
        <v>2130</v>
      </c>
      <c r="D739" s="5" t="s">
        <v>2957</v>
      </c>
      <c r="E739" s="5" t="s">
        <v>2958</v>
      </c>
      <c r="F739" s="5" t="s">
        <v>2959</v>
      </c>
      <c r="H739" s="6" t="s">
        <v>63</v>
      </c>
      <c r="I739" s="6" t="s">
        <v>62</v>
      </c>
      <c r="J739" s="6" t="s">
        <v>63</v>
      </c>
      <c r="K739" s="6" t="s">
        <v>63</v>
      </c>
      <c r="L739" s="6" t="s">
        <v>64</v>
      </c>
      <c r="M739" s="5" t="s">
        <v>2960</v>
      </c>
      <c r="N739" s="5" t="s">
        <v>2961</v>
      </c>
      <c r="O739" s="6" t="s">
        <v>2693</v>
      </c>
      <c r="Q739" s="6" t="s">
        <v>67</v>
      </c>
      <c r="R739" s="6" t="s">
        <v>384</v>
      </c>
      <c r="S739" s="5" t="s">
        <v>2962</v>
      </c>
      <c r="T739" s="6" t="s">
        <v>2137</v>
      </c>
      <c r="U739" s="7" t="n">
        <v>2</v>
      </c>
      <c r="V739" s="7" t="n">
        <v>2</v>
      </c>
      <c r="W739" s="8" t="s">
        <v>2963</v>
      </c>
      <c r="X739" s="8" t="s">
        <v>2963</v>
      </c>
      <c r="Y739" s="8" t="s">
        <v>2653</v>
      </c>
      <c r="Z739" s="8" t="s">
        <v>2653</v>
      </c>
      <c r="AA739" s="7" t="n">
        <v>501</v>
      </c>
      <c r="AB739" s="7" t="n">
        <v>441</v>
      </c>
      <c r="AC739" s="7" t="n">
        <v>521</v>
      </c>
      <c r="AD739" s="7" t="n">
        <v>2</v>
      </c>
      <c r="AE739" s="7" t="n">
        <v>3</v>
      </c>
      <c r="AF739" s="7" t="n">
        <v>27</v>
      </c>
      <c r="AG739" s="7" t="n">
        <v>31</v>
      </c>
      <c r="AH739" s="7" t="n">
        <v>12</v>
      </c>
      <c r="AI739" s="7" t="n">
        <v>12</v>
      </c>
      <c r="AJ739" s="7" t="n">
        <v>4</v>
      </c>
      <c r="AK739" s="7" t="n">
        <v>6</v>
      </c>
      <c r="AL739" s="7" t="n">
        <v>18</v>
      </c>
      <c r="AM739" s="7" t="n">
        <v>20</v>
      </c>
      <c r="AN739" s="7" t="n">
        <v>1</v>
      </c>
      <c r="AO739" s="7" t="n">
        <v>2</v>
      </c>
      <c r="AP739" s="7" t="n">
        <v>0</v>
      </c>
      <c r="AQ739" s="7" t="n">
        <v>0</v>
      </c>
      <c r="AR739" s="6" t="s">
        <v>63</v>
      </c>
      <c r="AS739" s="6" t="s">
        <v>63</v>
      </c>
      <c r="AU739" s="25" t="str">
        <f aca="false">HYPERLINK("https://creighton-primo.hosted.exlibrisgroup.com/primo-explore/search?tab=default_tab&amp;search_scope=EVERYTHING&amp;vid=01CRU&amp;lang=en_US&amp;offset=0&amp;query=any,contains,991000940079702656","Catalog Record")</f>
        <v>Catalog Record</v>
      </c>
      <c r="AV739" s="25" t="str">
        <f aca="false">HYPERLINK("http://www.worldcat.org/oclc/165940","WorldCat Record")</f>
        <v>WorldCat Record</v>
      </c>
      <c r="AW739" s="6" t="s">
        <v>2964</v>
      </c>
      <c r="AX739" s="6" t="s">
        <v>2965</v>
      </c>
      <c r="AY739" s="6" t="s">
        <v>2966</v>
      </c>
      <c r="AZ739" s="6" t="s">
        <v>2966</v>
      </c>
      <c r="BA739" s="6" t="s">
        <v>2967</v>
      </c>
      <c r="BC739" s="6" t="s">
        <v>2968</v>
      </c>
      <c r="BE739" s="15" t="s">
        <v>2145</v>
      </c>
      <c r="BF739" s="6" t="s">
        <v>2969</v>
      </c>
    </row>
    <row r="740" customFormat="false" ht="94" hidden="false" customHeight="false" outlineLevel="0" collapsed="false">
      <c r="A740" s="4" t="s">
        <v>63</v>
      </c>
      <c r="B740" s="5" t="s">
        <v>2129</v>
      </c>
      <c r="C740" s="5" t="s">
        <v>2130</v>
      </c>
      <c r="D740" s="5" t="s">
        <v>2970</v>
      </c>
      <c r="E740" s="5" t="s">
        <v>2971</v>
      </c>
      <c r="F740" s="5" t="s">
        <v>2972</v>
      </c>
      <c r="H740" s="6" t="s">
        <v>63</v>
      </c>
      <c r="I740" s="6" t="s">
        <v>62</v>
      </c>
      <c r="J740" s="6" t="s">
        <v>63</v>
      </c>
      <c r="K740" s="6" t="s">
        <v>57</v>
      </c>
      <c r="L740" s="6" t="s">
        <v>64</v>
      </c>
      <c r="M740" s="5" t="s">
        <v>2973</v>
      </c>
      <c r="N740" s="5" t="s">
        <v>2974</v>
      </c>
      <c r="O740" s="6" t="s">
        <v>2975</v>
      </c>
      <c r="Q740" s="6" t="s">
        <v>67</v>
      </c>
      <c r="R740" s="6" t="s">
        <v>272</v>
      </c>
      <c r="S740" s="5" t="s">
        <v>2976</v>
      </c>
      <c r="T740" s="6" t="s">
        <v>2137</v>
      </c>
      <c r="U740" s="7" t="n">
        <v>4</v>
      </c>
      <c r="V740" s="7" t="n">
        <v>4</v>
      </c>
      <c r="W740" s="8" t="s">
        <v>2977</v>
      </c>
      <c r="X740" s="8" t="s">
        <v>2977</v>
      </c>
      <c r="Y740" s="8" t="s">
        <v>2709</v>
      </c>
      <c r="Z740" s="8" t="s">
        <v>2709</v>
      </c>
      <c r="AA740" s="7" t="n">
        <v>61</v>
      </c>
      <c r="AB740" s="7" t="n">
        <v>57</v>
      </c>
      <c r="AC740" s="7" t="n">
        <v>951</v>
      </c>
      <c r="AD740" s="7" t="n">
        <v>2</v>
      </c>
      <c r="AE740" s="7" t="n">
        <v>7</v>
      </c>
      <c r="AF740" s="7" t="n">
        <v>3</v>
      </c>
      <c r="AG740" s="7" t="n">
        <v>66</v>
      </c>
      <c r="AH740" s="7" t="n">
        <v>1</v>
      </c>
      <c r="AI740" s="7" t="n">
        <v>19</v>
      </c>
      <c r="AJ740" s="7" t="n">
        <v>1</v>
      </c>
      <c r="AK740" s="7" t="n">
        <v>9</v>
      </c>
      <c r="AL740" s="7" t="n">
        <v>1</v>
      </c>
      <c r="AM740" s="7" t="n">
        <v>24</v>
      </c>
      <c r="AN740" s="7" t="n">
        <v>0</v>
      </c>
      <c r="AO740" s="7" t="n">
        <v>3</v>
      </c>
      <c r="AP740" s="7" t="n">
        <v>0</v>
      </c>
      <c r="AQ740" s="7" t="n">
        <v>23</v>
      </c>
      <c r="AR740" s="6" t="s">
        <v>63</v>
      </c>
      <c r="AS740" s="6" t="s">
        <v>63</v>
      </c>
      <c r="AU740" s="25" t="str">
        <f aca="false">HYPERLINK("https://creighton-primo.hosted.exlibrisgroup.com/primo-explore/search?tab=default_tab&amp;search_scope=EVERYTHING&amp;vid=01CRU&amp;lang=en_US&amp;offset=0&amp;query=any,contains,991004470209702656","Catalog Record")</f>
        <v>Catalog Record</v>
      </c>
      <c r="AV740" s="25" t="str">
        <f aca="false">HYPERLINK("http://www.worldcat.org/oclc/3592162","WorldCat Record")</f>
        <v>WorldCat Record</v>
      </c>
      <c r="AW740" s="6" t="s">
        <v>2978</v>
      </c>
      <c r="AX740" s="6" t="s">
        <v>2979</v>
      </c>
      <c r="AY740" s="6" t="s">
        <v>2980</v>
      </c>
      <c r="AZ740" s="6" t="s">
        <v>2980</v>
      </c>
      <c r="BA740" s="6" t="s">
        <v>2981</v>
      </c>
      <c r="BC740" s="6" t="s">
        <v>2982</v>
      </c>
      <c r="BE740" s="15" t="s">
        <v>2145</v>
      </c>
      <c r="BF740" s="6" t="s">
        <v>2983</v>
      </c>
    </row>
    <row r="741" customFormat="false" ht="117" hidden="false" customHeight="false" outlineLevel="0" collapsed="false">
      <c r="A741" s="4" t="s">
        <v>57</v>
      </c>
      <c r="B741" s="5" t="s">
        <v>2129</v>
      </c>
      <c r="C741" s="5" t="s">
        <v>2130</v>
      </c>
      <c r="D741" s="5" t="s">
        <v>2984</v>
      </c>
      <c r="E741" s="5" t="s">
        <v>2985</v>
      </c>
      <c r="F741" s="5" t="s">
        <v>2986</v>
      </c>
      <c r="H741" s="6" t="s">
        <v>63</v>
      </c>
      <c r="I741" s="6" t="s">
        <v>62</v>
      </c>
      <c r="J741" s="6" t="s">
        <v>63</v>
      </c>
      <c r="K741" s="6" t="s">
        <v>63</v>
      </c>
      <c r="L741" s="6" t="s">
        <v>64</v>
      </c>
      <c r="M741" s="5" t="s">
        <v>2987</v>
      </c>
      <c r="N741" s="5" t="s">
        <v>2988</v>
      </c>
      <c r="O741" s="6" t="s">
        <v>2315</v>
      </c>
      <c r="Q741" s="6" t="s">
        <v>67</v>
      </c>
      <c r="R741" s="6" t="s">
        <v>384</v>
      </c>
      <c r="S741" s="5" t="s">
        <v>2989</v>
      </c>
      <c r="T741" s="6" t="s">
        <v>2137</v>
      </c>
      <c r="U741" s="7" t="n">
        <v>3</v>
      </c>
      <c r="V741" s="7" t="n">
        <v>3</v>
      </c>
      <c r="W741" s="8" t="s">
        <v>2990</v>
      </c>
      <c r="X741" s="8" t="s">
        <v>2990</v>
      </c>
      <c r="Y741" s="8" t="s">
        <v>2709</v>
      </c>
      <c r="Z741" s="8" t="s">
        <v>2709</v>
      </c>
      <c r="AA741" s="7" t="n">
        <v>645</v>
      </c>
      <c r="AB741" s="7" t="n">
        <v>465</v>
      </c>
      <c r="AC741" s="7" t="n">
        <v>552</v>
      </c>
      <c r="AD741" s="7" t="n">
        <v>3</v>
      </c>
      <c r="AE741" s="7" t="n">
        <v>3</v>
      </c>
      <c r="AF741" s="7" t="n">
        <v>26</v>
      </c>
      <c r="AG741" s="7" t="n">
        <v>30</v>
      </c>
      <c r="AH741" s="7" t="n">
        <v>9</v>
      </c>
      <c r="AI741" s="7" t="n">
        <v>11</v>
      </c>
      <c r="AJ741" s="7" t="n">
        <v>8</v>
      </c>
      <c r="AK741" s="7" t="n">
        <v>10</v>
      </c>
      <c r="AL741" s="7" t="n">
        <v>18</v>
      </c>
      <c r="AM741" s="7" t="n">
        <v>19</v>
      </c>
      <c r="AN741" s="7" t="n">
        <v>2</v>
      </c>
      <c r="AO741" s="7" t="n">
        <v>2</v>
      </c>
      <c r="AP741" s="7" t="n">
        <v>0</v>
      </c>
      <c r="AQ741" s="7" t="n">
        <v>0</v>
      </c>
      <c r="AR741" s="6" t="s">
        <v>63</v>
      </c>
      <c r="AS741" s="6" t="s">
        <v>57</v>
      </c>
      <c r="AT741" s="25" t="str">
        <f aca="false">HYPERLINK("http://catalog.hathitrust.org/Record/000609422","HathiTrust Record")</f>
        <v>HathiTrust Record</v>
      </c>
      <c r="AU741" s="25" t="str">
        <f aca="false">HYPERLINK("https://creighton-primo.hosted.exlibrisgroup.com/primo-explore/search?tab=default_tab&amp;search_scope=EVERYTHING&amp;vid=01CRU&amp;lang=en_US&amp;offset=0&amp;query=any,contains,991000543679702656","Catalog Record")</f>
        <v>Catalog Record</v>
      </c>
      <c r="AV741" s="25" t="str">
        <f aca="false">HYPERLINK("http://www.worldcat.org/oclc/11497949","WorldCat Record")</f>
        <v>WorldCat Record</v>
      </c>
      <c r="AW741" s="6" t="s">
        <v>2991</v>
      </c>
      <c r="AX741" s="6" t="s">
        <v>2992</v>
      </c>
      <c r="AY741" s="6" t="s">
        <v>2993</v>
      </c>
      <c r="AZ741" s="6" t="s">
        <v>2993</v>
      </c>
      <c r="BA741" s="6" t="s">
        <v>2994</v>
      </c>
      <c r="BB741" s="6" t="s">
        <v>2995</v>
      </c>
      <c r="BC741" s="6" t="s">
        <v>2996</v>
      </c>
      <c r="BE741" s="15" t="s">
        <v>2145</v>
      </c>
      <c r="BF741" s="6" t="s">
        <v>2997</v>
      </c>
    </row>
    <row r="742" customFormat="false" ht="105.5" hidden="false" customHeight="false" outlineLevel="0" collapsed="false">
      <c r="A742" s="4" t="s">
        <v>63</v>
      </c>
      <c r="B742" s="5" t="s">
        <v>2129</v>
      </c>
      <c r="C742" s="5" t="s">
        <v>2130</v>
      </c>
      <c r="D742" s="5" t="s">
        <v>2998</v>
      </c>
      <c r="E742" s="5" t="s">
        <v>2999</v>
      </c>
      <c r="F742" s="5" t="s">
        <v>3000</v>
      </c>
      <c r="H742" s="6" t="s">
        <v>63</v>
      </c>
      <c r="I742" s="6" t="s">
        <v>62</v>
      </c>
      <c r="J742" s="6" t="s">
        <v>63</v>
      </c>
      <c r="K742" s="6" t="s">
        <v>63</v>
      </c>
      <c r="L742" s="6" t="s">
        <v>64</v>
      </c>
      <c r="M742" s="5" t="s">
        <v>3001</v>
      </c>
      <c r="N742" s="5" t="s">
        <v>3002</v>
      </c>
      <c r="O742" s="6" t="s">
        <v>2811</v>
      </c>
      <c r="P742" s="5" t="s">
        <v>255</v>
      </c>
      <c r="Q742" s="6" t="s">
        <v>67</v>
      </c>
      <c r="R742" s="6" t="s">
        <v>68</v>
      </c>
      <c r="T742" s="6" t="s">
        <v>2137</v>
      </c>
      <c r="U742" s="7" t="n">
        <v>1</v>
      </c>
      <c r="V742" s="7" t="n">
        <v>1</v>
      </c>
      <c r="W742" s="8" t="s">
        <v>3003</v>
      </c>
      <c r="X742" s="8" t="s">
        <v>3003</v>
      </c>
      <c r="Y742" s="8" t="s">
        <v>2695</v>
      </c>
      <c r="Z742" s="8" t="s">
        <v>2695</v>
      </c>
      <c r="AA742" s="7" t="n">
        <v>304</v>
      </c>
      <c r="AB742" s="7" t="n">
        <v>288</v>
      </c>
      <c r="AC742" s="7" t="n">
        <v>329</v>
      </c>
      <c r="AD742" s="7" t="n">
        <v>1</v>
      </c>
      <c r="AE742" s="7" t="n">
        <v>1</v>
      </c>
      <c r="AF742" s="7" t="n">
        <v>13</v>
      </c>
      <c r="AG742" s="7" t="n">
        <v>13</v>
      </c>
      <c r="AH742" s="7" t="n">
        <v>5</v>
      </c>
      <c r="AI742" s="7" t="n">
        <v>5</v>
      </c>
      <c r="AJ742" s="7" t="n">
        <v>3</v>
      </c>
      <c r="AK742" s="7" t="n">
        <v>3</v>
      </c>
      <c r="AL742" s="7" t="n">
        <v>9</v>
      </c>
      <c r="AM742" s="7" t="n">
        <v>9</v>
      </c>
      <c r="AN742" s="7" t="n">
        <v>0</v>
      </c>
      <c r="AO742" s="7" t="n">
        <v>0</v>
      </c>
      <c r="AP742" s="7" t="n">
        <v>0</v>
      </c>
      <c r="AQ742" s="7" t="n">
        <v>0</v>
      </c>
      <c r="AR742" s="6" t="s">
        <v>63</v>
      </c>
      <c r="AS742" s="6" t="s">
        <v>57</v>
      </c>
      <c r="AT742" s="25" t="str">
        <f aca="false">HYPERLINK("http://catalog.hathitrust.org/Record/001390387","HathiTrust Record")</f>
        <v>HathiTrust Record</v>
      </c>
      <c r="AU742" s="25" t="str">
        <f aca="false">HYPERLINK("https://creighton-primo.hosted.exlibrisgroup.com/primo-explore/search?tab=default_tab&amp;search_scope=EVERYTHING&amp;vid=01CRU&amp;lang=en_US&amp;offset=0&amp;query=any,contains,991000779349702656","Catalog Record")</f>
        <v>Catalog Record</v>
      </c>
      <c r="AV742" s="25" t="str">
        <f aca="false">HYPERLINK("http://www.worldcat.org/oclc/134282","WorldCat Record")</f>
        <v>WorldCat Record</v>
      </c>
      <c r="AW742" s="6" t="s">
        <v>3004</v>
      </c>
      <c r="AX742" s="6" t="s">
        <v>3005</v>
      </c>
      <c r="AY742" s="6" t="s">
        <v>3006</v>
      </c>
      <c r="AZ742" s="6" t="s">
        <v>3006</v>
      </c>
      <c r="BA742" s="6" t="s">
        <v>3007</v>
      </c>
      <c r="BC742" s="6" t="s">
        <v>3008</v>
      </c>
      <c r="BE742" s="15" t="s">
        <v>2145</v>
      </c>
      <c r="BF742" s="6" t="s">
        <v>3009</v>
      </c>
    </row>
    <row r="743" customFormat="false" ht="105.5" hidden="false" customHeight="false" outlineLevel="0" collapsed="false">
      <c r="A743" s="4" t="s">
        <v>63</v>
      </c>
      <c r="B743" s="5" t="s">
        <v>2129</v>
      </c>
      <c r="C743" s="5" t="s">
        <v>2130</v>
      </c>
      <c r="D743" s="5" t="s">
        <v>3010</v>
      </c>
      <c r="E743" s="5" t="s">
        <v>3011</v>
      </c>
      <c r="F743" s="5" t="s">
        <v>3012</v>
      </c>
      <c r="H743" s="6" t="s">
        <v>63</v>
      </c>
      <c r="I743" s="6" t="s">
        <v>62</v>
      </c>
      <c r="J743" s="6" t="s">
        <v>63</v>
      </c>
      <c r="K743" s="6" t="s">
        <v>63</v>
      </c>
      <c r="L743" s="6" t="s">
        <v>64</v>
      </c>
      <c r="M743" s="5" t="s">
        <v>3013</v>
      </c>
      <c r="N743" s="5" t="s">
        <v>3014</v>
      </c>
      <c r="O743" s="6" t="s">
        <v>108</v>
      </c>
      <c r="Q743" s="6" t="s">
        <v>67</v>
      </c>
      <c r="R743" s="6" t="s">
        <v>181</v>
      </c>
      <c r="S743" s="5" t="s">
        <v>3015</v>
      </c>
      <c r="T743" s="6" t="s">
        <v>2137</v>
      </c>
      <c r="U743" s="7" t="n">
        <v>2</v>
      </c>
      <c r="V743" s="7" t="n">
        <v>2</v>
      </c>
      <c r="W743" s="8" t="s">
        <v>3016</v>
      </c>
      <c r="X743" s="8" t="s">
        <v>3016</v>
      </c>
      <c r="Y743" s="8" t="s">
        <v>2709</v>
      </c>
      <c r="Z743" s="8" t="s">
        <v>2709</v>
      </c>
      <c r="AA743" s="7" t="n">
        <v>460</v>
      </c>
      <c r="AB743" s="7" t="n">
        <v>382</v>
      </c>
      <c r="AC743" s="7" t="n">
        <v>384</v>
      </c>
      <c r="AD743" s="7" t="n">
        <v>3</v>
      </c>
      <c r="AE743" s="7" t="n">
        <v>3</v>
      </c>
      <c r="AF743" s="7" t="n">
        <v>16</v>
      </c>
      <c r="AG743" s="7" t="n">
        <v>16</v>
      </c>
      <c r="AH743" s="7" t="n">
        <v>4</v>
      </c>
      <c r="AI743" s="7" t="n">
        <v>4</v>
      </c>
      <c r="AJ743" s="7" t="n">
        <v>4</v>
      </c>
      <c r="AK743" s="7" t="n">
        <v>4</v>
      </c>
      <c r="AL743" s="7" t="n">
        <v>10</v>
      </c>
      <c r="AM743" s="7" t="n">
        <v>10</v>
      </c>
      <c r="AN743" s="7" t="n">
        <v>2</v>
      </c>
      <c r="AO743" s="7" t="n">
        <v>2</v>
      </c>
      <c r="AP743" s="7" t="n">
        <v>0</v>
      </c>
      <c r="AQ743" s="7" t="n">
        <v>0</v>
      </c>
      <c r="AR743" s="6" t="s">
        <v>63</v>
      </c>
      <c r="AS743" s="6" t="s">
        <v>57</v>
      </c>
      <c r="AT743" s="25" t="str">
        <f aca="false">HYPERLINK("http://catalog.hathitrust.org/Record/000752796","HathiTrust Record")</f>
        <v>HathiTrust Record</v>
      </c>
      <c r="AU743" s="25" t="str">
        <f aca="false">HYPERLINK("https://creighton-primo.hosted.exlibrisgroup.com/primo-explore/search?tab=default_tab&amp;search_scope=EVERYTHING&amp;vid=01CRU&amp;lang=en_US&amp;offset=0&amp;query=any,contains,991004436839702656","Catalog Record")</f>
        <v>Catalog Record</v>
      </c>
      <c r="AV743" s="25" t="str">
        <f aca="false">HYPERLINK("http://www.worldcat.org/oclc/3446979","WorldCat Record")</f>
        <v>WorldCat Record</v>
      </c>
      <c r="AW743" s="6" t="s">
        <v>3017</v>
      </c>
      <c r="AX743" s="6" t="s">
        <v>3018</v>
      </c>
      <c r="AY743" s="6" t="s">
        <v>3019</v>
      </c>
      <c r="AZ743" s="6" t="s">
        <v>3019</v>
      </c>
      <c r="BA743" s="6" t="s">
        <v>3020</v>
      </c>
      <c r="BB743" s="6" t="s">
        <v>3021</v>
      </c>
      <c r="BC743" s="6" t="s">
        <v>3022</v>
      </c>
      <c r="BE743" s="15" t="s">
        <v>2145</v>
      </c>
      <c r="BF743" s="6" t="s">
        <v>3023</v>
      </c>
    </row>
    <row r="744" customFormat="false" ht="105.5" hidden="false" customHeight="false" outlineLevel="0" collapsed="false">
      <c r="A744" s="4" t="s">
        <v>63</v>
      </c>
      <c r="B744" s="5" t="s">
        <v>2129</v>
      </c>
      <c r="C744" s="5" t="s">
        <v>2130</v>
      </c>
      <c r="D744" s="5" t="s">
        <v>3024</v>
      </c>
      <c r="E744" s="5" t="s">
        <v>3025</v>
      </c>
      <c r="F744" s="5" t="s">
        <v>3026</v>
      </c>
      <c r="H744" s="6" t="s">
        <v>63</v>
      </c>
      <c r="I744" s="6" t="s">
        <v>62</v>
      </c>
      <c r="J744" s="6" t="s">
        <v>63</v>
      </c>
      <c r="K744" s="6" t="s">
        <v>63</v>
      </c>
      <c r="L744" s="6" t="s">
        <v>64</v>
      </c>
      <c r="M744" s="5" t="s">
        <v>3027</v>
      </c>
      <c r="N744" s="5" t="s">
        <v>3028</v>
      </c>
      <c r="O744" s="6" t="s">
        <v>3029</v>
      </c>
      <c r="Q744" s="6" t="s">
        <v>67</v>
      </c>
      <c r="R744" s="6" t="s">
        <v>68</v>
      </c>
      <c r="S744" s="5" t="s">
        <v>3030</v>
      </c>
      <c r="T744" s="6" t="s">
        <v>2137</v>
      </c>
      <c r="U744" s="7" t="n">
        <v>3</v>
      </c>
      <c r="V744" s="7" t="n">
        <v>3</v>
      </c>
      <c r="W744" s="8" t="s">
        <v>3031</v>
      </c>
      <c r="X744" s="8" t="s">
        <v>3031</v>
      </c>
      <c r="Y744" s="8" t="s">
        <v>2695</v>
      </c>
      <c r="Z744" s="8" t="s">
        <v>2695</v>
      </c>
      <c r="AA744" s="7" t="n">
        <v>501</v>
      </c>
      <c r="AB744" s="7" t="n">
        <v>365</v>
      </c>
      <c r="AC744" s="7" t="n">
        <v>590</v>
      </c>
      <c r="AD744" s="7" t="n">
        <v>1</v>
      </c>
      <c r="AE744" s="7" t="n">
        <v>2</v>
      </c>
      <c r="AF744" s="7" t="n">
        <v>17</v>
      </c>
      <c r="AG744" s="7" t="n">
        <v>32</v>
      </c>
      <c r="AH744" s="7" t="n">
        <v>5</v>
      </c>
      <c r="AI744" s="7" t="n">
        <v>9</v>
      </c>
      <c r="AJ744" s="7" t="n">
        <v>7</v>
      </c>
      <c r="AK744" s="7" t="n">
        <v>10</v>
      </c>
      <c r="AL744" s="7" t="n">
        <v>11</v>
      </c>
      <c r="AM744" s="7" t="n">
        <v>21</v>
      </c>
      <c r="AN744" s="7" t="n">
        <v>0</v>
      </c>
      <c r="AO744" s="7" t="n">
        <v>1</v>
      </c>
      <c r="AP744" s="7" t="n">
        <v>0</v>
      </c>
      <c r="AQ744" s="7" t="n">
        <v>0</v>
      </c>
      <c r="AR744" s="6" t="s">
        <v>63</v>
      </c>
      <c r="AS744" s="6" t="s">
        <v>57</v>
      </c>
      <c r="AT744" s="25" t="str">
        <f aca="false">HYPERLINK("http://catalog.hathitrust.org/Record/007121240","HathiTrust Record")</f>
        <v>HathiTrust Record</v>
      </c>
      <c r="AU744" s="25" t="str">
        <f aca="false">HYPERLINK("https://creighton-primo.hosted.exlibrisgroup.com/primo-explore/search?tab=default_tab&amp;search_scope=EVERYTHING&amp;vid=01CRU&amp;lang=en_US&amp;offset=0&amp;query=any,contains,991002574909702656","Catalog Record")</f>
        <v>Catalog Record</v>
      </c>
      <c r="AV744" s="25" t="str">
        <f aca="false">HYPERLINK("http://www.worldcat.org/oclc/374628","WorldCat Record")</f>
        <v>WorldCat Record</v>
      </c>
      <c r="AW744" s="6" t="s">
        <v>3032</v>
      </c>
      <c r="AX744" s="6" t="s">
        <v>3033</v>
      </c>
      <c r="AY744" s="6" t="s">
        <v>3034</v>
      </c>
      <c r="AZ744" s="6" t="s">
        <v>3034</v>
      </c>
      <c r="BA744" s="6" t="s">
        <v>3035</v>
      </c>
      <c r="BC744" s="6" t="s">
        <v>3036</v>
      </c>
      <c r="BE744" s="15" t="s">
        <v>2145</v>
      </c>
      <c r="BF744" s="6" t="s">
        <v>3037</v>
      </c>
    </row>
    <row r="745" customFormat="false" ht="71" hidden="false" customHeight="false" outlineLevel="0" collapsed="false">
      <c r="A745" s="4" t="s">
        <v>63</v>
      </c>
      <c r="B745" s="5" t="s">
        <v>2129</v>
      </c>
      <c r="C745" s="5" t="s">
        <v>2130</v>
      </c>
      <c r="D745" s="5" t="s">
        <v>3038</v>
      </c>
      <c r="E745" s="5" t="s">
        <v>3039</v>
      </c>
      <c r="F745" s="5" t="s">
        <v>3040</v>
      </c>
      <c r="H745" s="6" t="s">
        <v>63</v>
      </c>
      <c r="I745" s="6" t="s">
        <v>62</v>
      </c>
      <c r="J745" s="6" t="s">
        <v>63</v>
      </c>
      <c r="K745" s="6" t="s">
        <v>63</v>
      </c>
      <c r="L745" s="6" t="s">
        <v>64</v>
      </c>
      <c r="M745" s="5" t="s">
        <v>3041</v>
      </c>
      <c r="N745" s="5" t="s">
        <v>3042</v>
      </c>
      <c r="O745" s="6" t="s">
        <v>2893</v>
      </c>
      <c r="Q745" s="6" t="s">
        <v>67</v>
      </c>
      <c r="R745" s="6" t="s">
        <v>181</v>
      </c>
      <c r="T745" s="6" t="s">
        <v>2137</v>
      </c>
      <c r="U745" s="7" t="n">
        <v>1</v>
      </c>
      <c r="V745" s="7" t="n">
        <v>1</v>
      </c>
      <c r="W745" s="8" t="s">
        <v>3043</v>
      </c>
      <c r="X745" s="8" t="s">
        <v>3043</v>
      </c>
      <c r="Y745" s="8" t="s">
        <v>2695</v>
      </c>
      <c r="Z745" s="8" t="s">
        <v>2695</v>
      </c>
      <c r="AA745" s="7" t="n">
        <v>77</v>
      </c>
      <c r="AB745" s="7" t="n">
        <v>68</v>
      </c>
      <c r="AC745" s="7" t="n">
        <v>544</v>
      </c>
      <c r="AD745" s="7" t="n">
        <v>2</v>
      </c>
      <c r="AE745" s="7" t="n">
        <v>4</v>
      </c>
      <c r="AF745" s="7" t="n">
        <v>3</v>
      </c>
      <c r="AG745" s="7" t="n">
        <v>29</v>
      </c>
      <c r="AH745" s="7" t="n">
        <v>2</v>
      </c>
      <c r="AI745" s="7" t="n">
        <v>12</v>
      </c>
      <c r="AJ745" s="7" t="n">
        <v>1</v>
      </c>
      <c r="AK745" s="7" t="n">
        <v>7</v>
      </c>
      <c r="AL745" s="7" t="n">
        <v>1</v>
      </c>
      <c r="AM745" s="7" t="n">
        <v>16</v>
      </c>
      <c r="AN745" s="7" t="n">
        <v>1</v>
      </c>
      <c r="AO745" s="7" t="n">
        <v>3</v>
      </c>
      <c r="AP745" s="7" t="n">
        <v>0</v>
      </c>
      <c r="AQ745" s="7" t="n">
        <v>1</v>
      </c>
      <c r="AR745" s="6" t="s">
        <v>63</v>
      </c>
      <c r="AS745" s="6" t="s">
        <v>57</v>
      </c>
      <c r="AT745" s="25" t="str">
        <f aca="false">HYPERLINK("http://catalog.hathitrust.org/Record/102055647","HathiTrust Record")</f>
        <v>HathiTrust Record</v>
      </c>
      <c r="AU745" s="25" t="str">
        <f aca="false">HYPERLINK("https://creighton-primo.hosted.exlibrisgroup.com/primo-explore/search?tab=default_tab&amp;search_scope=EVERYTHING&amp;vid=01CRU&amp;lang=en_US&amp;offset=0&amp;query=any,contains,991003662779702656","Catalog Record")</f>
        <v>Catalog Record</v>
      </c>
      <c r="AV745" s="25" t="str">
        <f aca="false">HYPERLINK("http://www.worldcat.org/oclc/1273499","WorldCat Record")</f>
        <v>WorldCat Record</v>
      </c>
      <c r="AW745" s="6" t="s">
        <v>3044</v>
      </c>
      <c r="AX745" s="6" t="s">
        <v>3045</v>
      </c>
      <c r="AY745" s="6" t="s">
        <v>3046</v>
      </c>
      <c r="AZ745" s="6" t="s">
        <v>3046</v>
      </c>
      <c r="BA745" s="6" t="s">
        <v>3047</v>
      </c>
      <c r="BB745" s="6" t="s">
        <v>3048</v>
      </c>
      <c r="BC745" s="6" t="s">
        <v>3049</v>
      </c>
      <c r="BE745" s="15" t="s">
        <v>2145</v>
      </c>
      <c r="BF745" s="6" t="s">
        <v>3050</v>
      </c>
    </row>
    <row r="746" customFormat="false" ht="59.5" hidden="false" customHeight="false" outlineLevel="0" collapsed="false">
      <c r="A746" s="4" t="s">
        <v>63</v>
      </c>
      <c r="B746" s="5" t="s">
        <v>2129</v>
      </c>
      <c r="C746" s="5" t="s">
        <v>2130</v>
      </c>
      <c r="D746" s="5" t="s">
        <v>3051</v>
      </c>
      <c r="E746" s="5" t="s">
        <v>3052</v>
      </c>
      <c r="F746" s="5" t="s">
        <v>3053</v>
      </c>
      <c r="H746" s="6" t="s">
        <v>63</v>
      </c>
      <c r="I746" s="6" t="s">
        <v>62</v>
      </c>
      <c r="J746" s="6" t="s">
        <v>63</v>
      </c>
      <c r="K746" s="6" t="s">
        <v>63</v>
      </c>
      <c r="L746" s="6" t="s">
        <v>64</v>
      </c>
      <c r="M746" s="5" t="s">
        <v>3054</v>
      </c>
      <c r="N746" s="5" t="s">
        <v>3055</v>
      </c>
      <c r="O746" s="6" t="s">
        <v>2396</v>
      </c>
      <c r="Q746" s="6" t="s">
        <v>67</v>
      </c>
      <c r="R746" s="6" t="s">
        <v>68</v>
      </c>
      <c r="T746" s="6" t="s">
        <v>2137</v>
      </c>
      <c r="U746" s="7" t="n">
        <v>6</v>
      </c>
      <c r="V746" s="7" t="n">
        <v>6</v>
      </c>
      <c r="W746" s="8" t="s">
        <v>3056</v>
      </c>
      <c r="X746" s="8" t="s">
        <v>3056</v>
      </c>
      <c r="Y746" s="8" t="s">
        <v>2695</v>
      </c>
      <c r="Z746" s="8" t="s">
        <v>2695</v>
      </c>
      <c r="AA746" s="7" t="n">
        <v>268</v>
      </c>
      <c r="AB746" s="7" t="n">
        <v>248</v>
      </c>
      <c r="AC746" s="7" t="n">
        <v>255</v>
      </c>
      <c r="AD746" s="7" t="n">
        <v>4</v>
      </c>
      <c r="AE746" s="7" t="n">
        <v>4</v>
      </c>
      <c r="AF746" s="7" t="n">
        <v>34</v>
      </c>
      <c r="AG746" s="7" t="n">
        <v>34</v>
      </c>
      <c r="AH746" s="7" t="n">
        <v>11</v>
      </c>
      <c r="AI746" s="7" t="n">
        <v>11</v>
      </c>
      <c r="AJ746" s="7" t="n">
        <v>9</v>
      </c>
      <c r="AK746" s="7" t="n">
        <v>9</v>
      </c>
      <c r="AL746" s="7" t="n">
        <v>23</v>
      </c>
      <c r="AM746" s="7" t="n">
        <v>23</v>
      </c>
      <c r="AN746" s="7" t="n">
        <v>2</v>
      </c>
      <c r="AO746" s="7" t="n">
        <v>2</v>
      </c>
      <c r="AP746" s="7" t="n">
        <v>0</v>
      </c>
      <c r="AQ746" s="7" t="n">
        <v>0</v>
      </c>
      <c r="AR746" s="6" t="s">
        <v>57</v>
      </c>
      <c r="AS746" s="6" t="s">
        <v>63</v>
      </c>
      <c r="AT746" s="25" t="str">
        <f aca="false">HYPERLINK("http://catalog.hathitrust.org/Record/102182048","HathiTrust Record")</f>
        <v>HathiTrust Record</v>
      </c>
      <c r="AU746" s="25" t="str">
        <f aca="false">HYPERLINK("https://creighton-primo.hosted.exlibrisgroup.com/primo-explore/search?tab=default_tab&amp;search_scope=EVERYTHING&amp;vid=01CRU&amp;lang=en_US&amp;offset=0&amp;query=any,contains,991003943669702656","Catalog Record")</f>
        <v>Catalog Record</v>
      </c>
      <c r="AV746" s="25" t="str">
        <f aca="false">HYPERLINK("http://www.worldcat.org/oclc/1939799","WorldCat Record")</f>
        <v>WorldCat Record</v>
      </c>
      <c r="AW746" s="6" t="s">
        <v>3057</v>
      </c>
      <c r="AX746" s="6" t="s">
        <v>3058</v>
      </c>
      <c r="AY746" s="6" t="s">
        <v>3059</v>
      </c>
      <c r="AZ746" s="6" t="s">
        <v>3059</v>
      </c>
      <c r="BA746" s="6" t="s">
        <v>3060</v>
      </c>
      <c r="BC746" s="6" t="s">
        <v>3061</v>
      </c>
      <c r="BE746" s="15" t="s">
        <v>2145</v>
      </c>
      <c r="BF746" s="6" t="s">
        <v>3062</v>
      </c>
    </row>
    <row r="747" customFormat="false" ht="220.5" hidden="false" customHeight="false" outlineLevel="0" collapsed="false">
      <c r="A747" s="4" t="s">
        <v>57</v>
      </c>
      <c r="B747" s="5" t="s">
        <v>2129</v>
      </c>
      <c r="C747" s="5" t="s">
        <v>2130</v>
      </c>
      <c r="D747" s="5" t="s">
        <v>3063</v>
      </c>
      <c r="E747" s="5" t="s">
        <v>3064</v>
      </c>
      <c r="F747" s="5" t="s">
        <v>3065</v>
      </c>
      <c r="H747" s="6" t="s">
        <v>63</v>
      </c>
      <c r="I747" s="6" t="s">
        <v>62</v>
      </c>
      <c r="J747" s="6" t="s">
        <v>63</v>
      </c>
      <c r="K747" s="6" t="s">
        <v>63</v>
      </c>
      <c r="L747" s="6" t="s">
        <v>64</v>
      </c>
      <c r="M747" s="5" t="s">
        <v>3066</v>
      </c>
      <c r="N747" s="5" t="s">
        <v>3067</v>
      </c>
      <c r="O747" s="6" t="s">
        <v>3068</v>
      </c>
      <c r="Q747" s="6" t="s">
        <v>67</v>
      </c>
      <c r="R747" s="6" t="s">
        <v>68</v>
      </c>
      <c r="T747" s="6" t="s">
        <v>2137</v>
      </c>
      <c r="U747" s="7" t="n">
        <v>2</v>
      </c>
      <c r="V747" s="7" t="n">
        <v>2</v>
      </c>
      <c r="W747" s="8" t="s">
        <v>3069</v>
      </c>
      <c r="X747" s="8" t="s">
        <v>3069</v>
      </c>
      <c r="Y747" s="8" t="s">
        <v>2695</v>
      </c>
      <c r="Z747" s="8" t="s">
        <v>2695</v>
      </c>
      <c r="AA747" s="7" t="n">
        <v>980</v>
      </c>
      <c r="AB747" s="7" t="n">
        <v>937</v>
      </c>
      <c r="AC747" s="7" t="n">
        <v>1042</v>
      </c>
      <c r="AD747" s="7" t="n">
        <v>7</v>
      </c>
      <c r="AE747" s="7" t="n">
        <v>7</v>
      </c>
      <c r="AF747" s="7" t="n">
        <v>50</v>
      </c>
      <c r="AG747" s="7" t="n">
        <v>50</v>
      </c>
      <c r="AH747" s="7" t="n">
        <v>22</v>
      </c>
      <c r="AI747" s="7" t="n">
        <v>22</v>
      </c>
      <c r="AJ747" s="7" t="n">
        <v>10</v>
      </c>
      <c r="AK747" s="7" t="n">
        <v>10</v>
      </c>
      <c r="AL747" s="7" t="n">
        <v>24</v>
      </c>
      <c r="AM747" s="7" t="n">
        <v>24</v>
      </c>
      <c r="AN747" s="7" t="n">
        <v>5</v>
      </c>
      <c r="AO747" s="7" t="n">
        <v>5</v>
      </c>
      <c r="AP747" s="7" t="n">
        <v>1</v>
      </c>
      <c r="AQ747" s="7" t="n">
        <v>1</v>
      </c>
      <c r="AR747" s="6" t="s">
        <v>63</v>
      </c>
      <c r="AS747" s="6" t="s">
        <v>57</v>
      </c>
      <c r="AT747" s="25" t="str">
        <f aca="false">HYPERLINK("http://catalog.hathitrust.org/Record/001390413","HathiTrust Record")</f>
        <v>HathiTrust Record</v>
      </c>
      <c r="AU747" s="25" t="str">
        <f aca="false">HYPERLINK("https://creighton-primo.hosted.exlibrisgroup.com/primo-explore/search?tab=default_tab&amp;search_scope=EVERYTHING&amp;vid=01CRU&amp;lang=en_US&amp;offset=0&amp;query=any,contains,991002611739702656","Catalog Record")</f>
        <v>Catalog Record</v>
      </c>
      <c r="AV747" s="25" t="str">
        <f aca="false">HYPERLINK("http://www.worldcat.org/oclc/378012","WorldCat Record")</f>
        <v>WorldCat Record</v>
      </c>
      <c r="AW747" s="6" t="s">
        <v>3070</v>
      </c>
      <c r="AX747" s="6" t="s">
        <v>3071</v>
      </c>
      <c r="AY747" s="6" t="s">
        <v>3072</v>
      </c>
      <c r="AZ747" s="6" t="s">
        <v>3072</v>
      </c>
      <c r="BA747" s="6" t="s">
        <v>3073</v>
      </c>
      <c r="BC747" s="6" t="s">
        <v>3074</v>
      </c>
      <c r="BE747" s="15" t="s">
        <v>2145</v>
      </c>
      <c r="BF747" s="6" t="s">
        <v>3075</v>
      </c>
    </row>
    <row r="748" customFormat="false" ht="94" hidden="false" customHeight="false" outlineLevel="0" collapsed="false">
      <c r="A748" s="4" t="s">
        <v>63</v>
      </c>
      <c r="B748" s="5" t="s">
        <v>2129</v>
      </c>
      <c r="C748" s="5" t="s">
        <v>2130</v>
      </c>
      <c r="D748" s="5" t="s">
        <v>3076</v>
      </c>
      <c r="E748" s="5" t="s">
        <v>3077</v>
      </c>
      <c r="F748" s="5" t="s">
        <v>3078</v>
      </c>
      <c r="H748" s="6" t="s">
        <v>63</v>
      </c>
      <c r="I748" s="6" t="s">
        <v>62</v>
      </c>
      <c r="J748" s="6" t="s">
        <v>63</v>
      </c>
      <c r="K748" s="6" t="s">
        <v>63</v>
      </c>
      <c r="L748" s="6" t="s">
        <v>64</v>
      </c>
      <c r="M748" s="5" t="s">
        <v>3079</v>
      </c>
      <c r="N748" s="5" t="s">
        <v>3080</v>
      </c>
      <c r="O748" s="6" t="s">
        <v>3081</v>
      </c>
      <c r="Q748" s="6" t="s">
        <v>67</v>
      </c>
      <c r="R748" s="6" t="s">
        <v>123</v>
      </c>
      <c r="S748" s="5" t="s">
        <v>3082</v>
      </c>
      <c r="T748" s="6" t="s">
        <v>2137</v>
      </c>
      <c r="U748" s="7" t="n">
        <v>3</v>
      </c>
      <c r="V748" s="7" t="n">
        <v>3</v>
      </c>
      <c r="W748" s="8" t="s">
        <v>3083</v>
      </c>
      <c r="X748" s="8" t="s">
        <v>3083</v>
      </c>
      <c r="Y748" s="8" t="s">
        <v>2695</v>
      </c>
      <c r="Z748" s="8" t="s">
        <v>2695</v>
      </c>
      <c r="AA748" s="7" t="n">
        <v>124</v>
      </c>
      <c r="AB748" s="7" t="n">
        <v>113</v>
      </c>
      <c r="AC748" s="7" t="n">
        <v>116</v>
      </c>
      <c r="AD748" s="7" t="n">
        <v>1</v>
      </c>
      <c r="AE748" s="7" t="n">
        <v>1</v>
      </c>
      <c r="AF748" s="7" t="n">
        <v>26</v>
      </c>
      <c r="AG748" s="7" t="n">
        <v>26</v>
      </c>
      <c r="AH748" s="7" t="n">
        <v>4</v>
      </c>
      <c r="AI748" s="7" t="n">
        <v>4</v>
      </c>
      <c r="AJ748" s="7" t="n">
        <v>9</v>
      </c>
      <c r="AK748" s="7" t="n">
        <v>9</v>
      </c>
      <c r="AL748" s="7" t="n">
        <v>22</v>
      </c>
      <c r="AM748" s="7" t="n">
        <v>22</v>
      </c>
      <c r="AN748" s="7" t="n">
        <v>0</v>
      </c>
      <c r="AO748" s="7" t="n">
        <v>0</v>
      </c>
      <c r="AP748" s="7" t="n">
        <v>0</v>
      </c>
      <c r="AQ748" s="7" t="n">
        <v>0</v>
      </c>
      <c r="AR748" s="6" t="s">
        <v>63</v>
      </c>
      <c r="AS748" s="6" t="s">
        <v>57</v>
      </c>
      <c r="AT748" s="25" t="str">
        <f aca="false">HYPERLINK("http://catalog.hathitrust.org/Record/102450200","HathiTrust Record")</f>
        <v>HathiTrust Record</v>
      </c>
      <c r="AU748" s="25" t="str">
        <f aca="false">HYPERLINK("https://creighton-primo.hosted.exlibrisgroup.com/primo-explore/search?tab=default_tab&amp;search_scope=EVERYTHING&amp;vid=01CRU&amp;lang=en_US&amp;offset=0&amp;query=any,contains,991003647809702656","Catalog Record")</f>
        <v>Catalog Record</v>
      </c>
      <c r="AV748" s="25" t="str">
        <f aca="false">HYPERLINK("http://www.worldcat.org/oclc/1250107","WorldCat Record")</f>
        <v>WorldCat Record</v>
      </c>
      <c r="AW748" s="6" t="s">
        <v>3084</v>
      </c>
      <c r="AX748" s="6" t="s">
        <v>3085</v>
      </c>
      <c r="AY748" s="6" t="s">
        <v>3086</v>
      </c>
      <c r="AZ748" s="6" t="s">
        <v>3086</v>
      </c>
      <c r="BA748" s="6" t="s">
        <v>3087</v>
      </c>
      <c r="BC748" s="6" t="s">
        <v>3088</v>
      </c>
      <c r="BE748" s="15" t="s">
        <v>2145</v>
      </c>
      <c r="BF748" s="6" t="s">
        <v>3089</v>
      </c>
    </row>
    <row r="749" customFormat="false" ht="140" hidden="false" customHeight="false" outlineLevel="0" collapsed="false">
      <c r="A749" s="4" t="s">
        <v>63</v>
      </c>
      <c r="B749" s="5" t="s">
        <v>2129</v>
      </c>
      <c r="C749" s="5" t="s">
        <v>2130</v>
      </c>
      <c r="D749" s="5" t="s">
        <v>3090</v>
      </c>
      <c r="E749" s="5" t="s">
        <v>3091</v>
      </c>
      <c r="F749" s="5" t="s">
        <v>3092</v>
      </c>
      <c r="H749" s="6" t="s">
        <v>63</v>
      </c>
      <c r="I749" s="6" t="s">
        <v>62</v>
      </c>
      <c r="J749" s="6" t="s">
        <v>63</v>
      </c>
      <c r="K749" s="6" t="s">
        <v>63</v>
      </c>
      <c r="L749" s="6" t="s">
        <v>64</v>
      </c>
      <c r="N749" s="5" t="s">
        <v>3093</v>
      </c>
      <c r="O749" s="6" t="s">
        <v>3094</v>
      </c>
      <c r="Q749" s="6" t="s">
        <v>67</v>
      </c>
      <c r="R749" s="6" t="s">
        <v>272</v>
      </c>
      <c r="T749" s="6" t="s">
        <v>2137</v>
      </c>
      <c r="U749" s="7" t="n">
        <v>2</v>
      </c>
      <c r="V749" s="7" t="n">
        <v>2</v>
      </c>
      <c r="W749" s="8" t="s">
        <v>3095</v>
      </c>
      <c r="X749" s="8" t="s">
        <v>3095</v>
      </c>
      <c r="Y749" s="8" t="s">
        <v>2695</v>
      </c>
      <c r="Z749" s="8" t="s">
        <v>2695</v>
      </c>
      <c r="AA749" s="7" t="n">
        <v>844</v>
      </c>
      <c r="AB749" s="7" t="n">
        <v>723</v>
      </c>
      <c r="AC749" s="7" t="n">
        <v>732</v>
      </c>
      <c r="AD749" s="7" t="n">
        <v>3</v>
      </c>
      <c r="AE749" s="7" t="n">
        <v>3</v>
      </c>
      <c r="AF749" s="7" t="n">
        <v>45</v>
      </c>
      <c r="AG749" s="7" t="n">
        <v>45</v>
      </c>
      <c r="AH749" s="7" t="n">
        <v>10</v>
      </c>
      <c r="AI749" s="7" t="n">
        <v>10</v>
      </c>
      <c r="AJ749" s="7" t="n">
        <v>7</v>
      </c>
      <c r="AK749" s="7" t="n">
        <v>7</v>
      </c>
      <c r="AL749" s="7" t="n">
        <v>18</v>
      </c>
      <c r="AM749" s="7" t="n">
        <v>18</v>
      </c>
      <c r="AN749" s="7" t="n">
        <v>1</v>
      </c>
      <c r="AO749" s="7" t="n">
        <v>1</v>
      </c>
      <c r="AP749" s="7" t="n">
        <v>17</v>
      </c>
      <c r="AQ749" s="7" t="n">
        <v>17</v>
      </c>
      <c r="AR749" s="6" t="s">
        <v>63</v>
      </c>
      <c r="AS749" s="6" t="s">
        <v>63</v>
      </c>
      <c r="AT749" s="25" t="str">
        <f aca="false">HYPERLINK("http://catalog.hathitrust.org/Record/001390448","HathiTrust Record")</f>
        <v>HathiTrust Record</v>
      </c>
      <c r="AU749" s="25" t="str">
        <f aca="false">HYPERLINK("https://creighton-primo.hosted.exlibrisgroup.com/primo-explore/search?tab=default_tab&amp;search_scope=EVERYTHING&amp;vid=01CRU&amp;lang=en_US&amp;offset=0&amp;query=any,contains,991002573319702656","Catalog Record")</f>
        <v>Catalog Record</v>
      </c>
      <c r="AV749" s="25" t="str">
        <f aca="false">HYPERLINK("http://www.worldcat.org/oclc/374275","WorldCat Record")</f>
        <v>WorldCat Record</v>
      </c>
      <c r="AW749" s="6" t="s">
        <v>3096</v>
      </c>
      <c r="AX749" s="6" t="s">
        <v>3097</v>
      </c>
      <c r="AY749" s="6" t="s">
        <v>3098</v>
      </c>
      <c r="AZ749" s="6" t="s">
        <v>3098</v>
      </c>
      <c r="BA749" s="6" t="s">
        <v>3099</v>
      </c>
      <c r="BC749" s="6" t="s">
        <v>3100</v>
      </c>
      <c r="BE749" s="15" t="s">
        <v>2145</v>
      </c>
      <c r="BF749" s="6" t="s">
        <v>3101</v>
      </c>
    </row>
    <row r="750" customFormat="false" ht="174.5" hidden="false" customHeight="false" outlineLevel="0" collapsed="false">
      <c r="A750" s="4" t="s">
        <v>63</v>
      </c>
      <c r="B750" s="5" t="s">
        <v>2129</v>
      </c>
      <c r="C750" s="5" t="s">
        <v>2130</v>
      </c>
      <c r="D750" s="5" t="s">
        <v>3102</v>
      </c>
      <c r="E750" s="5" t="s">
        <v>3103</v>
      </c>
      <c r="F750" s="5" t="s">
        <v>3104</v>
      </c>
      <c r="H750" s="6" t="s">
        <v>63</v>
      </c>
      <c r="I750" s="6" t="s">
        <v>62</v>
      </c>
      <c r="J750" s="6" t="s">
        <v>57</v>
      </c>
      <c r="K750" s="6" t="s">
        <v>63</v>
      </c>
      <c r="L750" s="6" t="s">
        <v>64</v>
      </c>
      <c r="N750" s="5" t="s">
        <v>3105</v>
      </c>
      <c r="O750" s="6" t="s">
        <v>208</v>
      </c>
      <c r="Q750" s="6" t="s">
        <v>67</v>
      </c>
      <c r="R750" s="6" t="s">
        <v>384</v>
      </c>
      <c r="T750" s="6" t="s">
        <v>2137</v>
      </c>
      <c r="U750" s="7" t="n">
        <v>7</v>
      </c>
      <c r="V750" s="7" t="n">
        <v>7</v>
      </c>
      <c r="W750" s="8" t="s">
        <v>3106</v>
      </c>
      <c r="X750" s="8" t="s">
        <v>3106</v>
      </c>
      <c r="Y750" s="8" t="s">
        <v>2709</v>
      </c>
      <c r="Z750" s="8" t="s">
        <v>3107</v>
      </c>
      <c r="AA750" s="7" t="n">
        <v>598</v>
      </c>
      <c r="AB750" s="7" t="n">
        <v>443</v>
      </c>
      <c r="AC750" s="7" t="n">
        <v>465</v>
      </c>
      <c r="AD750" s="7" t="n">
        <v>2</v>
      </c>
      <c r="AE750" s="7" t="n">
        <v>2</v>
      </c>
      <c r="AF750" s="7" t="n">
        <v>30</v>
      </c>
      <c r="AG750" s="7" t="n">
        <v>30</v>
      </c>
      <c r="AH750" s="7" t="n">
        <v>9</v>
      </c>
      <c r="AI750" s="7" t="n">
        <v>9</v>
      </c>
      <c r="AJ750" s="7" t="n">
        <v>9</v>
      </c>
      <c r="AK750" s="7" t="n">
        <v>9</v>
      </c>
      <c r="AL750" s="7" t="n">
        <v>16</v>
      </c>
      <c r="AM750" s="7" t="n">
        <v>16</v>
      </c>
      <c r="AN750" s="7" t="n">
        <v>0</v>
      </c>
      <c r="AO750" s="7" t="n">
        <v>0</v>
      </c>
      <c r="AP750" s="7" t="n">
        <v>3</v>
      </c>
      <c r="AQ750" s="7" t="n">
        <v>3</v>
      </c>
      <c r="AR750" s="6" t="s">
        <v>63</v>
      </c>
      <c r="AS750" s="6" t="s">
        <v>63</v>
      </c>
      <c r="AU750" s="25" t="str">
        <f aca="false">HYPERLINK("https://creighton-primo.hosted.exlibrisgroup.com/primo-explore/search?tab=default_tab&amp;search_scope=EVERYTHING&amp;vid=01CRU&amp;lang=en_US&amp;offset=0&amp;query=any,contains,991001636609702656","Catalog Record")</f>
        <v>Catalog Record</v>
      </c>
      <c r="AV750" s="25" t="str">
        <f aca="false">HYPERLINK("http://www.worldcat.org/oclc/16225264","WorldCat Record")</f>
        <v>WorldCat Record</v>
      </c>
      <c r="AW750" s="6" t="s">
        <v>3108</v>
      </c>
      <c r="AX750" s="6" t="s">
        <v>3109</v>
      </c>
      <c r="AY750" s="6" t="s">
        <v>3110</v>
      </c>
      <c r="AZ750" s="6" t="s">
        <v>3110</v>
      </c>
      <c r="BA750" s="6" t="s">
        <v>3111</v>
      </c>
      <c r="BB750" s="6" t="s">
        <v>3112</v>
      </c>
      <c r="BC750" s="6" t="s">
        <v>3113</v>
      </c>
      <c r="BE750" s="15" t="s">
        <v>2145</v>
      </c>
      <c r="BF750" s="6" t="s">
        <v>3114</v>
      </c>
    </row>
    <row r="751" customFormat="false" ht="151.5" hidden="false" customHeight="false" outlineLevel="0" collapsed="false">
      <c r="A751" s="4" t="s">
        <v>63</v>
      </c>
      <c r="B751" s="5" t="s">
        <v>2129</v>
      </c>
      <c r="C751" s="5" t="s">
        <v>2130</v>
      </c>
      <c r="D751" s="5" t="s">
        <v>3115</v>
      </c>
      <c r="E751" s="5" t="s">
        <v>3116</v>
      </c>
      <c r="F751" s="5" t="s">
        <v>3117</v>
      </c>
      <c r="H751" s="6" t="s">
        <v>63</v>
      </c>
      <c r="I751" s="6" t="s">
        <v>62</v>
      </c>
      <c r="J751" s="6" t="s">
        <v>63</v>
      </c>
      <c r="K751" s="6" t="s">
        <v>63</v>
      </c>
      <c r="L751" s="6" t="s">
        <v>64</v>
      </c>
      <c r="M751" s="5" t="s">
        <v>3118</v>
      </c>
      <c r="N751" s="5" t="s">
        <v>3119</v>
      </c>
      <c r="O751" s="6" t="s">
        <v>221</v>
      </c>
      <c r="Q751" s="6" t="s">
        <v>67</v>
      </c>
      <c r="R751" s="6" t="s">
        <v>2288</v>
      </c>
      <c r="S751" s="5" t="s">
        <v>3120</v>
      </c>
      <c r="T751" s="6" t="s">
        <v>2137</v>
      </c>
      <c r="U751" s="7" t="n">
        <v>5</v>
      </c>
      <c r="V751" s="7" t="n">
        <v>5</v>
      </c>
      <c r="W751" s="8" t="s">
        <v>3056</v>
      </c>
      <c r="X751" s="8" t="s">
        <v>3056</v>
      </c>
      <c r="Y751" s="8" t="s">
        <v>2709</v>
      </c>
      <c r="Z751" s="8" t="s">
        <v>2709</v>
      </c>
      <c r="AA751" s="7" t="n">
        <v>374</v>
      </c>
      <c r="AB751" s="7" t="n">
        <v>325</v>
      </c>
      <c r="AC751" s="7" t="n">
        <v>343</v>
      </c>
      <c r="AD751" s="7" t="n">
        <v>2</v>
      </c>
      <c r="AE751" s="7" t="n">
        <v>4</v>
      </c>
      <c r="AF751" s="7" t="n">
        <v>23</v>
      </c>
      <c r="AG751" s="7" t="n">
        <v>28</v>
      </c>
      <c r="AH751" s="7" t="n">
        <v>6</v>
      </c>
      <c r="AI751" s="7" t="n">
        <v>8</v>
      </c>
      <c r="AJ751" s="7" t="n">
        <v>8</v>
      </c>
      <c r="AK751" s="7" t="n">
        <v>8</v>
      </c>
      <c r="AL751" s="7" t="n">
        <v>16</v>
      </c>
      <c r="AM751" s="7" t="n">
        <v>18</v>
      </c>
      <c r="AN751" s="7" t="n">
        <v>0</v>
      </c>
      <c r="AO751" s="7" t="n">
        <v>2</v>
      </c>
      <c r="AP751" s="7" t="n">
        <v>1</v>
      </c>
      <c r="AQ751" s="7" t="n">
        <v>1</v>
      </c>
      <c r="AR751" s="6" t="s">
        <v>63</v>
      </c>
      <c r="AS751" s="6" t="s">
        <v>57</v>
      </c>
      <c r="AT751" s="25" t="str">
        <f aca="false">HYPERLINK("http://catalog.hathitrust.org/Record/000323362","HathiTrust Record")</f>
        <v>HathiTrust Record</v>
      </c>
      <c r="AU751" s="25" t="str">
        <f aca="false">HYPERLINK("https://creighton-primo.hosted.exlibrisgroup.com/primo-explore/search?tab=default_tab&amp;search_scope=EVERYTHING&amp;vid=01CRU&amp;lang=en_US&amp;offset=0&amp;query=any,contains,991000277659702656","Catalog Record")</f>
        <v>Catalog Record</v>
      </c>
      <c r="AV751" s="25" t="str">
        <f aca="false">HYPERLINK("http://www.worldcat.org/oclc/9896622","WorldCat Record")</f>
        <v>WorldCat Record</v>
      </c>
      <c r="AW751" s="6" t="s">
        <v>3121</v>
      </c>
      <c r="AX751" s="6" t="s">
        <v>3122</v>
      </c>
      <c r="AY751" s="6" t="s">
        <v>3123</v>
      </c>
      <c r="AZ751" s="6" t="s">
        <v>3123</v>
      </c>
      <c r="BA751" s="6" t="s">
        <v>3124</v>
      </c>
      <c r="BB751" s="6" t="s">
        <v>3125</v>
      </c>
      <c r="BC751" s="6" t="s">
        <v>3126</v>
      </c>
      <c r="BE751" s="15" t="s">
        <v>2145</v>
      </c>
      <c r="BF751" s="6" t="s">
        <v>3127</v>
      </c>
    </row>
    <row r="752" customFormat="false" ht="255" hidden="false" customHeight="false" outlineLevel="0" collapsed="false">
      <c r="A752" s="4" t="s">
        <v>63</v>
      </c>
      <c r="B752" s="5" t="s">
        <v>2129</v>
      </c>
      <c r="C752" s="5" t="s">
        <v>2130</v>
      </c>
      <c r="D752" s="5" t="s">
        <v>3128</v>
      </c>
      <c r="E752" s="5" t="s">
        <v>3129</v>
      </c>
      <c r="F752" s="5" t="s">
        <v>3130</v>
      </c>
      <c r="H752" s="6" t="s">
        <v>63</v>
      </c>
      <c r="I752" s="6" t="s">
        <v>62</v>
      </c>
      <c r="J752" s="6" t="s">
        <v>63</v>
      </c>
      <c r="K752" s="6" t="s">
        <v>63</v>
      </c>
      <c r="L752" s="6" t="s">
        <v>64</v>
      </c>
      <c r="M752" s="5" t="s">
        <v>3131</v>
      </c>
      <c r="N752" s="5" t="s">
        <v>3132</v>
      </c>
      <c r="O752" s="6" t="s">
        <v>152</v>
      </c>
      <c r="Q752" s="6" t="s">
        <v>67</v>
      </c>
      <c r="R752" s="6" t="s">
        <v>1059</v>
      </c>
      <c r="T752" s="6" t="s">
        <v>2137</v>
      </c>
      <c r="U752" s="7" t="n">
        <v>3</v>
      </c>
      <c r="V752" s="7" t="n">
        <v>3</v>
      </c>
      <c r="W752" s="8" t="s">
        <v>3095</v>
      </c>
      <c r="X752" s="8" t="s">
        <v>3095</v>
      </c>
      <c r="Y752" s="8" t="s">
        <v>2709</v>
      </c>
      <c r="Z752" s="8" t="s">
        <v>2709</v>
      </c>
      <c r="AA752" s="7" t="n">
        <v>1190</v>
      </c>
      <c r="AB752" s="7" t="n">
        <v>999</v>
      </c>
      <c r="AC752" s="7" t="n">
        <v>1027</v>
      </c>
      <c r="AD752" s="7" t="n">
        <v>6</v>
      </c>
      <c r="AE752" s="7" t="n">
        <v>6</v>
      </c>
      <c r="AF752" s="7" t="n">
        <v>50</v>
      </c>
      <c r="AG752" s="7" t="n">
        <v>50</v>
      </c>
      <c r="AH752" s="7" t="n">
        <v>21</v>
      </c>
      <c r="AI752" s="7" t="n">
        <v>21</v>
      </c>
      <c r="AJ752" s="7" t="n">
        <v>10</v>
      </c>
      <c r="AK752" s="7" t="n">
        <v>10</v>
      </c>
      <c r="AL752" s="7" t="n">
        <v>25</v>
      </c>
      <c r="AM752" s="7" t="n">
        <v>25</v>
      </c>
      <c r="AN752" s="7" t="n">
        <v>4</v>
      </c>
      <c r="AO752" s="7" t="n">
        <v>4</v>
      </c>
      <c r="AP752" s="7" t="n">
        <v>2</v>
      </c>
      <c r="AQ752" s="7" t="n">
        <v>2</v>
      </c>
      <c r="AR752" s="6" t="s">
        <v>63</v>
      </c>
      <c r="AS752" s="6" t="s">
        <v>63</v>
      </c>
      <c r="AU752" s="25" t="str">
        <f aca="false">HYPERLINK("https://creighton-primo.hosted.exlibrisgroup.com/primo-explore/search?tab=default_tab&amp;search_scope=EVERYTHING&amp;vid=01CRU&amp;lang=en_US&amp;offset=0&amp;query=any,contains,991000291679702656","Catalog Record")</f>
        <v>Catalog Record</v>
      </c>
      <c r="AV752" s="25" t="str">
        <f aca="false">HYPERLINK("http://www.worldcat.org/oclc/9970115","WorldCat Record")</f>
        <v>WorldCat Record</v>
      </c>
      <c r="AW752" s="6" t="s">
        <v>3133</v>
      </c>
      <c r="AX752" s="6" t="s">
        <v>3134</v>
      </c>
      <c r="AY752" s="6" t="s">
        <v>3135</v>
      </c>
      <c r="AZ752" s="6" t="s">
        <v>3135</v>
      </c>
      <c r="BA752" s="6" t="s">
        <v>3136</v>
      </c>
      <c r="BB752" s="6" t="s">
        <v>3137</v>
      </c>
      <c r="BC752" s="6" t="s">
        <v>3138</v>
      </c>
      <c r="BE752" s="15" t="s">
        <v>2145</v>
      </c>
      <c r="BF752" s="6" t="s">
        <v>3139</v>
      </c>
    </row>
    <row r="753" customFormat="false" ht="163" hidden="false" customHeight="false" outlineLevel="0" collapsed="false">
      <c r="A753" s="4" t="s">
        <v>63</v>
      </c>
      <c r="B753" s="5" t="s">
        <v>2129</v>
      </c>
      <c r="C753" s="5" t="s">
        <v>2130</v>
      </c>
      <c r="D753" s="5" t="s">
        <v>3140</v>
      </c>
      <c r="E753" s="5" t="s">
        <v>3141</v>
      </c>
      <c r="F753" s="5" t="s">
        <v>3142</v>
      </c>
      <c r="H753" s="6" t="s">
        <v>63</v>
      </c>
      <c r="I753" s="6" t="s">
        <v>62</v>
      </c>
      <c r="J753" s="6" t="s">
        <v>63</v>
      </c>
      <c r="K753" s="6" t="s">
        <v>63</v>
      </c>
      <c r="L753" s="6" t="s">
        <v>64</v>
      </c>
      <c r="M753" s="5" t="s">
        <v>3143</v>
      </c>
      <c r="N753" s="5" t="s">
        <v>3144</v>
      </c>
      <c r="O753" s="6" t="s">
        <v>122</v>
      </c>
      <c r="Q753" s="6" t="s">
        <v>67</v>
      </c>
      <c r="R753" s="6" t="s">
        <v>1059</v>
      </c>
      <c r="S753" s="5" t="s">
        <v>3145</v>
      </c>
      <c r="T753" s="6" t="s">
        <v>2137</v>
      </c>
      <c r="U753" s="7" t="n">
        <v>1</v>
      </c>
      <c r="V753" s="7" t="n">
        <v>1</v>
      </c>
      <c r="W753" s="8" t="s">
        <v>3146</v>
      </c>
      <c r="X753" s="8" t="s">
        <v>3146</v>
      </c>
      <c r="Y753" s="8" t="s">
        <v>2709</v>
      </c>
      <c r="Z753" s="8" t="s">
        <v>2709</v>
      </c>
      <c r="AA753" s="7" t="n">
        <v>781</v>
      </c>
      <c r="AB753" s="7" t="n">
        <v>740</v>
      </c>
      <c r="AC753" s="7" t="n">
        <v>839</v>
      </c>
      <c r="AD753" s="7" t="n">
        <v>5</v>
      </c>
      <c r="AE753" s="7" t="n">
        <v>6</v>
      </c>
      <c r="AF753" s="7" t="n">
        <v>39</v>
      </c>
      <c r="AG753" s="7" t="n">
        <v>41</v>
      </c>
      <c r="AH753" s="7" t="n">
        <v>12</v>
      </c>
      <c r="AI753" s="7" t="n">
        <v>13</v>
      </c>
      <c r="AJ753" s="7" t="n">
        <v>9</v>
      </c>
      <c r="AK753" s="7" t="n">
        <v>9</v>
      </c>
      <c r="AL753" s="7" t="n">
        <v>26</v>
      </c>
      <c r="AM753" s="7" t="n">
        <v>28</v>
      </c>
      <c r="AN753" s="7" t="n">
        <v>4</v>
      </c>
      <c r="AO753" s="7" t="n">
        <v>4</v>
      </c>
      <c r="AP753" s="7" t="n">
        <v>0</v>
      </c>
      <c r="AQ753" s="7" t="n">
        <v>0</v>
      </c>
      <c r="AR753" s="6" t="s">
        <v>63</v>
      </c>
      <c r="AS753" s="6" t="s">
        <v>57</v>
      </c>
      <c r="AT753" s="25" t="str">
        <f aca="false">HYPERLINK("http://catalog.hathitrust.org/Record/006199470","HathiTrust Record")</f>
        <v>HathiTrust Record</v>
      </c>
      <c r="AU753" s="25" t="str">
        <f aca="false">HYPERLINK("https://creighton-primo.hosted.exlibrisgroup.com/primo-explore/search?tab=default_tab&amp;search_scope=EVERYTHING&amp;vid=01CRU&amp;lang=en_US&amp;offset=0&amp;query=any,contains,991002589139702656","Catalog Record")</f>
        <v>Catalog Record</v>
      </c>
      <c r="AV753" s="25" t="str">
        <f aca="false">HYPERLINK("http://www.worldcat.org/oclc/375436","WorldCat Record")</f>
        <v>WorldCat Record</v>
      </c>
      <c r="AW753" s="6" t="s">
        <v>3147</v>
      </c>
      <c r="AX753" s="6" t="s">
        <v>3148</v>
      </c>
      <c r="AY753" s="6" t="s">
        <v>3149</v>
      </c>
      <c r="AZ753" s="6" t="s">
        <v>3149</v>
      </c>
      <c r="BA753" s="6" t="s">
        <v>3150</v>
      </c>
      <c r="BC753" s="6" t="s">
        <v>3151</v>
      </c>
      <c r="BE753" s="15" t="s">
        <v>2145</v>
      </c>
      <c r="BF753" s="6" t="s">
        <v>3152</v>
      </c>
    </row>
    <row r="754" customFormat="false" ht="117" hidden="false" customHeight="false" outlineLevel="0" collapsed="false">
      <c r="A754" s="4" t="s">
        <v>63</v>
      </c>
      <c r="B754" s="5" t="s">
        <v>2129</v>
      </c>
      <c r="C754" s="5" t="s">
        <v>2130</v>
      </c>
      <c r="D754" s="5" t="s">
        <v>3153</v>
      </c>
      <c r="E754" s="5" t="s">
        <v>3154</v>
      </c>
      <c r="F754" s="5" t="s">
        <v>3155</v>
      </c>
      <c r="H754" s="6" t="s">
        <v>63</v>
      </c>
      <c r="I754" s="6" t="s">
        <v>62</v>
      </c>
      <c r="J754" s="6" t="s">
        <v>63</v>
      </c>
      <c r="K754" s="6" t="s">
        <v>63</v>
      </c>
      <c r="L754" s="6" t="s">
        <v>64</v>
      </c>
      <c r="M754" s="5" t="s">
        <v>3156</v>
      </c>
      <c r="N754" s="5" t="s">
        <v>3157</v>
      </c>
      <c r="O754" s="6" t="s">
        <v>2693</v>
      </c>
      <c r="Q754" s="6" t="s">
        <v>67</v>
      </c>
      <c r="R754" s="6" t="s">
        <v>384</v>
      </c>
      <c r="T754" s="6" t="s">
        <v>2137</v>
      </c>
      <c r="U754" s="7" t="n">
        <v>1</v>
      </c>
      <c r="V754" s="7" t="n">
        <v>1</v>
      </c>
      <c r="W754" s="8" t="s">
        <v>3158</v>
      </c>
      <c r="X754" s="8" t="s">
        <v>3158</v>
      </c>
      <c r="Y754" s="8" t="s">
        <v>2695</v>
      </c>
      <c r="Z754" s="8" t="s">
        <v>2695</v>
      </c>
      <c r="AA754" s="7" t="n">
        <v>601</v>
      </c>
      <c r="AB754" s="7" t="n">
        <v>453</v>
      </c>
      <c r="AC754" s="7" t="n">
        <v>487</v>
      </c>
      <c r="AD754" s="7" t="n">
        <v>3</v>
      </c>
      <c r="AE754" s="7" t="n">
        <v>3</v>
      </c>
      <c r="AF754" s="7" t="n">
        <v>24</v>
      </c>
      <c r="AG754" s="7" t="n">
        <v>24</v>
      </c>
      <c r="AH754" s="7" t="n">
        <v>10</v>
      </c>
      <c r="AI754" s="7" t="n">
        <v>10</v>
      </c>
      <c r="AJ754" s="7" t="n">
        <v>6</v>
      </c>
      <c r="AK754" s="7" t="n">
        <v>6</v>
      </c>
      <c r="AL754" s="7" t="n">
        <v>14</v>
      </c>
      <c r="AM754" s="7" t="n">
        <v>14</v>
      </c>
      <c r="AN754" s="7" t="n">
        <v>2</v>
      </c>
      <c r="AO754" s="7" t="n">
        <v>2</v>
      </c>
      <c r="AP754" s="7" t="n">
        <v>0</v>
      </c>
      <c r="AQ754" s="7" t="n">
        <v>0</v>
      </c>
      <c r="AR754" s="6" t="s">
        <v>63</v>
      </c>
      <c r="AS754" s="6" t="s">
        <v>57</v>
      </c>
      <c r="AT754" s="25" t="str">
        <f aca="false">HYPERLINK("http://catalog.hathitrust.org/Record/001390461","HathiTrust Record")</f>
        <v>HathiTrust Record</v>
      </c>
      <c r="AU754" s="25" t="str">
        <f aca="false">HYPERLINK("https://creighton-primo.hosted.exlibrisgroup.com/primo-explore/search?tab=default_tab&amp;search_scope=EVERYTHING&amp;vid=01CRU&amp;lang=en_US&amp;offset=0&amp;query=any,contains,991002149559702656","Catalog Record")</f>
        <v>Catalog Record</v>
      </c>
      <c r="AV754" s="25" t="str">
        <f aca="false">HYPERLINK("http://www.worldcat.org/oclc/271795","WorldCat Record")</f>
        <v>WorldCat Record</v>
      </c>
      <c r="AW754" s="6" t="s">
        <v>3159</v>
      </c>
      <c r="AX754" s="6" t="s">
        <v>3160</v>
      </c>
      <c r="AY754" s="6" t="s">
        <v>3161</v>
      </c>
      <c r="AZ754" s="6" t="s">
        <v>3161</v>
      </c>
      <c r="BA754" s="6" t="s">
        <v>3162</v>
      </c>
      <c r="BC754" s="6" t="s">
        <v>3163</v>
      </c>
      <c r="BE754" s="15" t="s">
        <v>2145</v>
      </c>
      <c r="BF754" s="6" t="s">
        <v>3164</v>
      </c>
    </row>
    <row r="755" customFormat="false" ht="140" hidden="false" customHeight="false" outlineLevel="0" collapsed="false">
      <c r="A755" s="4" t="s">
        <v>63</v>
      </c>
      <c r="B755" s="5" t="s">
        <v>2129</v>
      </c>
      <c r="C755" s="5" t="s">
        <v>2130</v>
      </c>
      <c r="D755" s="5" t="s">
        <v>3165</v>
      </c>
      <c r="E755" s="5" t="s">
        <v>3166</v>
      </c>
      <c r="F755" s="5" t="s">
        <v>3167</v>
      </c>
      <c r="H755" s="6" t="s">
        <v>63</v>
      </c>
      <c r="I755" s="6" t="s">
        <v>62</v>
      </c>
      <c r="J755" s="6" t="s">
        <v>63</v>
      </c>
      <c r="K755" s="6" t="s">
        <v>63</v>
      </c>
      <c r="L755" s="6" t="s">
        <v>64</v>
      </c>
      <c r="M755" s="5" t="s">
        <v>3168</v>
      </c>
      <c r="N755" s="5" t="s">
        <v>3169</v>
      </c>
      <c r="O755" s="6" t="s">
        <v>3081</v>
      </c>
      <c r="Q755" s="6" t="s">
        <v>67</v>
      </c>
      <c r="R755" s="6" t="s">
        <v>181</v>
      </c>
      <c r="S755" s="5" t="s">
        <v>3170</v>
      </c>
      <c r="T755" s="6" t="s">
        <v>2137</v>
      </c>
      <c r="U755" s="7" t="n">
        <v>4</v>
      </c>
      <c r="V755" s="7" t="n">
        <v>4</v>
      </c>
      <c r="W755" s="8" t="s">
        <v>3171</v>
      </c>
      <c r="X755" s="8" t="s">
        <v>3171</v>
      </c>
      <c r="Y755" s="8" t="s">
        <v>2695</v>
      </c>
      <c r="Z755" s="8" t="s">
        <v>2695</v>
      </c>
      <c r="AA755" s="7" t="n">
        <v>376</v>
      </c>
      <c r="AB755" s="7" t="n">
        <v>361</v>
      </c>
      <c r="AC755" s="7" t="n">
        <v>532</v>
      </c>
      <c r="AD755" s="7" t="n">
        <v>4</v>
      </c>
      <c r="AE755" s="7" t="n">
        <v>5</v>
      </c>
      <c r="AF755" s="7" t="n">
        <v>14</v>
      </c>
      <c r="AG755" s="7" t="n">
        <v>25</v>
      </c>
      <c r="AH755" s="7" t="n">
        <v>7</v>
      </c>
      <c r="AI755" s="7" t="n">
        <v>10</v>
      </c>
      <c r="AJ755" s="7" t="n">
        <v>2</v>
      </c>
      <c r="AK755" s="7" t="n">
        <v>6</v>
      </c>
      <c r="AL755" s="7" t="n">
        <v>7</v>
      </c>
      <c r="AM755" s="7" t="n">
        <v>12</v>
      </c>
      <c r="AN755" s="7" t="n">
        <v>3</v>
      </c>
      <c r="AO755" s="7" t="n">
        <v>4</v>
      </c>
      <c r="AP755" s="7" t="n">
        <v>0</v>
      </c>
      <c r="AQ755" s="7" t="n">
        <v>0</v>
      </c>
      <c r="AR755" s="6" t="s">
        <v>63</v>
      </c>
      <c r="AS755" s="6" t="s">
        <v>57</v>
      </c>
      <c r="AT755" s="25" t="str">
        <f aca="false">HYPERLINK("http://catalog.hathitrust.org/Record/001390468","HathiTrust Record")</f>
        <v>HathiTrust Record</v>
      </c>
      <c r="AU755" s="25" t="str">
        <f aca="false">HYPERLINK("https://creighton-primo.hosted.exlibrisgroup.com/primo-explore/search?tab=default_tab&amp;search_scope=EVERYTHING&amp;vid=01CRU&amp;lang=en_US&amp;offset=0&amp;query=any,contains,991004863299702656","Catalog Record")</f>
        <v>Catalog Record</v>
      </c>
      <c r="AV755" s="25" t="str">
        <f aca="false">HYPERLINK("http://www.worldcat.org/oclc/5723621","WorldCat Record")</f>
        <v>WorldCat Record</v>
      </c>
      <c r="AW755" s="6" t="s">
        <v>3172</v>
      </c>
      <c r="AX755" s="6" t="s">
        <v>3173</v>
      </c>
      <c r="AY755" s="6" t="s">
        <v>3174</v>
      </c>
      <c r="AZ755" s="6" t="s">
        <v>3174</v>
      </c>
      <c r="BA755" s="6" t="s">
        <v>3175</v>
      </c>
      <c r="BC755" s="6" t="s">
        <v>3176</v>
      </c>
      <c r="BE755" s="15" t="s">
        <v>2145</v>
      </c>
      <c r="BF755" s="6" t="s">
        <v>3177</v>
      </c>
    </row>
    <row r="756" customFormat="false" ht="186" hidden="false" customHeight="false" outlineLevel="0" collapsed="false">
      <c r="A756" s="4" t="s">
        <v>63</v>
      </c>
      <c r="B756" s="5" t="s">
        <v>2129</v>
      </c>
      <c r="C756" s="5" t="s">
        <v>2130</v>
      </c>
      <c r="D756" s="5" t="s">
        <v>3178</v>
      </c>
      <c r="E756" s="5" t="s">
        <v>3179</v>
      </c>
      <c r="F756" s="5" t="s">
        <v>3180</v>
      </c>
      <c r="H756" s="6" t="s">
        <v>63</v>
      </c>
      <c r="I756" s="6" t="s">
        <v>62</v>
      </c>
      <c r="J756" s="6" t="s">
        <v>63</v>
      </c>
      <c r="K756" s="6" t="s">
        <v>63</v>
      </c>
      <c r="L756" s="6" t="s">
        <v>64</v>
      </c>
      <c r="N756" s="5" t="s">
        <v>3181</v>
      </c>
      <c r="O756" s="6" t="s">
        <v>2467</v>
      </c>
      <c r="Q756" s="6" t="s">
        <v>67</v>
      </c>
      <c r="R756" s="6" t="s">
        <v>68</v>
      </c>
      <c r="T756" s="6" t="s">
        <v>2137</v>
      </c>
      <c r="U756" s="7" t="n">
        <v>1</v>
      </c>
      <c r="V756" s="7" t="n">
        <v>1</v>
      </c>
      <c r="W756" s="8" t="s">
        <v>3182</v>
      </c>
      <c r="X756" s="8" t="s">
        <v>3182</v>
      </c>
      <c r="Y756" s="8" t="s">
        <v>2695</v>
      </c>
      <c r="Z756" s="8" t="s">
        <v>2695</v>
      </c>
      <c r="AA756" s="7" t="n">
        <v>506</v>
      </c>
      <c r="AB756" s="7" t="n">
        <v>459</v>
      </c>
      <c r="AC756" s="7" t="n">
        <v>463</v>
      </c>
      <c r="AD756" s="7" t="n">
        <v>4</v>
      </c>
      <c r="AE756" s="7" t="n">
        <v>4</v>
      </c>
      <c r="AF756" s="7" t="n">
        <v>17</v>
      </c>
      <c r="AG756" s="7" t="n">
        <v>17</v>
      </c>
      <c r="AH756" s="7" t="n">
        <v>7</v>
      </c>
      <c r="AI756" s="7" t="n">
        <v>7</v>
      </c>
      <c r="AJ756" s="7" t="n">
        <v>3</v>
      </c>
      <c r="AK756" s="7" t="n">
        <v>3</v>
      </c>
      <c r="AL756" s="7" t="n">
        <v>10</v>
      </c>
      <c r="AM756" s="7" t="n">
        <v>10</v>
      </c>
      <c r="AN756" s="7" t="n">
        <v>2</v>
      </c>
      <c r="AO756" s="7" t="n">
        <v>2</v>
      </c>
      <c r="AP756" s="7" t="n">
        <v>0</v>
      </c>
      <c r="AQ756" s="7" t="n">
        <v>0</v>
      </c>
      <c r="AR756" s="6" t="s">
        <v>63</v>
      </c>
      <c r="AS756" s="6" t="s">
        <v>57</v>
      </c>
      <c r="AT756" s="25" t="str">
        <f aca="false">HYPERLINK("http://catalog.hathitrust.org/Record/000693723","HathiTrust Record")</f>
        <v>HathiTrust Record</v>
      </c>
      <c r="AU756" s="25" t="str">
        <f aca="false">HYPERLINK("https://creighton-primo.hosted.exlibrisgroup.com/primo-explore/search?tab=default_tab&amp;search_scope=EVERYTHING&amp;vid=01CRU&amp;lang=en_US&amp;offset=0&amp;query=any,contains,991003969899702656","Catalog Record")</f>
        <v>Catalog Record</v>
      </c>
      <c r="AV756" s="25" t="str">
        <f aca="false">HYPERLINK("http://www.worldcat.org/oclc/1991857","WorldCat Record")</f>
        <v>WorldCat Record</v>
      </c>
      <c r="AW756" s="6" t="s">
        <v>3183</v>
      </c>
      <c r="AX756" s="6" t="s">
        <v>3184</v>
      </c>
      <c r="AY756" s="6" t="s">
        <v>3185</v>
      </c>
      <c r="AZ756" s="6" t="s">
        <v>3185</v>
      </c>
      <c r="BA756" s="6" t="s">
        <v>3186</v>
      </c>
      <c r="BC756" s="6" t="s">
        <v>3187</v>
      </c>
      <c r="BE756" s="15" t="s">
        <v>2145</v>
      </c>
      <c r="BF756" s="6" t="s">
        <v>3188</v>
      </c>
    </row>
    <row r="757" customFormat="false" ht="71" hidden="false" customHeight="false" outlineLevel="0" collapsed="false">
      <c r="A757" s="4" t="s">
        <v>57</v>
      </c>
      <c r="B757" s="5" t="s">
        <v>2129</v>
      </c>
      <c r="C757" s="5" t="s">
        <v>2130</v>
      </c>
      <c r="D757" s="5" t="s">
        <v>3189</v>
      </c>
      <c r="E757" s="5" t="s">
        <v>3190</v>
      </c>
      <c r="F757" s="5" t="s">
        <v>3191</v>
      </c>
      <c r="H757" s="6" t="s">
        <v>63</v>
      </c>
      <c r="I757" s="6" t="s">
        <v>62</v>
      </c>
      <c r="J757" s="6" t="s">
        <v>63</v>
      </c>
      <c r="K757" s="6" t="s">
        <v>63</v>
      </c>
      <c r="L757" s="6" t="s">
        <v>64</v>
      </c>
      <c r="M757" s="5" t="s">
        <v>3192</v>
      </c>
      <c r="N757" s="5" t="s">
        <v>3193</v>
      </c>
      <c r="O757" s="6" t="s">
        <v>2893</v>
      </c>
      <c r="P757" s="5" t="s">
        <v>3194</v>
      </c>
      <c r="Q757" s="6" t="s">
        <v>67</v>
      </c>
      <c r="R757" s="6" t="s">
        <v>1108</v>
      </c>
      <c r="T757" s="6" t="s">
        <v>2137</v>
      </c>
      <c r="U757" s="7" t="n">
        <v>6</v>
      </c>
      <c r="V757" s="7" t="n">
        <v>6</v>
      </c>
      <c r="W757" s="8" t="s">
        <v>3195</v>
      </c>
      <c r="X757" s="8" t="s">
        <v>3195</v>
      </c>
      <c r="Y757" s="8" t="s">
        <v>2695</v>
      </c>
      <c r="Z757" s="8" t="s">
        <v>2695</v>
      </c>
      <c r="AA757" s="7" t="n">
        <v>561</v>
      </c>
      <c r="AB757" s="7" t="n">
        <v>483</v>
      </c>
      <c r="AC757" s="7" t="n">
        <v>1061</v>
      </c>
      <c r="AD757" s="7" t="n">
        <v>6</v>
      </c>
      <c r="AE757" s="7" t="n">
        <v>10</v>
      </c>
      <c r="AF757" s="7" t="n">
        <v>30</v>
      </c>
      <c r="AG757" s="7" t="n">
        <v>55</v>
      </c>
      <c r="AH757" s="7" t="n">
        <v>8</v>
      </c>
      <c r="AI757" s="7" t="n">
        <v>20</v>
      </c>
      <c r="AJ757" s="7" t="n">
        <v>3</v>
      </c>
      <c r="AK757" s="7" t="n">
        <v>9</v>
      </c>
      <c r="AL757" s="7" t="n">
        <v>14</v>
      </c>
      <c r="AM757" s="7" t="n">
        <v>24</v>
      </c>
      <c r="AN757" s="7" t="n">
        <v>4</v>
      </c>
      <c r="AO757" s="7" t="n">
        <v>7</v>
      </c>
      <c r="AP757" s="7" t="n">
        <v>7</v>
      </c>
      <c r="AQ757" s="7" t="n">
        <v>7</v>
      </c>
      <c r="AR757" s="6" t="s">
        <v>63</v>
      </c>
      <c r="AS757" s="6" t="s">
        <v>63</v>
      </c>
      <c r="AU757" s="25" t="str">
        <f aca="false">HYPERLINK("https://creighton-primo.hosted.exlibrisgroup.com/primo-explore/search?tab=default_tab&amp;search_scope=EVERYTHING&amp;vid=01CRU&amp;lang=en_US&amp;offset=0&amp;query=any,contains,991003737409702656","Catalog Record")</f>
        <v>Catalog Record</v>
      </c>
      <c r="AV757" s="25" t="str">
        <f aca="false">HYPERLINK("http://www.worldcat.org/oclc/1395497","WorldCat Record")</f>
        <v>WorldCat Record</v>
      </c>
      <c r="AW757" s="6" t="s">
        <v>3196</v>
      </c>
      <c r="AX757" s="6" t="s">
        <v>3197</v>
      </c>
      <c r="AY757" s="6" t="s">
        <v>3198</v>
      </c>
      <c r="AZ757" s="6" t="s">
        <v>3198</v>
      </c>
      <c r="BA757" s="6" t="s">
        <v>3199</v>
      </c>
      <c r="BB757" s="6" t="s">
        <v>3200</v>
      </c>
      <c r="BC757" s="6" t="s">
        <v>3201</v>
      </c>
      <c r="BE757" s="15" t="s">
        <v>2145</v>
      </c>
      <c r="BF757" s="6" t="s">
        <v>3202</v>
      </c>
    </row>
    <row r="758" customFormat="false" ht="59.5" hidden="false" customHeight="false" outlineLevel="0" collapsed="false">
      <c r="A758" s="4" t="s">
        <v>63</v>
      </c>
      <c r="B758" s="5" t="s">
        <v>2129</v>
      </c>
      <c r="C758" s="5" t="s">
        <v>2130</v>
      </c>
      <c r="D758" s="5" t="s">
        <v>3203</v>
      </c>
      <c r="E758" s="5" t="s">
        <v>3204</v>
      </c>
      <c r="F758" s="5" t="s">
        <v>3205</v>
      </c>
      <c r="H758" s="6" t="s">
        <v>63</v>
      </c>
      <c r="I758" s="6" t="s">
        <v>62</v>
      </c>
      <c r="J758" s="6" t="s">
        <v>63</v>
      </c>
      <c r="K758" s="6" t="s">
        <v>63</v>
      </c>
      <c r="L758" s="6" t="s">
        <v>64</v>
      </c>
      <c r="M758" s="5" t="s">
        <v>3206</v>
      </c>
      <c r="N758" s="5" t="s">
        <v>3207</v>
      </c>
      <c r="O758" s="6" t="s">
        <v>264</v>
      </c>
      <c r="Q758" s="6" t="s">
        <v>67</v>
      </c>
      <c r="R758" s="6" t="s">
        <v>384</v>
      </c>
      <c r="T758" s="6" t="s">
        <v>2137</v>
      </c>
      <c r="U758" s="7" t="n">
        <v>4</v>
      </c>
      <c r="V758" s="7" t="n">
        <v>4</v>
      </c>
      <c r="W758" s="8" t="s">
        <v>3208</v>
      </c>
      <c r="X758" s="8" t="s">
        <v>3208</v>
      </c>
      <c r="Y758" s="8" t="s">
        <v>2695</v>
      </c>
      <c r="Z758" s="8" t="s">
        <v>2695</v>
      </c>
      <c r="AA758" s="7" t="n">
        <v>694</v>
      </c>
      <c r="AB758" s="7" t="n">
        <v>503</v>
      </c>
      <c r="AC758" s="7" t="n">
        <v>539</v>
      </c>
      <c r="AD758" s="7" t="n">
        <v>5</v>
      </c>
      <c r="AE758" s="7" t="n">
        <v>5</v>
      </c>
      <c r="AF758" s="7" t="n">
        <v>23</v>
      </c>
      <c r="AG758" s="7" t="n">
        <v>24</v>
      </c>
      <c r="AH758" s="7" t="n">
        <v>7</v>
      </c>
      <c r="AI758" s="7" t="n">
        <v>7</v>
      </c>
      <c r="AJ758" s="7" t="n">
        <v>7</v>
      </c>
      <c r="AK758" s="7" t="n">
        <v>8</v>
      </c>
      <c r="AL758" s="7" t="n">
        <v>12</v>
      </c>
      <c r="AM758" s="7" t="n">
        <v>12</v>
      </c>
      <c r="AN758" s="7" t="n">
        <v>4</v>
      </c>
      <c r="AO758" s="7" t="n">
        <v>4</v>
      </c>
      <c r="AP758" s="7" t="n">
        <v>0</v>
      </c>
      <c r="AQ758" s="7" t="n">
        <v>0</v>
      </c>
      <c r="AR758" s="6" t="s">
        <v>63</v>
      </c>
      <c r="AS758" s="6" t="s">
        <v>63</v>
      </c>
      <c r="AU758" s="25" t="str">
        <f aca="false">HYPERLINK("https://creighton-primo.hosted.exlibrisgroup.com/primo-explore/search?tab=default_tab&amp;search_scope=EVERYTHING&amp;vid=01CRU&amp;lang=en_US&amp;offset=0&amp;query=any,contains,991000629789702656","Catalog Record")</f>
        <v>Catalog Record</v>
      </c>
      <c r="AV758" s="25" t="str">
        <f aca="false">HYPERLINK("http://www.worldcat.org/oclc/105645","WorldCat Record")</f>
        <v>WorldCat Record</v>
      </c>
      <c r="AW758" s="6" t="s">
        <v>3209</v>
      </c>
      <c r="AX758" s="6" t="s">
        <v>3210</v>
      </c>
      <c r="AY758" s="6" t="s">
        <v>3211</v>
      </c>
      <c r="AZ758" s="6" t="s">
        <v>3211</v>
      </c>
      <c r="BA758" s="6" t="s">
        <v>3212</v>
      </c>
      <c r="BB758" s="6" t="s">
        <v>3213</v>
      </c>
      <c r="BC758" s="6" t="s">
        <v>3214</v>
      </c>
      <c r="BE758" s="15" t="s">
        <v>2145</v>
      </c>
      <c r="BF758" s="6" t="s">
        <v>3215</v>
      </c>
    </row>
    <row r="759" customFormat="false" ht="94" hidden="false" customHeight="false" outlineLevel="0" collapsed="false">
      <c r="A759" s="4" t="s">
        <v>63</v>
      </c>
      <c r="B759" s="5" t="s">
        <v>2129</v>
      </c>
      <c r="C759" s="5" t="s">
        <v>2130</v>
      </c>
      <c r="D759" s="5" t="s">
        <v>3216</v>
      </c>
      <c r="E759" s="5" t="s">
        <v>3217</v>
      </c>
      <c r="F759" s="5" t="s">
        <v>3218</v>
      </c>
      <c r="H759" s="6" t="s">
        <v>63</v>
      </c>
      <c r="I759" s="6" t="s">
        <v>62</v>
      </c>
      <c r="J759" s="6" t="s">
        <v>63</v>
      </c>
      <c r="K759" s="6" t="s">
        <v>63</v>
      </c>
      <c r="L759" s="6" t="s">
        <v>64</v>
      </c>
      <c r="M759" s="5" t="s">
        <v>3219</v>
      </c>
      <c r="N759" s="5" t="s">
        <v>3220</v>
      </c>
      <c r="O759" s="6" t="s">
        <v>152</v>
      </c>
      <c r="Q759" s="6" t="s">
        <v>67</v>
      </c>
      <c r="R759" s="6" t="s">
        <v>384</v>
      </c>
      <c r="S759" s="5" t="s">
        <v>3221</v>
      </c>
      <c r="T759" s="6" t="s">
        <v>2137</v>
      </c>
      <c r="U759" s="7" t="n">
        <v>6</v>
      </c>
      <c r="V759" s="7" t="n">
        <v>6</v>
      </c>
      <c r="W759" s="8" t="s">
        <v>3158</v>
      </c>
      <c r="X759" s="8" t="s">
        <v>3158</v>
      </c>
      <c r="Y759" s="8" t="s">
        <v>2709</v>
      </c>
      <c r="Z759" s="8" t="s">
        <v>2709</v>
      </c>
      <c r="AA759" s="7" t="n">
        <v>579</v>
      </c>
      <c r="AB759" s="7" t="n">
        <v>452</v>
      </c>
      <c r="AC759" s="7" t="n">
        <v>462</v>
      </c>
      <c r="AD759" s="7" t="n">
        <v>2</v>
      </c>
      <c r="AE759" s="7" t="n">
        <v>2</v>
      </c>
      <c r="AF759" s="7" t="n">
        <v>23</v>
      </c>
      <c r="AG759" s="7" t="n">
        <v>23</v>
      </c>
      <c r="AH759" s="7" t="n">
        <v>7</v>
      </c>
      <c r="AI759" s="7" t="n">
        <v>7</v>
      </c>
      <c r="AJ759" s="7" t="n">
        <v>6</v>
      </c>
      <c r="AK759" s="7" t="n">
        <v>6</v>
      </c>
      <c r="AL759" s="7" t="n">
        <v>13</v>
      </c>
      <c r="AM759" s="7" t="n">
        <v>13</v>
      </c>
      <c r="AN759" s="7" t="n">
        <v>1</v>
      </c>
      <c r="AO759" s="7" t="n">
        <v>1</v>
      </c>
      <c r="AP759" s="7" t="n">
        <v>4</v>
      </c>
      <c r="AQ759" s="7" t="n">
        <v>4</v>
      </c>
      <c r="AR759" s="6" t="s">
        <v>63</v>
      </c>
      <c r="AS759" s="6" t="s">
        <v>57</v>
      </c>
      <c r="AT759" s="25" t="str">
        <f aca="false">HYPERLINK("http://catalog.hathitrust.org/Record/000208984","HathiTrust Record")</f>
        <v>HathiTrust Record</v>
      </c>
      <c r="AU759" s="25" t="str">
        <f aca="false">HYPERLINK("https://creighton-primo.hosted.exlibrisgroup.com/primo-explore/search?tab=default_tab&amp;search_scope=EVERYTHING&amp;vid=01CRU&amp;lang=en_US&amp;offset=0&amp;query=any,contains,991000288009702656","Catalog Record")</f>
        <v>Catalog Record</v>
      </c>
      <c r="AV759" s="25" t="str">
        <f aca="false">HYPERLINK("http://www.worldcat.org/oclc/9945981","WorldCat Record")</f>
        <v>WorldCat Record</v>
      </c>
      <c r="AW759" s="6" t="s">
        <v>3222</v>
      </c>
      <c r="AX759" s="6" t="s">
        <v>3223</v>
      </c>
      <c r="AY759" s="6" t="s">
        <v>3224</v>
      </c>
      <c r="AZ759" s="6" t="s">
        <v>3224</v>
      </c>
      <c r="BA759" s="6" t="s">
        <v>3225</v>
      </c>
      <c r="BB759" s="6" t="s">
        <v>3226</v>
      </c>
      <c r="BC759" s="6" t="s">
        <v>3227</v>
      </c>
      <c r="BE759" s="15" t="s">
        <v>2145</v>
      </c>
      <c r="BF759" s="6" t="s">
        <v>3228</v>
      </c>
    </row>
    <row r="760" customFormat="false" ht="71" hidden="false" customHeight="false" outlineLevel="0" collapsed="false">
      <c r="A760" s="4" t="s">
        <v>63</v>
      </c>
      <c r="B760" s="5" t="s">
        <v>2129</v>
      </c>
      <c r="C760" s="5" t="s">
        <v>2130</v>
      </c>
      <c r="D760" s="5" t="s">
        <v>3229</v>
      </c>
      <c r="E760" s="5" t="s">
        <v>3230</v>
      </c>
      <c r="F760" s="5" t="s">
        <v>3231</v>
      </c>
      <c r="H760" s="6" t="s">
        <v>63</v>
      </c>
      <c r="I760" s="6" t="s">
        <v>62</v>
      </c>
      <c r="J760" s="6" t="s">
        <v>63</v>
      </c>
      <c r="K760" s="6" t="s">
        <v>63</v>
      </c>
      <c r="L760" s="6" t="s">
        <v>64</v>
      </c>
      <c r="M760" s="5" t="s">
        <v>3232</v>
      </c>
      <c r="N760" s="5" t="s">
        <v>3233</v>
      </c>
      <c r="O760" s="6" t="s">
        <v>2893</v>
      </c>
      <c r="Q760" s="6" t="s">
        <v>67</v>
      </c>
      <c r="R760" s="6" t="s">
        <v>68</v>
      </c>
      <c r="S760" s="5" t="s">
        <v>3234</v>
      </c>
      <c r="T760" s="6" t="s">
        <v>2137</v>
      </c>
      <c r="U760" s="7" t="n">
        <v>4</v>
      </c>
      <c r="V760" s="7" t="n">
        <v>4</v>
      </c>
      <c r="W760" s="8" t="s">
        <v>3235</v>
      </c>
      <c r="X760" s="8" t="s">
        <v>3235</v>
      </c>
      <c r="Y760" s="8" t="s">
        <v>2695</v>
      </c>
      <c r="Z760" s="8" t="s">
        <v>2695</v>
      </c>
      <c r="AA760" s="7" t="n">
        <v>249</v>
      </c>
      <c r="AB760" s="7" t="n">
        <v>231</v>
      </c>
      <c r="AC760" s="7" t="n">
        <v>311</v>
      </c>
      <c r="AD760" s="7" t="n">
        <v>3</v>
      </c>
      <c r="AE760" s="7" t="n">
        <v>4</v>
      </c>
      <c r="AF760" s="7" t="n">
        <v>15</v>
      </c>
      <c r="AG760" s="7" t="n">
        <v>19</v>
      </c>
      <c r="AH760" s="7" t="n">
        <v>8</v>
      </c>
      <c r="AI760" s="7" t="n">
        <v>8</v>
      </c>
      <c r="AJ760" s="7" t="n">
        <v>2</v>
      </c>
      <c r="AK760" s="7" t="n">
        <v>4</v>
      </c>
      <c r="AL760" s="7" t="n">
        <v>10</v>
      </c>
      <c r="AM760" s="7" t="n">
        <v>12</v>
      </c>
      <c r="AN760" s="7" t="n">
        <v>2</v>
      </c>
      <c r="AO760" s="7" t="n">
        <v>3</v>
      </c>
      <c r="AP760" s="7" t="n">
        <v>0</v>
      </c>
      <c r="AQ760" s="7" t="n">
        <v>0</v>
      </c>
      <c r="AR760" s="6" t="s">
        <v>63</v>
      </c>
      <c r="AS760" s="6" t="s">
        <v>57</v>
      </c>
      <c r="AT760" s="25" t="str">
        <f aca="false">HYPERLINK("http://catalog.hathitrust.org/Record/102064549","HathiTrust Record")</f>
        <v>HathiTrust Record</v>
      </c>
      <c r="AU760" s="25" t="str">
        <f aca="false">HYPERLINK("https://creighton-primo.hosted.exlibrisgroup.com/primo-explore/search?tab=default_tab&amp;search_scope=EVERYTHING&amp;vid=01CRU&amp;lang=en_US&amp;offset=0&amp;query=any,contains,991003855249702656","Catalog Record")</f>
        <v>Catalog Record</v>
      </c>
      <c r="AV760" s="25" t="str">
        <f aca="false">HYPERLINK("http://www.worldcat.org/oclc/1652454","WorldCat Record")</f>
        <v>WorldCat Record</v>
      </c>
      <c r="AW760" s="6" t="s">
        <v>3236</v>
      </c>
      <c r="AX760" s="6" t="s">
        <v>3237</v>
      </c>
      <c r="AY760" s="6" t="s">
        <v>3238</v>
      </c>
      <c r="AZ760" s="6" t="s">
        <v>3238</v>
      </c>
      <c r="BA760" s="6" t="s">
        <v>3239</v>
      </c>
      <c r="BB760" s="6" t="s">
        <v>3240</v>
      </c>
      <c r="BC760" s="6" t="s">
        <v>3241</v>
      </c>
      <c r="BE760" s="15" t="s">
        <v>2145</v>
      </c>
      <c r="BF760" s="6" t="s">
        <v>3242</v>
      </c>
    </row>
    <row r="761" customFormat="false" ht="140" hidden="false" customHeight="false" outlineLevel="0" collapsed="false">
      <c r="A761" s="4" t="s">
        <v>57</v>
      </c>
      <c r="B761" s="5" t="s">
        <v>2129</v>
      </c>
      <c r="C761" s="5" t="s">
        <v>2130</v>
      </c>
      <c r="D761" s="5" t="s">
        <v>3243</v>
      </c>
      <c r="E761" s="5" t="s">
        <v>3244</v>
      </c>
      <c r="F761" s="5" t="s">
        <v>3245</v>
      </c>
      <c r="H761" s="6" t="s">
        <v>63</v>
      </c>
      <c r="I761" s="6" t="s">
        <v>62</v>
      </c>
      <c r="J761" s="6" t="s">
        <v>63</v>
      </c>
      <c r="K761" s="6" t="s">
        <v>63</v>
      </c>
      <c r="L761" s="6" t="s">
        <v>64</v>
      </c>
      <c r="M761" s="5" t="s">
        <v>3246</v>
      </c>
      <c r="N761" s="5" t="s">
        <v>3247</v>
      </c>
      <c r="O761" s="6" t="s">
        <v>3248</v>
      </c>
      <c r="Q761" s="6" t="s">
        <v>67</v>
      </c>
      <c r="R761" s="6" t="s">
        <v>68</v>
      </c>
      <c r="T761" s="6" t="s">
        <v>2137</v>
      </c>
      <c r="U761" s="7" t="n">
        <v>1</v>
      </c>
      <c r="V761" s="7" t="n">
        <v>1</v>
      </c>
      <c r="W761" s="8" t="s">
        <v>3249</v>
      </c>
      <c r="X761" s="8" t="s">
        <v>3249</v>
      </c>
      <c r="Y761" s="8" t="s">
        <v>3250</v>
      </c>
      <c r="Z761" s="8" t="s">
        <v>3250</v>
      </c>
      <c r="AA761" s="7" t="n">
        <v>233</v>
      </c>
      <c r="AB761" s="7" t="n">
        <v>211</v>
      </c>
      <c r="AC761" s="7" t="n">
        <v>632</v>
      </c>
      <c r="AD761" s="7" t="n">
        <v>2</v>
      </c>
      <c r="AE761" s="7" t="n">
        <v>5</v>
      </c>
      <c r="AF761" s="7" t="n">
        <v>20</v>
      </c>
      <c r="AG761" s="7" t="n">
        <v>26</v>
      </c>
      <c r="AH761" s="7" t="n">
        <v>6</v>
      </c>
      <c r="AI761" s="7" t="n">
        <v>9</v>
      </c>
      <c r="AJ761" s="7" t="n">
        <v>6</v>
      </c>
      <c r="AK761" s="7" t="n">
        <v>6</v>
      </c>
      <c r="AL761" s="7" t="n">
        <v>16</v>
      </c>
      <c r="AM761" s="7" t="n">
        <v>16</v>
      </c>
      <c r="AN761" s="7" t="n">
        <v>1</v>
      </c>
      <c r="AO761" s="7" t="n">
        <v>4</v>
      </c>
      <c r="AP761" s="7" t="n">
        <v>0</v>
      </c>
      <c r="AQ761" s="7" t="n">
        <v>0</v>
      </c>
      <c r="AR761" s="6" t="s">
        <v>63</v>
      </c>
      <c r="AS761" s="6" t="s">
        <v>57</v>
      </c>
      <c r="AT761" s="25" t="str">
        <f aca="false">HYPERLINK("http://catalog.hathitrust.org/Record/003043459","HathiTrust Record")</f>
        <v>HathiTrust Record</v>
      </c>
      <c r="AU761" s="25" t="str">
        <f aca="false">HYPERLINK("https://creighton-primo.hosted.exlibrisgroup.com/primo-explore/search?tab=default_tab&amp;search_scope=EVERYTHING&amp;vid=01CRU&amp;lang=en_US&amp;offset=0&amp;query=any,contains,991002546419702656","Catalog Record")</f>
        <v>Catalog Record</v>
      </c>
      <c r="AV761" s="25" t="str">
        <f aca="false">HYPERLINK("http://www.worldcat.org/oclc/33079508","WorldCat Record")</f>
        <v>WorldCat Record</v>
      </c>
      <c r="AW761" s="6" t="s">
        <v>3251</v>
      </c>
      <c r="AX761" s="6" t="s">
        <v>3252</v>
      </c>
      <c r="AY761" s="6" t="s">
        <v>3253</v>
      </c>
      <c r="AZ761" s="6" t="s">
        <v>3253</v>
      </c>
      <c r="BA761" s="6" t="s">
        <v>3254</v>
      </c>
      <c r="BB761" s="6" t="s">
        <v>3255</v>
      </c>
      <c r="BC761" s="6" t="s">
        <v>3256</v>
      </c>
      <c r="BE761" s="15" t="s">
        <v>2145</v>
      </c>
      <c r="BF761" s="6" t="s">
        <v>3257</v>
      </c>
    </row>
    <row r="762" customFormat="false" ht="151.5" hidden="false" customHeight="false" outlineLevel="0" collapsed="false">
      <c r="A762" s="4" t="s">
        <v>63</v>
      </c>
      <c r="B762" s="5" t="s">
        <v>2129</v>
      </c>
      <c r="C762" s="5" t="s">
        <v>2130</v>
      </c>
      <c r="D762" s="5" t="s">
        <v>3258</v>
      </c>
      <c r="E762" s="5" t="s">
        <v>3259</v>
      </c>
      <c r="F762" s="5" t="s">
        <v>3260</v>
      </c>
      <c r="H762" s="6" t="s">
        <v>63</v>
      </c>
      <c r="I762" s="6" t="s">
        <v>62</v>
      </c>
      <c r="J762" s="6" t="s">
        <v>63</v>
      </c>
      <c r="K762" s="6" t="s">
        <v>63</v>
      </c>
      <c r="L762" s="6" t="s">
        <v>64</v>
      </c>
      <c r="M762" s="5" t="s">
        <v>3261</v>
      </c>
      <c r="N762" s="5" t="s">
        <v>3262</v>
      </c>
      <c r="O762" s="6" t="s">
        <v>233</v>
      </c>
      <c r="Q762" s="6" t="s">
        <v>67</v>
      </c>
      <c r="R762" s="6" t="s">
        <v>68</v>
      </c>
      <c r="S762" s="5" t="s">
        <v>3263</v>
      </c>
      <c r="T762" s="6" t="s">
        <v>2137</v>
      </c>
      <c r="U762" s="7" t="n">
        <v>4</v>
      </c>
      <c r="V762" s="7" t="n">
        <v>4</v>
      </c>
      <c r="W762" s="8" t="s">
        <v>3235</v>
      </c>
      <c r="X762" s="8" t="s">
        <v>3235</v>
      </c>
      <c r="Y762" s="8" t="s">
        <v>2695</v>
      </c>
      <c r="Z762" s="8" t="s">
        <v>2695</v>
      </c>
      <c r="AA762" s="7" t="n">
        <v>364</v>
      </c>
      <c r="AB762" s="7" t="n">
        <v>318</v>
      </c>
      <c r="AC762" s="7" t="n">
        <v>491</v>
      </c>
      <c r="AD762" s="7" t="n">
        <v>2</v>
      </c>
      <c r="AE762" s="7" t="n">
        <v>3</v>
      </c>
      <c r="AF762" s="7" t="n">
        <v>22</v>
      </c>
      <c r="AG762" s="7" t="n">
        <v>28</v>
      </c>
      <c r="AH762" s="7" t="n">
        <v>7</v>
      </c>
      <c r="AI762" s="7" t="n">
        <v>10</v>
      </c>
      <c r="AJ762" s="7" t="n">
        <v>8</v>
      </c>
      <c r="AK762" s="7" t="n">
        <v>9</v>
      </c>
      <c r="AL762" s="7" t="n">
        <v>13</v>
      </c>
      <c r="AM762" s="7" t="n">
        <v>15</v>
      </c>
      <c r="AN762" s="7" t="n">
        <v>1</v>
      </c>
      <c r="AO762" s="7" t="n">
        <v>2</v>
      </c>
      <c r="AP762" s="7" t="n">
        <v>0</v>
      </c>
      <c r="AQ762" s="7" t="n">
        <v>0</v>
      </c>
      <c r="AR762" s="6" t="s">
        <v>63</v>
      </c>
      <c r="AS762" s="6" t="s">
        <v>63</v>
      </c>
      <c r="AU762" s="25" t="str">
        <f aca="false">HYPERLINK("https://creighton-primo.hosted.exlibrisgroup.com/primo-explore/search?tab=default_tab&amp;search_scope=EVERYTHING&amp;vid=01CRU&amp;lang=en_US&amp;offset=0&amp;query=any,contains,991004213579702656","Catalog Record")</f>
        <v>Catalog Record</v>
      </c>
      <c r="AV762" s="25" t="str">
        <f aca="false">HYPERLINK("http://www.worldcat.org/oclc/2691501","WorldCat Record")</f>
        <v>WorldCat Record</v>
      </c>
      <c r="AW762" s="6" t="s">
        <v>3264</v>
      </c>
      <c r="AX762" s="6" t="s">
        <v>3265</v>
      </c>
      <c r="AY762" s="6" t="s">
        <v>3266</v>
      </c>
      <c r="AZ762" s="6" t="s">
        <v>3266</v>
      </c>
      <c r="BA762" s="6" t="s">
        <v>3267</v>
      </c>
      <c r="BC762" s="6" t="s">
        <v>3268</v>
      </c>
      <c r="BE762" s="15" t="s">
        <v>2145</v>
      </c>
      <c r="BF762" s="6" t="s">
        <v>3269</v>
      </c>
    </row>
    <row r="763" customFormat="false" ht="82.5" hidden="false" customHeight="false" outlineLevel="0" collapsed="false">
      <c r="A763" s="4" t="s">
        <v>63</v>
      </c>
      <c r="B763" s="5" t="s">
        <v>2129</v>
      </c>
      <c r="C763" s="5" t="s">
        <v>2130</v>
      </c>
      <c r="D763" s="5" t="s">
        <v>3270</v>
      </c>
      <c r="E763" s="5" t="s">
        <v>3271</v>
      </c>
      <c r="F763" s="5" t="s">
        <v>3272</v>
      </c>
      <c r="H763" s="6" t="s">
        <v>63</v>
      </c>
      <c r="I763" s="6" t="s">
        <v>62</v>
      </c>
      <c r="J763" s="6" t="s">
        <v>63</v>
      </c>
      <c r="K763" s="6" t="s">
        <v>63</v>
      </c>
      <c r="L763" s="6" t="s">
        <v>64</v>
      </c>
      <c r="M763" s="5" t="s">
        <v>3273</v>
      </c>
      <c r="N763" s="5" t="s">
        <v>3274</v>
      </c>
      <c r="O763" s="6" t="s">
        <v>208</v>
      </c>
      <c r="Q763" s="6" t="s">
        <v>67</v>
      </c>
      <c r="R763" s="6" t="s">
        <v>500</v>
      </c>
      <c r="T763" s="6" t="s">
        <v>2137</v>
      </c>
      <c r="U763" s="7" t="n">
        <v>4</v>
      </c>
      <c r="V763" s="7" t="n">
        <v>4</v>
      </c>
      <c r="W763" s="8" t="s">
        <v>3275</v>
      </c>
      <c r="X763" s="8" t="s">
        <v>3275</v>
      </c>
      <c r="Y763" s="8" t="s">
        <v>3276</v>
      </c>
      <c r="Z763" s="8" t="s">
        <v>3276</v>
      </c>
      <c r="AA763" s="7" t="n">
        <v>288</v>
      </c>
      <c r="AB763" s="7" t="n">
        <v>233</v>
      </c>
      <c r="AC763" s="7" t="n">
        <v>233</v>
      </c>
      <c r="AD763" s="7" t="n">
        <v>2</v>
      </c>
      <c r="AE763" s="7" t="n">
        <v>2</v>
      </c>
      <c r="AF763" s="7" t="n">
        <v>13</v>
      </c>
      <c r="AG763" s="7" t="n">
        <v>13</v>
      </c>
      <c r="AH763" s="7" t="n">
        <v>2</v>
      </c>
      <c r="AI763" s="7" t="n">
        <v>2</v>
      </c>
      <c r="AJ763" s="7" t="n">
        <v>5</v>
      </c>
      <c r="AK763" s="7" t="n">
        <v>5</v>
      </c>
      <c r="AL763" s="7" t="n">
        <v>10</v>
      </c>
      <c r="AM763" s="7" t="n">
        <v>10</v>
      </c>
      <c r="AN763" s="7" t="n">
        <v>1</v>
      </c>
      <c r="AO763" s="7" t="n">
        <v>1</v>
      </c>
      <c r="AP763" s="7" t="n">
        <v>0</v>
      </c>
      <c r="AQ763" s="7" t="n">
        <v>0</v>
      </c>
      <c r="AR763" s="6" t="s">
        <v>63</v>
      </c>
      <c r="AS763" s="6" t="s">
        <v>63</v>
      </c>
      <c r="AU763" s="25" t="str">
        <f aca="false">HYPERLINK("https://creighton-primo.hosted.exlibrisgroup.com/primo-explore/search?tab=default_tab&amp;search_scope=EVERYTHING&amp;vid=01CRU&amp;lang=en_US&amp;offset=0&amp;query=any,contains,991000720339702656","Catalog Record")</f>
        <v>Catalog Record</v>
      </c>
      <c r="AV763" s="25" t="str">
        <f aca="false">HYPERLINK("http://www.worldcat.org/oclc/12665466","WorldCat Record")</f>
        <v>WorldCat Record</v>
      </c>
      <c r="AW763" s="6" t="s">
        <v>3277</v>
      </c>
      <c r="AX763" s="6" t="s">
        <v>3278</v>
      </c>
      <c r="AY763" s="6" t="s">
        <v>3279</v>
      </c>
      <c r="AZ763" s="6" t="s">
        <v>3279</v>
      </c>
      <c r="BA763" s="6" t="s">
        <v>3280</v>
      </c>
      <c r="BB763" s="6" t="s">
        <v>3281</v>
      </c>
      <c r="BC763" s="6" t="s">
        <v>3282</v>
      </c>
      <c r="BE763" s="15" t="s">
        <v>2145</v>
      </c>
      <c r="BF763" s="6" t="s">
        <v>3283</v>
      </c>
    </row>
    <row r="764" customFormat="false" ht="140" hidden="false" customHeight="false" outlineLevel="0" collapsed="false">
      <c r="A764" s="4" t="s">
        <v>63</v>
      </c>
      <c r="B764" s="5" t="s">
        <v>2129</v>
      </c>
      <c r="C764" s="5" t="s">
        <v>2130</v>
      </c>
      <c r="D764" s="5" t="s">
        <v>3284</v>
      </c>
      <c r="E764" s="5" t="s">
        <v>3285</v>
      </c>
      <c r="F764" s="5" t="s">
        <v>3286</v>
      </c>
      <c r="H764" s="6" t="s">
        <v>63</v>
      </c>
      <c r="I764" s="6" t="s">
        <v>62</v>
      </c>
      <c r="J764" s="6" t="s">
        <v>63</v>
      </c>
      <c r="K764" s="6" t="s">
        <v>63</v>
      </c>
      <c r="L764" s="6" t="s">
        <v>64</v>
      </c>
      <c r="M764" s="5" t="s">
        <v>3287</v>
      </c>
      <c r="N764" s="5" t="s">
        <v>3288</v>
      </c>
      <c r="O764" s="6" t="s">
        <v>195</v>
      </c>
      <c r="Q764" s="6" t="s">
        <v>67</v>
      </c>
      <c r="R764" s="6" t="s">
        <v>222</v>
      </c>
      <c r="T764" s="6" t="s">
        <v>2137</v>
      </c>
      <c r="U764" s="7" t="n">
        <v>3</v>
      </c>
      <c r="V764" s="7" t="n">
        <v>3</v>
      </c>
      <c r="W764" s="8" t="s">
        <v>3289</v>
      </c>
      <c r="X764" s="8" t="s">
        <v>3289</v>
      </c>
      <c r="Y764" s="8" t="s">
        <v>2695</v>
      </c>
      <c r="Z764" s="8" t="s">
        <v>2695</v>
      </c>
      <c r="AA764" s="7" t="n">
        <v>351</v>
      </c>
      <c r="AB764" s="7" t="n">
        <v>322</v>
      </c>
      <c r="AC764" s="7" t="n">
        <v>472</v>
      </c>
      <c r="AD764" s="7" t="n">
        <v>3</v>
      </c>
      <c r="AE764" s="7" t="n">
        <v>4</v>
      </c>
      <c r="AF764" s="7" t="n">
        <v>16</v>
      </c>
      <c r="AG764" s="7" t="n">
        <v>25</v>
      </c>
      <c r="AH764" s="7" t="n">
        <v>5</v>
      </c>
      <c r="AI764" s="7" t="n">
        <v>12</v>
      </c>
      <c r="AJ764" s="7" t="n">
        <v>4</v>
      </c>
      <c r="AK764" s="7" t="n">
        <v>5</v>
      </c>
      <c r="AL764" s="7" t="n">
        <v>9</v>
      </c>
      <c r="AM764" s="7" t="n">
        <v>12</v>
      </c>
      <c r="AN764" s="7" t="n">
        <v>1</v>
      </c>
      <c r="AO764" s="7" t="n">
        <v>2</v>
      </c>
      <c r="AP764" s="7" t="n">
        <v>0</v>
      </c>
      <c r="AQ764" s="7" t="n">
        <v>0</v>
      </c>
      <c r="AR764" s="6" t="s">
        <v>63</v>
      </c>
      <c r="AS764" s="6" t="s">
        <v>57</v>
      </c>
      <c r="AT764" s="25" t="str">
        <f aca="false">HYPERLINK("http://catalog.hathitrust.org/Record/001390556","HathiTrust Record")</f>
        <v>HathiTrust Record</v>
      </c>
      <c r="AU764" s="25" t="str">
        <f aca="false">HYPERLINK("https://creighton-primo.hosted.exlibrisgroup.com/primo-explore/search?tab=default_tab&amp;search_scope=EVERYTHING&amp;vid=01CRU&amp;lang=en_US&amp;offset=0&amp;query=any,contains,991003748149702656","Catalog Record")</f>
        <v>Catalog Record</v>
      </c>
      <c r="AV764" s="25" t="str">
        <f aca="false">HYPERLINK("http://www.worldcat.org/oclc/1421065","WorldCat Record")</f>
        <v>WorldCat Record</v>
      </c>
      <c r="AW764" s="6" t="s">
        <v>3290</v>
      </c>
      <c r="AX764" s="6" t="s">
        <v>3291</v>
      </c>
      <c r="AY764" s="6" t="s">
        <v>3292</v>
      </c>
      <c r="AZ764" s="6" t="s">
        <v>3292</v>
      </c>
      <c r="BA764" s="6" t="s">
        <v>3293</v>
      </c>
      <c r="BC764" s="6" t="s">
        <v>3294</v>
      </c>
      <c r="BE764" s="15" t="s">
        <v>2145</v>
      </c>
      <c r="BF764" s="6" t="s">
        <v>3295</v>
      </c>
    </row>
    <row r="765" customFormat="false" ht="117" hidden="false" customHeight="false" outlineLevel="0" collapsed="false">
      <c r="A765" s="4" t="s">
        <v>63</v>
      </c>
      <c r="B765" s="5" t="s">
        <v>2129</v>
      </c>
      <c r="C765" s="5" t="s">
        <v>2130</v>
      </c>
      <c r="D765" s="5" t="s">
        <v>3296</v>
      </c>
      <c r="E765" s="5" t="s">
        <v>3297</v>
      </c>
      <c r="F765" s="5" t="s">
        <v>3298</v>
      </c>
      <c r="H765" s="6" t="s">
        <v>63</v>
      </c>
      <c r="I765" s="6" t="s">
        <v>62</v>
      </c>
      <c r="J765" s="6" t="s">
        <v>63</v>
      </c>
      <c r="K765" s="6" t="s">
        <v>63</v>
      </c>
      <c r="L765" s="6" t="s">
        <v>64</v>
      </c>
      <c r="M765" s="5" t="s">
        <v>3299</v>
      </c>
      <c r="N765" s="5" t="s">
        <v>3300</v>
      </c>
      <c r="O765" s="6" t="s">
        <v>3301</v>
      </c>
      <c r="Q765" s="6" t="s">
        <v>67</v>
      </c>
      <c r="R765" s="6" t="s">
        <v>384</v>
      </c>
      <c r="T765" s="6" t="s">
        <v>2137</v>
      </c>
      <c r="U765" s="7" t="n">
        <v>2</v>
      </c>
      <c r="V765" s="7" t="n">
        <v>2</v>
      </c>
      <c r="W765" s="8" t="s">
        <v>3302</v>
      </c>
      <c r="X765" s="8" t="s">
        <v>3302</v>
      </c>
      <c r="Y765" s="8" t="s">
        <v>3303</v>
      </c>
      <c r="Z765" s="8" t="s">
        <v>3303</v>
      </c>
      <c r="AA765" s="7" t="n">
        <v>551</v>
      </c>
      <c r="AB765" s="7" t="n">
        <v>402</v>
      </c>
      <c r="AC765" s="7" t="n">
        <v>438</v>
      </c>
      <c r="AD765" s="7" t="n">
        <v>2</v>
      </c>
      <c r="AE765" s="7" t="n">
        <v>3</v>
      </c>
      <c r="AF765" s="7" t="n">
        <v>21</v>
      </c>
      <c r="AG765" s="7" t="n">
        <v>23</v>
      </c>
      <c r="AH765" s="7" t="n">
        <v>8</v>
      </c>
      <c r="AI765" s="7" t="n">
        <v>8</v>
      </c>
      <c r="AJ765" s="7" t="n">
        <v>7</v>
      </c>
      <c r="AK765" s="7" t="n">
        <v>8</v>
      </c>
      <c r="AL765" s="7" t="n">
        <v>15</v>
      </c>
      <c r="AM765" s="7" t="n">
        <v>15</v>
      </c>
      <c r="AN765" s="7" t="n">
        <v>0</v>
      </c>
      <c r="AO765" s="7" t="n">
        <v>1</v>
      </c>
      <c r="AP765" s="7" t="n">
        <v>0</v>
      </c>
      <c r="AQ765" s="7" t="n">
        <v>0</v>
      </c>
      <c r="AR765" s="6" t="s">
        <v>63</v>
      </c>
      <c r="AS765" s="6" t="s">
        <v>63</v>
      </c>
      <c r="AU765" s="25" t="str">
        <f aca="false">HYPERLINK("https://creighton-primo.hosted.exlibrisgroup.com/primo-explore/search?tab=default_tab&amp;search_scope=EVERYTHING&amp;vid=01CRU&amp;lang=en_US&amp;offset=0&amp;query=any,contains,991005245359702656","Catalog Record")</f>
        <v>Catalog Record</v>
      </c>
      <c r="AV765" s="25" t="str">
        <f aca="false">HYPERLINK("http://www.worldcat.org/oclc/8452087","WorldCat Record")</f>
        <v>WorldCat Record</v>
      </c>
      <c r="AW765" s="6" t="s">
        <v>3304</v>
      </c>
      <c r="AX765" s="6" t="s">
        <v>3305</v>
      </c>
      <c r="AY765" s="6" t="s">
        <v>3306</v>
      </c>
      <c r="AZ765" s="6" t="s">
        <v>3306</v>
      </c>
      <c r="BA765" s="6" t="s">
        <v>3307</v>
      </c>
      <c r="BB765" s="6" t="s">
        <v>3308</v>
      </c>
      <c r="BC765" s="6" t="s">
        <v>3309</v>
      </c>
      <c r="BE765" s="15" t="s">
        <v>2145</v>
      </c>
      <c r="BF765" s="6" t="s">
        <v>3310</v>
      </c>
    </row>
    <row r="766" customFormat="false" ht="71" hidden="false" customHeight="false" outlineLevel="0" collapsed="false">
      <c r="A766" s="4" t="s">
        <v>63</v>
      </c>
      <c r="B766" s="5" t="s">
        <v>2129</v>
      </c>
      <c r="C766" s="5" t="s">
        <v>2130</v>
      </c>
      <c r="D766" s="5" t="s">
        <v>3311</v>
      </c>
      <c r="E766" s="5" t="s">
        <v>3312</v>
      </c>
      <c r="F766" s="5" t="s">
        <v>3313</v>
      </c>
      <c r="H766" s="6" t="s">
        <v>63</v>
      </c>
      <c r="I766" s="6" t="s">
        <v>62</v>
      </c>
      <c r="J766" s="6" t="s">
        <v>63</v>
      </c>
      <c r="K766" s="6" t="s">
        <v>63</v>
      </c>
      <c r="L766" s="6" t="s">
        <v>64</v>
      </c>
      <c r="M766" s="5" t="s">
        <v>3314</v>
      </c>
      <c r="N766" s="5" t="s">
        <v>3315</v>
      </c>
      <c r="O766" s="6" t="s">
        <v>2467</v>
      </c>
      <c r="Q766" s="6" t="s">
        <v>67</v>
      </c>
      <c r="R766" s="6" t="s">
        <v>802</v>
      </c>
      <c r="S766" s="5" t="s">
        <v>3316</v>
      </c>
      <c r="T766" s="6" t="s">
        <v>2137</v>
      </c>
      <c r="U766" s="7" t="n">
        <v>4</v>
      </c>
      <c r="V766" s="7" t="n">
        <v>4</v>
      </c>
      <c r="W766" s="8" t="s">
        <v>3302</v>
      </c>
      <c r="X766" s="8" t="s">
        <v>3302</v>
      </c>
      <c r="Y766" s="8" t="s">
        <v>2695</v>
      </c>
      <c r="Z766" s="8" t="s">
        <v>2695</v>
      </c>
      <c r="AA766" s="7" t="n">
        <v>369</v>
      </c>
      <c r="AB766" s="7" t="n">
        <v>274</v>
      </c>
      <c r="AC766" s="7" t="n">
        <v>283</v>
      </c>
      <c r="AD766" s="7" t="n">
        <v>3</v>
      </c>
      <c r="AE766" s="7" t="n">
        <v>3</v>
      </c>
      <c r="AF766" s="7" t="n">
        <v>16</v>
      </c>
      <c r="AG766" s="7" t="n">
        <v>16</v>
      </c>
      <c r="AH766" s="7" t="n">
        <v>4</v>
      </c>
      <c r="AI766" s="7" t="n">
        <v>4</v>
      </c>
      <c r="AJ766" s="7" t="n">
        <v>6</v>
      </c>
      <c r="AK766" s="7" t="n">
        <v>6</v>
      </c>
      <c r="AL766" s="7" t="n">
        <v>9</v>
      </c>
      <c r="AM766" s="7" t="n">
        <v>9</v>
      </c>
      <c r="AN766" s="7" t="n">
        <v>2</v>
      </c>
      <c r="AO766" s="7" t="n">
        <v>2</v>
      </c>
      <c r="AP766" s="7" t="n">
        <v>0</v>
      </c>
      <c r="AQ766" s="7" t="n">
        <v>0</v>
      </c>
      <c r="AR766" s="6" t="s">
        <v>63</v>
      </c>
      <c r="AS766" s="6" t="s">
        <v>57</v>
      </c>
      <c r="AT766" s="25" t="str">
        <f aca="false">HYPERLINK("http://catalog.hathitrust.org/Record/001390576","HathiTrust Record")</f>
        <v>HathiTrust Record</v>
      </c>
      <c r="AU766" s="25" t="str">
        <f aca="false">HYPERLINK("https://creighton-primo.hosted.exlibrisgroup.com/primo-explore/search?tab=default_tab&amp;search_scope=EVERYTHING&amp;vid=01CRU&amp;lang=en_US&amp;offset=0&amp;query=any,contains,991002402279702656","Catalog Record")</f>
        <v>Catalog Record</v>
      </c>
      <c r="AV766" s="25" t="str">
        <f aca="false">HYPERLINK("http://www.worldcat.org/oclc/337421","WorldCat Record")</f>
        <v>WorldCat Record</v>
      </c>
      <c r="AW766" s="6" t="s">
        <v>3317</v>
      </c>
      <c r="AX766" s="6" t="s">
        <v>3318</v>
      </c>
      <c r="AY766" s="6" t="s">
        <v>3319</v>
      </c>
      <c r="AZ766" s="6" t="s">
        <v>3319</v>
      </c>
      <c r="BA766" s="6" t="s">
        <v>3320</v>
      </c>
      <c r="BC766" s="6" t="s">
        <v>3321</v>
      </c>
      <c r="BE766" s="15" t="s">
        <v>2145</v>
      </c>
      <c r="BF766" s="6" t="s">
        <v>3322</v>
      </c>
    </row>
    <row r="767" customFormat="false" ht="94" hidden="false" customHeight="false" outlineLevel="0" collapsed="false">
      <c r="A767" s="4" t="s">
        <v>63</v>
      </c>
      <c r="B767" s="5" t="s">
        <v>2129</v>
      </c>
      <c r="C767" s="5" t="s">
        <v>2130</v>
      </c>
      <c r="D767" s="5" t="s">
        <v>3323</v>
      </c>
      <c r="E767" s="5" t="s">
        <v>3324</v>
      </c>
      <c r="F767" s="5" t="s">
        <v>3325</v>
      </c>
      <c r="H767" s="6" t="s">
        <v>63</v>
      </c>
      <c r="I767" s="6" t="s">
        <v>62</v>
      </c>
      <c r="J767" s="6" t="s">
        <v>63</v>
      </c>
      <c r="K767" s="6" t="s">
        <v>63</v>
      </c>
      <c r="L767" s="6" t="s">
        <v>64</v>
      </c>
      <c r="M767" s="5" t="s">
        <v>3326</v>
      </c>
      <c r="N767" s="5" t="s">
        <v>3327</v>
      </c>
      <c r="O767" s="6" t="s">
        <v>3328</v>
      </c>
      <c r="Q767" s="6" t="s">
        <v>67</v>
      </c>
      <c r="R767" s="6" t="s">
        <v>123</v>
      </c>
      <c r="T767" s="6" t="s">
        <v>2137</v>
      </c>
      <c r="U767" s="7" t="n">
        <v>4</v>
      </c>
      <c r="V767" s="7" t="n">
        <v>4</v>
      </c>
      <c r="W767" s="8" t="s">
        <v>3329</v>
      </c>
      <c r="X767" s="8" t="s">
        <v>3329</v>
      </c>
      <c r="Y767" s="8" t="s">
        <v>2695</v>
      </c>
      <c r="Z767" s="8" t="s">
        <v>2695</v>
      </c>
      <c r="AA767" s="7" t="n">
        <v>289</v>
      </c>
      <c r="AB767" s="7" t="n">
        <v>266</v>
      </c>
      <c r="AC767" s="7" t="n">
        <v>365</v>
      </c>
      <c r="AD767" s="7" t="n">
        <v>2</v>
      </c>
      <c r="AE767" s="7" t="n">
        <v>3</v>
      </c>
      <c r="AF767" s="7" t="n">
        <v>6</v>
      </c>
      <c r="AG767" s="7" t="n">
        <v>9</v>
      </c>
      <c r="AH767" s="7" t="n">
        <v>3</v>
      </c>
      <c r="AI767" s="7" t="n">
        <v>3</v>
      </c>
      <c r="AJ767" s="7" t="n">
        <v>3</v>
      </c>
      <c r="AK767" s="7" t="n">
        <v>3</v>
      </c>
      <c r="AL767" s="7" t="n">
        <v>2</v>
      </c>
      <c r="AM767" s="7" t="n">
        <v>4</v>
      </c>
      <c r="AN767" s="7" t="n">
        <v>0</v>
      </c>
      <c r="AO767" s="7" t="n">
        <v>1</v>
      </c>
      <c r="AP767" s="7" t="n">
        <v>0</v>
      </c>
      <c r="AQ767" s="7" t="n">
        <v>0</v>
      </c>
      <c r="AR767" s="6" t="s">
        <v>63</v>
      </c>
      <c r="AS767" s="6" t="s">
        <v>57</v>
      </c>
      <c r="AT767" s="25" t="str">
        <f aca="false">HYPERLINK("http://catalog.hathitrust.org/Record/001390580","HathiTrust Record")</f>
        <v>HathiTrust Record</v>
      </c>
      <c r="AU767" s="25" t="str">
        <f aca="false">HYPERLINK("https://creighton-primo.hosted.exlibrisgroup.com/primo-explore/search?tab=default_tab&amp;search_scope=EVERYTHING&amp;vid=01CRU&amp;lang=en_US&amp;offset=0&amp;query=any,contains,991003527299702656","Catalog Record")</f>
        <v>Catalog Record</v>
      </c>
      <c r="AV767" s="25" t="str">
        <f aca="false">HYPERLINK("http://www.worldcat.org/oclc/1091095","WorldCat Record")</f>
        <v>WorldCat Record</v>
      </c>
      <c r="AW767" s="6" t="s">
        <v>3330</v>
      </c>
      <c r="AX767" s="6" t="s">
        <v>3331</v>
      </c>
      <c r="AY767" s="6" t="s">
        <v>3332</v>
      </c>
      <c r="AZ767" s="6" t="s">
        <v>3332</v>
      </c>
      <c r="BA767" s="6" t="s">
        <v>3333</v>
      </c>
      <c r="BC767" s="6" t="s">
        <v>3334</v>
      </c>
      <c r="BE767" s="15" t="s">
        <v>2145</v>
      </c>
      <c r="BF767" s="6" t="s">
        <v>3335</v>
      </c>
    </row>
    <row r="768" customFormat="false" ht="128.5" hidden="false" customHeight="false" outlineLevel="0" collapsed="false">
      <c r="A768" s="4" t="s">
        <v>63</v>
      </c>
      <c r="B768" s="5" t="s">
        <v>2129</v>
      </c>
      <c r="C768" s="5" t="s">
        <v>2130</v>
      </c>
      <c r="D768" s="5" t="s">
        <v>3336</v>
      </c>
      <c r="E768" s="5" t="s">
        <v>3337</v>
      </c>
      <c r="F768" s="5" t="s">
        <v>3338</v>
      </c>
      <c r="H768" s="6" t="s">
        <v>63</v>
      </c>
      <c r="I768" s="6" t="s">
        <v>62</v>
      </c>
      <c r="J768" s="6" t="s">
        <v>63</v>
      </c>
      <c r="K768" s="6" t="s">
        <v>63</v>
      </c>
      <c r="L768" s="6" t="s">
        <v>64</v>
      </c>
      <c r="M768" s="5" t="s">
        <v>3339</v>
      </c>
      <c r="N768" s="5" t="s">
        <v>684</v>
      </c>
      <c r="O768" s="6" t="s">
        <v>3340</v>
      </c>
      <c r="Q768" s="6" t="s">
        <v>67</v>
      </c>
      <c r="R768" s="6" t="s">
        <v>68</v>
      </c>
      <c r="T768" s="6" t="s">
        <v>2137</v>
      </c>
      <c r="U768" s="7" t="n">
        <v>3</v>
      </c>
      <c r="V768" s="7" t="n">
        <v>3</v>
      </c>
      <c r="W768" s="8" t="s">
        <v>3341</v>
      </c>
      <c r="X768" s="8" t="s">
        <v>3341</v>
      </c>
      <c r="Y768" s="8" t="s">
        <v>2695</v>
      </c>
      <c r="Z768" s="8" t="s">
        <v>2695</v>
      </c>
      <c r="AA768" s="7" t="n">
        <v>496</v>
      </c>
      <c r="AB768" s="7" t="n">
        <v>438</v>
      </c>
      <c r="AC768" s="7" t="n">
        <v>526</v>
      </c>
      <c r="AD768" s="7" t="n">
        <v>1</v>
      </c>
      <c r="AE768" s="7" t="n">
        <v>1</v>
      </c>
      <c r="AF768" s="7" t="n">
        <v>22</v>
      </c>
      <c r="AG768" s="7" t="n">
        <v>24</v>
      </c>
      <c r="AH768" s="7" t="n">
        <v>8</v>
      </c>
      <c r="AI768" s="7" t="n">
        <v>9</v>
      </c>
      <c r="AJ768" s="7" t="n">
        <v>4</v>
      </c>
      <c r="AK768" s="7" t="n">
        <v>5</v>
      </c>
      <c r="AL768" s="7" t="n">
        <v>17</v>
      </c>
      <c r="AM768" s="7" t="n">
        <v>18</v>
      </c>
      <c r="AN768" s="7" t="n">
        <v>0</v>
      </c>
      <c r="AO768" s="7" t="n">
        <v>0</v>
      </c>
      <c r="AP768" s="7" t="n">
        <v>0</v>
      </c>
      <c r="AQ768" s="7" t="n">
        <v>0</v>
      </c>
      <c r="AR768" s="6" t="s">
        <v>63</v>
      </c>
      <c r="AS768" s="6" t="s">
        <v>63</v>
      </c>
      <c r="AU768" s="25" t="str">
        <f aca="false">HYPERLINK("https://creighton-primo.hosted.exlibrisgroup.com/primo-explore/search?tab=default_tab&amp;search_scope=EVERYTHING&amp;vid=01CRU&amp;lang=en_US&amp;offset=0&amp;query=any,contains,991004177679702656","Catalog Record")</f>
        <v>Catalog Record</v>
      </c>
      <c r="AV768" s="25" t="str">
        <f aca="false">HYPERLINK("http://www.worldcat.org/oclc/2597528","WorldCat Record")</f>
        <v>WorldCat Record</v>
      </c>
      <c r="AW768" s="6" t="s">
        <v>3342</v>
      </c>
      <c r="AX768" s="6" t="s">
        <v>3343</v>
      </c>
      <c r="AY768" s="6" t="s">
        <v>3344</v>
      </c>
      <c r="AZ768" s="6" t="s">
        <v>3344</v>
      </c>
      <c r="BA768" s="6" t="s">
        <v>3345</v>
      </c>
      <c r="BB768" s="6" t="s">
        <v>3346</v>
      </c>
      <c r="BC768" s="6" t="s">
        <v>3347</v>
      </c>
      <c r="BE768" s="15" t="s">
        <v>2145</v>
      </c>
      <c r="BF768" s="6" t="s">
        <v>3348</v>
      </c>
    </row>
    <row r="769" customFormat="false" ht="163" hidden="false" customHeight="false" outlineLevel="0" collapsed="false">
      <c r="A769" s="4" t="s">
        <v>63</v>
      </c>
      <c r="B769" s="5" t="s">
        <v>2129</v>
      </c>
      <c r="C769" s="5" t="s">
        <v>2130</v>
      </c>
      <c r="D769" s="5" t="s">
        <v>3349</v>
      </c>
      <c r="E769" s="5" t="s">
        <v>3350</v>
      </c>
      <c r="F769" s="5" t="s">
        <v>3351</v>
      </c>
      <c r="H769" s="6" t="s">
        <v>63</v>
      </c>
      <c r="I769" s="6" t="s">
        <v>62</v>
      </c>
      <c r="J769" s="6" t="s">
        <v>63</v>
      </c>
      <c r="K769" s="6" t="s">
        <v>63</v>
      </c>
      <c r="L769" s="6" t="s">
        <v>64</v>
      </c>
      <c r="M769" s="5" t="s">
        <v>3352</v>
      </c>
      <c r="N769" s="5" t="s">
        <v>3353</v>
      </c>
      <c r="O769" s="6" t="s">
        <v>108</v>
      </c>
      <c r="Q769" s="6" t="s">
        <v>67</v>
      </c>
      <c r="R769" s="6" t="s">
        <v>68</v>
      </c>
      <c r="T769" s="6" t="s">
        <v>2137</v>
      </c>
      <c r="U769" s="7" t="n">
        <v>5</v>
      </c>
      <c r="V769" s="7" t="n">
        <v>5</v>
      </c>
      <c r="W769" s="8" t="s">
        <v>3354</v>
      </c>
      <c r="X769" s="8" t="s">
        <v>3354</v>
      </c>
      <c r="Y769" s="8" t="s">
        <v>3355</v>
      </c>
      <c r="Z769" s="8" t="s">
        <v>3355</v>
      </c>
      <c r="AA769" s="7" t="n">
        <v>458</v>
      </c>
      <c r="AB769" s="7" t="n">
        <v>429</v>
      </c>
      <c r="AC769" s="7" t="n">
        <v>766</v>
      </c>
      <c r="AD769" s="7" t="n">
        <v>5</v>
      </c>
      <c r="AE769" s="7" t="n">
        <v>6</v>
      </c>
      <c r="AF769" s="7" t="n">
        <v>28</v>
      </c>
      <c r="AG769" s="7" t="n">
        <v>46</v>
      </c>
      <c r="AH769" s="7" t="n">
        <v>9</v>
      </c>
      <c r="AI769" s="7" t="n">
        <v>20</v>
      </c>
      <c r="AJ769" s="7" t="n">
        <v>6</v>
      </c>
      <c r="AK769" s="7" t="n">
        <v>11</v>
      </c>
      <c r="AL769" s="7" t="n">
        <v>16</v>
      </c>
      <c r="AM769" s="7" t="n">
        <v>23</v>
      </c>
      <c r="AN769" s="7" t="n">
        <v>3</v>
      </c>
      <c r="AO769" s="7" t="n">
        <v>4</v>
      </c>
      <c r="AP769" s="7" t="n">
        <v>0</v>
      </c>
      <c r="AQ769" s="7" t="n">
        <v>0</v>
      </c>
      <c r="AR769" s="6" t="s">
        <v>63</v>
      </c>
      <c r="AS769" s="6" t="s">
        <v>57</v>
      </c>
      <c r="AT769" s="25" t="str">
        <f aca="false">HYPERLINK("http://catalog.hathitrust.org/Record/102003764","HathiTrust Record")</f>
        <v>HathiTrust Record</v>
      </c>
      <c r="AU769" s="25" t="str">
        <f aca="false">HYPERLINK("https://creighton-primo.hosted.exlibrisgroup.com/primo-explore/search?tab=default_tab&amp;search_scope=EVERYTHING&amp;vid=01CRU&amp;lang=en_US&amp;offset=0&amp;query=any,contains,991004429889702656","Catalog Record")</f>
        <v>Catalog Record</v>
      </c>
      <c r="AV769" s="25" t="str">
        <f aca="false">HYPERLINK("http://www.worldcat.org/oclc/3415309","WorldCat Record")</f>
        <v>WorldCat Record</v>
      </c>
      <c r="AW769" s="6" t="s">
        <v>3356</v>
      </c>
      <c r="AX769" s="6" t="s">
        <v>3357</v>
      </c>
      <c r="AY769" s="6" t="s">
        <v>3358</v>
      </c>
      <c r="AZ769" s="6" t="s">
        <v>3358</v>
      </c>
      <c r="BA769" s="6" t="s">
        <v>3359</v>
      </c>
      <c r="BB769" s="6" t="s">
        <v>3360</v>
      </c>
      <c r="BC769" s="6" t="s">
        <v>3361</v>
      </c>
      <c r="BE769" s="15" t="s">
        <v>2145</v>
      </c>
      <c r="BF769" s="6" t="s">
        <v>3362</v>
      </c>
    </row>
    <row r="770" customFormat="false" ht="82.5" hidden="false" customHeight="false" outlineLevel="0" collapsed="false">
      <c r="A770" s="4" t="s">
        <v>63</v>
      </c>
      <c r="B770" s="5" t="s">
        <v>2129</v>
      </c>
      <c r="C770" s="5" t="s">
        <v>2130</v>
      </c>
      <c r="D770" s="5" t="s">
        <v>3363</v>
      </c>
      <c r="E770" s="5" t="s">
        <v>3364</v>
      </c>
      <c r="F770" s="5" t="s">
        <v>3365</v>
      </c>
      <c r="H770" s="6" t="s">
        <v>63</v>
      </c>
      <c r="I770" s="6" t="s">
        <v>62</v>
      </c>
      <c r="J770" s="6" t="s">
        <v>63</v>
      </c>
      <c r="K770" s="6" t="s">
        <v>63</v>
      </c>
      <c r="L770" s="6" t="s">
        <v>64</v>
      </c>
      <c r="M770" s="5" t="s">
        <v>3366</v>
      </c>
      <c r="N770" s="5" t="s">
        <v>3367</v>
      </c>
      <c r="O770" s="6" t="s">
        <v>2467</v>
      </c>
      <c r="Q770" s="6" t="s">
        <v>67</v>
      </c>
      <c r="R770" s="6" t="s">
        <v>68</v>
      </c>
      <c r="T770" s="6" t="s">
        <v>2137</v>
      </c>
      <c r="U770" s="7" t="n">
        <v>2</v>
      </c>
      <c r="V770" s="7" t="n">
        <v>2</v>
      </c>
      <c r="W770" s="8" t="s">
        <v>3368</v>
      </c>
      <c r="X770" s="8" t="s">
        <v>3368</v>
      </c>
      <c r="Y770" s="8" t="s">
        <v>2695</v>
      </c>
      <c r="Z770" s="8" t="s">
        <v>2695</v>
      </c>
      <c r="AA770" s="7" t="n">
        <v>111</v>
      </c>
      <c r="AB770" s="7" t="n">
        <v>98</v>
      </c>
      <c r="AC770" s="7" t="n">
        <v>123</v>
      </c>
      <c r="AD770" s="7" t="n">
        <v>2</v>
      </c>
      <c r="AE770" s="7" t="n">
        <v>3</v>
      </c>
      <c r="AF770" s="7" t="n">
        <v>13</v>
      </c>
      <c r="AG770" s="7" t="n">
        <v>16</v>
      </c>
      <c r="AH770" s="7" t="n">
        <v>2</v>
      </c>
      <c r="AI770" s="7" t="n">
        <v>3</v>
      </c>
      <c r="AJ770" s="7" t="n">
        <v>3</v>
      </c>
      <c r="AK770" s="7" t="n">
        <v>4</v>
      </c>
      <c r="AL770" s="7" t="n">
        <v>11</v>
      </c>
      <c r="AM770" s="7" t="n">
        <v>13</v>
      </c>
      <c r="AN770" s="7" t="n">
        <v>1</v>
      </c>
      <c r="AO770" s="7" t="n">
        <v>1</v>
      </c>
      <c r="AP770" s="7" t="n">
        <v>0</v>
      </c>
      <c r="AQ770" s="7" t="n">
        <v>0</v>
      </c>
      <c r="AR770" s="6" t="s">
        <v>63</v>
      </c>
      <c r="AS770" s="6" t="s">
        <v>57</v>
      </c>
      <c r="AT770" s="25" t="str">
        <f aca="false">HYPERLINK("http://catalog.hathitrust.org/Record/102373847","HathiTrust Record")</f>
        <v>HathiTrust Record</v>
      </c>
      <c r="AU770" s="25" t="str">
        <f aca="false">HYPERLINK("https://creighton-primo.hosted.exlibrisgroup.com/primo-explore/search?tab=default_tab&amp;search_scope=EVERYTHING&amp;vid=01CRU&amp;lang=en_US&amp;offset=0&amp;query=any,contains,991004355159702656","Catalog Record")</f>
        <v>Catalog Record</v>
      </c>
      <c r="AV770" s="25" t="str">
        <f aca="false">HYPERLINK("http://www.worldcat.org/oclc/3135438","WorldCat Record")</f>
        <v>WorldCat Record</v>
      </c>
      <c r="AW770" s="6" t="s">
        <v>3369</v>
      </c>
      <c r="AX770" s="6" t="s">
        <v>3370</v>
      </c>
      <c r="AY770" s="6" t="s">
        <v>3371</v>
      </c>
      <c r="AZ770" s="6" t="s">
        <v>3371</v>
      </c>
      <c r="BA770" s="6" t="s">
        <v>3372</v>
      </c>
      <c r="BC770" s="6" t="s">
        <v>3373</v>
      </c>
      <c r="BE770" s="15" t="s">
        <v>2145</v>
      </c>
      <c r="BF770" s="6" t="s">
        <v>3374</v>
      </c>
    </row>
    <row r="771" customFormat="false" ht="105.5" hidden="false" customHeight="false" outlineLevel="0" collapsed="false">
      <c r="A771" s="4" t="s">
        <v>63</v>
      </c>
      <c r="B771" s="5" t="s">
        <v>2129</v>
      </c>
      <c r="C771" s="5" t="s">
        <v>2130</v>
      </c>
      <c r="D771" s="5" t="s">
        <v>3375</v>
      </c>
      <c r="E771" s="5" t="s">
        <v>3376</v>
      </c>
      <c r="F771" s="5" t="s">
        <v>3377</v>
      </c>
      <c r="H771" s="6" t="s">
        <v>63</v>
      </c>
      <c r="I771" s="6" t="s">
        <v>62</v>
      </c>
      <c r="J771" s="6" t="s">
        <v>63</v>
      </c>
      <c r="K771" s="6" t="s">
        <v>63</v>
      </c>
      <c r="L771" s="6" t="s">
        <v>64</v>
      </c>
      <c r="M771" s="5" t="s">
        <v>3378</v>
      </c>
      <c r="N771" s="5" t="s">
        <v>3379</v>
      </c>
      <c r="O771" s="6" t="s">
        <v>108</v>
      </c>
      <c r="Q771" s="6" t="s">
        <v>67</v>
      </c>
      <c r="R771" s="6" t="s">
        <v>222</v>
      </c>
      <c r="T771" s="6" t="s">
        <v>2137</v>
      </c>
      <c r="U771" s="7" t="n">
        <v>1</v>
      </c>
      <c r="V771" s="7" t="n">
        <v>1</v>
      </c>
      <c r="W771" s="8" t="s">
        <v>3380</v>
      </c>
      <c r="X771" s="8" t="s">
        <v>3380</v>
      </c>
      <c r="Y771" s="8" t="s">
        <v>3303</v>
      </c>
      <c r="Z771" s="8" t="s">
        <v>3303</v>
      </c>
      <c r="AA771" s="7" t="n">
        <v>638</v>
      </c>
      <c r="AB771" s="7" t="n">
        <v>520</v>
      </c>
      <c r="AC771" s="7" t="n">
        <v>528</v>
      </c>
      <c r="AD771" s="7" t="n">
        <v>7</v>
      </c>
      <c r="AE771" s="7" t="n">
        <v>7</v>
      </c>
      <c r="AF771" s="7" t="n">
        <v>29</v>
      </c>
      <c r="AG771" s="7" t="n">
        <v>29</v>
      </c>
      <c r="AH771" s="7" t="n">
        <v>8</v>
      </c>
      <c r="AI771" s="7" t="n">
        <v>8</v>
      </c>
      <c r="AJ771" s="7" t="n">
        <v>6</v>
      </c>
      <c r="AK771" s="7" t="n">
        <v>6</v>
      </c>
      <c r="AL771" s="7" t="n">
        <v>13</v>
      </c>
      <c r="AM771" s="7" t="n">
        <v>13</v>
      </c>
      <c r="AN771" s="7" t="n">
        <v>6</v>
      </c>
      <c r="AO771" s="7" t="n">
        <v>6</v>
      </c>
      <c r="AP771" s="7" t="n">
        <v>0</v>
      </c>
      <c r="AQ771" s="7" t="n">
        <v>0</v>
      </c>
      <c r="AR771" s="6" t="s">
        <v>63</v>
      </c>
      <c r="AS771" s="6" t="s">
        <v>57</v>
      </c>
      <c r="AT771" s="25" t="str">
        <f aca="false">HYPERLINK("http://catalog.hathitrust.org/Record/000750844","HathiTrust Record")</f>
        <v>HathiTrust Record</v>
      </c>
      <c r="AU771" s="25" t="str">
        <f aca="false">HYPERLINK("https://creighton-primo.hosted.exlibrisgroup.com/primo-explore/search?tab=default_tab&amp;search_scope=EVERYTHING&amp;vid=01CRU&amp;lang=en_US&amp;offset=0&amp;query=any,contains,991004420469702656","Catalog Record")</f>
        <v>Catalog Record</v>
      </c>
      <c r="AV771" s="25" t="str">
        <f aca="false">HYPERLINK("http://www.worldcat.org/oclc/3380351","WorldCat Record")</f>
        <v>WorldCat Record</v>
      </c>
      <c r="AW771" s="6" t="s">
        <v>3381</v>
      </c>
      <c r="AX771" s="6" t="s">
        <v>3382</v>
      </c>
      <c r="AY771" s="6" t="s">
        <v>3383</v>
      </c>
      <c r="AZ771" s="6" t="s">
        <v>3383</v>
      </c>
      <c r="BA771" s="6" t="s">
        <v>3384</v>
      </c>
      <c r="BB771" s="6" t="s">
        <v>3385</v>
      </c>
      <c r="BC771" s="6" t="s">
        <v>3386</v>
      </c>
      <c r="BE771" s="15" t="s">
        <v>2145</v>
      </c>
      <c r="BF771" s="6" t="s">
        <v>3387</v>
      </c>
    </row>
    <row r="772" customFormat="false" ht="117" hidden="false" customHeight="false" outlineLevel="0" collapsed="false">
      <c r="A772" s="4" t="s">
        <v>63</v>
      </c>
      <c r="B772" s="5" t="s">
        <v>2129</v>
      </c>
      <c r="C772" s="5" t="s">
        <v>2130</v>
      </c>
      <c r="D772" s="5" t="s">
        <v>3388</v>
      </c>
      <c r="E772" s="5" t="s">
        <v>3389</v>
      </c>
      <c r="F772" s="5" t="s">
        <v>3390</v>
      </c>
      <c r="H772" s="6" t="s">
        <v>63</v>
      </c>
      <c r="I772" s="6" t="s">
        <v>62</v>
      </c>
      <c r="J772" s="6" t="s">
        <v>63</v>
      </c>
      <c r="K772" s="6" t="s">
        <v>63</v>
      </c>
      <c r="L772" s="6" t="s">
        <v>64</v>
      </c>
      <c r="M772" s="5" t="s">
        <v>3391</v>
      </c>
      <c r="N772" s="5" t="s">
        <v>3392</v>
      </c>
      <c r="O772" s="6" t="s">
        <v>195</v>
      </c>
      <c r="Q772" s="6" t="s">
        <v>67</v>
      </c>
      <c r="R772" s="6" t="s">
        <v>367</v>
      </c>
      <c r="T772" s="6" t="s">
        <v>2137</v>
      </c>
      <c r="U772" s="7" t="n">
        <v>8</v>
      </c>
      <c r="V772" s="7" t="n">
        <v>8</v>
      </c>
      <c r="W772" s="8" t="s">
        <v>3393</v>
      </c>
      <c r="X772" s="8" t="s">
        <v>3393</v>
      </c>
      <c r="Y772" s="8" t="s">
        <v>3303</v>
      </c>
      <c r="Z772" s="8" t="s">
        <v>3303</v>
      </c>
      <c r="AA772" s="7" t="n">
        <v>261</v>
      </c>
      <c r="AB772" s="7" t="n">
        <v>238</v>
      </c>
      <c r="AC772" s="7" t="n">
        <v>272</v>
      </c>
      <c r="AD772" s="7" t="n">
        <v>2</v>
      </c>
      <c r="AE772" s="7" t="n">
        <v>2</v>
      </c>
      <c r="AF772" s="7" t="n">
        <v>28</v>
      </c>
      <c r="AG772" s="7" t="n">
        <v>29</v>
      </c>
      <c r="AH772" s="7" t="n">
        <v>8</v>
      </c>
      <c r="AI772" s="7" t="n">
        <v>8</v>
      </c>
      <c r="AJ772" s="7" t="n">
        <v>8</v>
      </c>
      <c r="AK772" s="7" t="n">
        <v>9</v>
      </c>
      <c r="AL772" s="7" t="n">
        <v>22</v>
      </c>
      <c r="AM772" s="7" t="n">
        <v>23</v>
      </c>
      <c r="AN772" s="7" t="n">
        <v>0</v>
      </c>
      <c r="AO772" s="7" t="n">
        <v>0</v>
      </c>
      <c r="AP772" s="7" t="n">
        <v>0</v>
      </c>
      <c r="AQ772" s="7" t="n">
        <v>0</v>
      </c>
      <c r="AR772" s="6" t="s">
        <v>63</v>
      </c>
      <c r="AS772" s="6" t="s">
        <v>63</v>
      </c>
      <c r="AU772" s="25" t="str">
        <f aca="false">HYPERLINK("https://creighton-primo.hosted.exlibrisgroup.com/primo-explore/search?tab=default_tab&amp;search_scope=EVERYTHING&amp;vid=01CRU&amp;lang=en_US&amp;offset=0&amp;query=any,contains,991003763099702656","Catalog Record")</f>
        <v>Catalog Record</v>
      </c>
      <c r="AV772" s="25" t="str">
        <f aca="false">HYPERLINK("http://www.worldcat.org/oclc/1453355","WorldCat Record")</f>
        <v>WorldCat Record</v>
      </c>
      <c r="AW772" s="6" t="s">
        <v>3394</v>
      </c>
      <c r="AX772" s="6" t="s">
        <v>3395</v>
      </c>
      <c r="AY772" s="6" t="s">
        <v>3396</v>
      </c>
      <c r="AZ772" s="6" t="s">
        <v>3396</v>
      </c>
      <c r="BA772" s="6" t="s">
        <v>3397</v>
      </c>
      <c r="BC772" s="6" t="s">
        <v>3398</v>
      </c>
      <c r="BE772" s="15" t="s">
        <v>2145</v>
      </c>
      <c r="BF772" s="6" t="s">
        <v>3399</v>
      </c>
    </row>
    <row r="773" customFormat="false" ht="71" hidden="false" customHeight="false" outlineLevel="0" collapsed="false">
      <c r="A773" s="4" t="s">
        <v>63</v>
      </c>
      <c r="B773" s="5" t="s">
        <v>2129</v>
      </c>
      <c r="C773" s="5" t="s">
        <v>2130</v>
      </c>
      <c r="D773" s="5" t="s">
        <v>3400</v>
      </c>
      <c r="E773" s="5" t="s">
        <v>3401</v>
      </c>
      <c r="F773" s="5" t="s">
        <v>3402</v>
      </c>
      <c r="H773" s="6" t="s">
        <v>63</v>
      </c>
      <c r="I773" s="6" t="s">
        <v>62</v>
      </c>
      <c r="J773" s="6" t="s">
        <v>57</v>
      </c>
      <c r="K773" s="6" t="s">
        <v>57</v>
      </c>
      <c r="L773" s="6" t="s">
        <v>64</v>
      </c>
      <c r="M773" s="5" t="s">
        <v>3403</v>
      </c>
      <c r="N773" s="5" t="s">
        <v>3404</v>
      </c>
      <c r="O773" s="6" t="s">
        <v>3405</v>
      </c>
      <c r="Q773" s="6" t="s">
        <v>67</v>
      </c>
      <c r="R773" s="6" t="s">
        <v>181</v>
      </c>
      <c r="S773" s="5" t="s">
        <v>3170</v>
      </c>
      <c r="T773" s="6" t="s">
        <v>2137</v>
      </c>
      <c r="U773" s="7" t="n">
        <v>7</v>
      </c>
      <c r="V773" s="7" t="n">
        <v>7</v>
      </c>
      <c r="W773" s="8" t="s">
        <v>3406</v>
      </c>
      <c r="X773" s="8" t="s">
        <v>3406</v>
      </c>
      <c r="Y773" s="8" t="s">
        <v>2695</v>
      </c>
      <c r="Z773" s="8" t="s">
        <v>2695</v>
      </c>
      <c r="AA773" s="7" t="n">
        <v>1971</v>
      </c>
      <c r="AB773" s="7" t="n">
        <v>1816</v>
      </c>
      <c r="AC773" s="7" t="n">
        <v>3086</v>
      </c>
      <c r="AD773" s="7" t="n">
        <v>17</v>
      </c>
      <c r="AE773" s="7" t="n">
        <v>26</v>
      </c>
      <c r="AF773" s="7" t="n">
        <v>57</v>
      </c>
      <c r="AG773" s="7" t="n">
        <v>73</v>
      </c>
      <c r="AH773" s="7" t="n">
        <v>27</v>
      </c>
      <c r="AI773" s="7" t="n">
        <v>29</v>
      </c>
      <c r="AJ773" s="7" t="n">
        <v>10</v>
      </c>
      <c r="AK773" s="7" t="n">
        <v>11</v>
      </c>
      <c r="AL773" s="7" t="n">
        <v>24</v>
      </c>
      <c r="AM773" s="7" t="n">
        <v>28</v>
      </c>
      <c r="AN773" s="7" t="n">
        <v>9</v>
      </c>
      <c r="AO773" s="7" t="n">
        <v>17</v>
      </c>
      <c r="AP773" s="7" t="n">
        <v>0</v>
      </c>
      <c r="AQ773" s="7" t="n">
        <v>2</v>
      </c>
      <c r="AR773" s="6" t="s">
        <v>63</v>
      </c>
      <c r="AS773" s="6" t="s">
        <v>57</v>
      </c>
      <c r="AT773" s="25" t="str">
        <f aca="false">HYPERLINK("http://catalog.hathitrust.org/Record/001390659","HathiTrust Record")</f>
        <v>HathiTrust Record</v>
      </c>
      <c r="AU773" s="25" t="str">
        <f aca="false">HYPERLINK("https://creighton-primo.hosted.exlibrisgroup.com/primo-explore/search?tab=default_tab&amp;search_scope=EVERYTHING&amp;vid=01CRU&amp;lang=en_US&amp;offset=0&amp;query=any,contains,991002099099702656","Catalog Record")</f>
        <v>Catalog Record</v>
      </c>
      <c r="AV773" s="25" t="str">
        <f aca="false">HYPERLINK("http://www.worldcat.org/oclc/266130","WorldCat Record")</f>
        <v>WorldCat Record</v>
      </c>
      <c r="AW773" s="6" t="s">
        <v>3407</v>
      </c>
      <c r="AX773" s="6" t="s">
        <v>3408</v>
      </c>
      <c r="AY773" s="6" t="s">
        <v>3409</v>
      </c>
      <c r="AZ773" s="6" t="s">
        <v>3409</v>
      </c>
      <c r="BA773" s="6" t="s">
        <v>3410</v>
      </c>
      <c r="BC773" s="6" t="s">
        <v>3411</v>
      </c>
      <c r="BE773" s="15" t="s">
        <v>2145</v>
      </c>
      <c r="BF773" s="6" t="s">
        <v>3412</v>
      </c>
    </row>
    <row r="774" customFormat="false" ht="474" hidden="false" customHeight="false" outlineLevel="0" collapsed="false">
      <c r="A774" s="4" t="s">
        <v>63</v>
      </c>
      <c r="B774" s="5" t="s">
        <v>2129</v>
      </c>
      <c r="C774" s="5" t="s">
        <v>2130</v>
      </c>
      <c r="D774" s="5" t="s">
        <v>3413</v>
      </c>
      <c r="E774" s="5" t="s">
        <v>3414</v>
      </c>
      <c r="F774" s="5" t="s">
        <v>3415</v>
      </c>
      <c r="H774" s="6" t="s">
        <v>63</v>
      </c>
      <c r="I774" s="6" t="s">
        <v>62</v>
      </c>
      <c r="J774" s="6" t="s">
        <v>63</v>
      </c>
      <c r="K774" s="6" t="s">
        <v>63</v>
      </c>
      <c r="L774" s="6" t="s">
        <v>64</v>
      </c>
      <c r="M774" s="5" t="s">
        <v>3416</v>
      </c>
      <c r="N774" s="5" t="s">
        <v>3417</v>
      </c>
      <c r="O774" s="6" t="s">
        <v>3418</v>
      </c>
      <c r="Q774" s="6" t="s">
        <v>67</v>
      </c>
      <c r="R774" s="6" t="s">
        <v>2288</v>
      </c>
      <c r="S774" s="5" t="s">
        <v>3419</v>
      </c>
      <c r="T774" s="6" t="s">
        <v>2137</v>
      </c>
      <c r="U774" s="7" t="n">
        <v>7</v>
      </c>
      <c r="V774" s="7" t="n">
        <v>7</v>
      </c>
      <c r="W774" s="8" t="s">
        <v>3420</v>
      </c>
      <c r="X774" s="8" t="s">
        <v>3420</v>
      </c>
      <c r="Y774" s="8" t="s">
        <v>2653</v>
      </c>
      <c r="Z774" s="8" t="s">
        <v>2653</v>
      </c>
      <c r="AA774" s="7" t="n">
        <v>66</v>
      </c>
      <c r="AB774" s="7" t="n">
        <v>64</v>
      </c>
      <c r="AC774" s="7" t="n">
        <v>105</v>
      </c>
      <c r="AD774" s="7" t="n">
        <v>2</v>
      </c>
      <c r="AE774" s="7" t="n">
        <v>2</v>
      </c>
      <c r="AF774" s="7" t="n">
        <v>11</v>
      </c>
      <c r="AG774" s="7" t="n">
        <v>21</v>
      </c>
      <c r="AH774" s="7" t="n">
        <v>3</v>
      </c>
      <c r="AI774" s="7" t="n">
        <v>5</v>
      </c>
      <c r="AJ774" s="7" t="n">
        <v>4</v>
      </c>
      <c r="AK774" s="7" t="n">
        <v>5</v>
      </c>
      <c r="AL774" s="7" t="n">
        <v>8</v>
      </c>
      <c r="AM774" s="7" t="n">
        <v>17</v>
      </c>
      <c r="AN774" s="7" t="n">
        <v>1</v>
      </c>
      <c r="AO774" s="7" t="n">
        <v>1</v>
      </c>
      <c r="AP774" s="7" t="n">
        <v>0</v>
      </c>
      <c r="AQ774" s="7" t="n">
        <v>0</v>
      </c>
      <c r="AR774" s="6" t="s">
        <v>57</v>
      </c>
      <c r="AS774" s="6" t="s">
        <v>63</v>
      </c>
      <c r="AT774" s="25" t="str">
        <f aca="false">HYPERLINK("http://catalog.hathitrust.org/Record/001639920","HathiTrust Record")</f>
        <v>HathiTrust Record</v>
      </c>
      <c r="AU774" s="25" t="str">
        <f aca="false">HYPERLINK("https://creighton-primo.hosted.exlibrisgroup.com/primo-explore/search?tab=default_tab&amp;search_scope=EVERYTHING&amp;vid=01CRU&amp;lang=en_US&amp;offset=0&amp;query=any,contains,991004880319702656","Catalog Record")</f>
        <v>Catalog Record</v>
      </c>
      <c r="AV774" s="25" t="str">
        <f aca="false">HYPERLINK("http://www.worldcat.org/oclc/5813809","WorldCat Record")</f>
        <v>WorldCat Record</v>
      </c>
      <c r="AW774" s="6" t="s">
        <v>3421</v>
      </c>
      <c r="AX774" s="6" t="s">
        <v>3422</v>
      </c>
      <c r="AY774" s="6" t="s">
        <v>3423</v>
      </c>
      <c r="AZ774" s="6" t="s">
        <v>3423</v>
      </c>
      <c r="BA774" s="6" t="s">
        <v>3424</v>
      </c>
      <c r="BC774" s="6" t="s">
        <v>3425</v>
      </c>
      <c r="BE774" s="15" t="s">
        <v>2145</v>
      </c>
      <c r="BF774" s="6" t="s">
        <v>3426</v>
      </c>
    </row>
    <row r="775" customFormat="false" ht="94" hidden="false" customHeight="false" outlineLevel="0" collapsed="false">
      <c r="A775" s="4" t="s">
        <v>63</v>
      </c>
      <c r="B775" s="5" t="s">
        <v>2129</v>
      </c>
      <c r="C775" s="5" t="s">
        <v>2130</v>
      </c>
      <c r="D775" s="5" t="s">
        <v>3427</v>
      </c>
      <c r="E775" s="5" t="s">
        <v>3428</v>
      </c>
      <c r="F775" s="5" t="s">
        <v>3429</v>
      </c>
      <c r="H775" s="6" t="s">
        <v>63</v>
      </c>
      <c r="I775" s="6" t="s">
        <v>62</v>
      </c>
      <c r="J775" s="6" t="s">
        <v>63</v>
      </c>
      <c r="K775" s="6" t="s">
        <v>63</v>
      </c>
      <c r="L775" s="6" t="s">
        <v>64</v>
      </c>
      <c r="M775" s="5" t="s">
        <v>3430</v>
      </c>
      <c r="N775" s="5" t="s">
        <v>3431</v>
      </c>
      <c r="O775" s="6" t="s">
        <v>3029</v>
      </c>
      <c r="Q775" s="6" t="s">
        <v>67</v>
      </c>
      <c r="R775" s="6" t="s">
        <v>384</v>
      </c>
      <c r="S775" s="5" t="s">
        <v>3030</v>
      </c>
      <c r="T775" s="6" t="s">
        <v>2137</v>
      </c>
      <c r="U775" s="7" t="n">
        <v>3</v>
      </c>
      <c r="V775" s="7" t="n">
        <v>3</v>
      </c>
      <c r="W775" s="8" t="s">
        <v>3432</v>
      </c>
      <c r="X775" s="8" t="s">
        <v>3432</v>
      </c>
      <c r="Y775" s="8" t="s">
        <v>2695</v>
      </c>
      <c r="Z775" s="8" t="s">
        <v>2695</v>
      </c>
      <c r="AA775" s="7" t="n">
        <v>357</v>
      </c>
      <c r="AB775" s="7" t="n">
        <v>235</v>
      </c>
      <c r="AC775" s="7" t="n">
        <v>603</v>
      </c>
      <c r="AD775" s="7" t="n">
        <v>1</v>
      </c>
      <c r="AE775" s="7" t="n">
        <v>2</v>
      </c>
      <c r="AF775" s="7" t="n">
        <v>10</v>
      </c>
      <c r="AG775" s="7" t="n">
        <v>35</v>
      </c>
      <c r="AH775" s="7" t="n">
        <v>3</v>
      </c>
      <c r="AI775" s="7" t="n">
        <v>9</v>
      </c>
      <c r="AJ775" s="7" t="n">
        <v>2</v>
      </c>
      <c r="AK775" s="7" t="n">
        <v>7</v>
      </c>
      <c r="AL775" s="7" t="n">
        <v>2</v>
      </c>
      <c r="AM775" s="7" t="n">
        <v>15</v>
      </c>
      <c r="AN775" s="7" t="n">
        <v>0</v>
      </c>
      <c r="AO775" s="7" t="n">
        <v>1</v>
      </c>
      <c r="AP775" s="7" t="n">
        <v>4</v>
      </c>
      <c r="AQ775" s="7" t="n">
        <v>10</v>
      </c>
      <c r="AR775" s="6" t="s">
        <v>63</v>
      </c>
      <c r="AS775" s="6" t="s">
        <v>57</v>
      </c>
      <c r="AT775" s="25" t="str">
        <f aca="false">HYPERLINK("http://catalog.hathitrust.org/Record/102091131","HathiTrust Record")</f>
        <v>HathiTrust Record</v>
      </c>
      <c r="AU775" s="25" t="str">
        <f aca="false">HYPERLINK("https://creighton-primo.hosted.exlibrisgroup.com/primo-explore/search?tab=default_tab&amp;search_scope=EVERYTHING&amp;vid=01CRU&amp;lang=en_US&amp;offset=0&amp;query=any,contains,991002565349702656","Catalog Record")</f>
        <v>Catalog Record</v>
      </c>
      <c r="AV775" s="25" t="str">
        <f aca="false">HYPERLINK("http://www.worldcat.org/oclc/372492","WorldCat Record")</f>
        <v>WorldCat Record</v>
      </c>
      <c r="AW775" s="6" t="s">
        <v>3433</v>
      </c>
      <c r="AX775" s="6" t="s">
        <v>3434</v>
      </c>
      <c r="AY775" s="6" t="s">
        <v>3435</v>
      </c>
      <c r="AZ775" s="6" t="s">
        <v>3435</v>
      </c>
      <c r="BA775" s="6" t="s">
        <v>3436</v>
      </c>
      <c r="BC775" s="6" t="s">
        <v>3437</v>
      </c>
      <c r="BE775" s="15" t="s">
        <v>2145</v>
      </c>
      <c r="BF775" s="6" t="s">
        <v>3438</v>
      </c>
    </row>
    <row r="776" customFormat="false" ht="71" hidden="false" customHeight="false" outlineLevel="0" collapsed="false">
      <c r="A776" s="4" t="s">
        <v>63</v>
      </c>
      <c r="B776" s="5" t="s">
        <v>2129</v>
      </c>
      <c r="C776" s="5" t="s">
        <v>2130</v>
      </c>
      <c r="D776" s="5" t="s">
        <v>3439</v>
      </c>
      <c r="E776" s="5" t="s">
        <v>3440</v>
      </c>
      <c r="F776" s="5" t="s">
        <v>3441</v>
      </c>
      <c r="H776" s="6" t="s">
        <v>63</v>
      </c>
      <c r="I776" s="6" t="s">
        <v>62</v>
      </c>
      <c r="J776" s="6" t="s">
        <v>63</v>
      </c>
      <c r="K776" s="6" t="s">
        <v>63</v>
      </c>
      <c r="L776" s="6" t="s">
        <v>64</v>
      </c>
      <c r="M776" s="5" t="s">
        <v>3442</v>
      </c>
      <c r="N776" s="5" t="s">
        <v>3443</v>
      </c>
      <c r="O776" s="6" t="s">
        <v>2411</v>
      </c>
      <c r="Q776" s="6" t="s">
        <v>67</v>
      </c>
      <c r="R776" s="6" t="s">
        <v>409</v>
      </c>
      <c r="T776" s="6" t="s">
        <v>2137</v>
      </c>
      <c r="U776" s="7" t="n">
        <v>1</v>
      </c>
      <c r="V776" s="7" t="n">
        <v>1</v>
      </c>
      <c r="W776" s="8" t="s">
        <v>3444</v>
      </c>
      <c r="X776" s="8" t="s">
        <v>3444</v>
      </c>
      <c r="Y776" s="8" t="s">
        <v>3444</v>
      </c>
      <c r="Z776" s="8" t="s">
        <v>3444</v>
      </c>
      <c r="AA776" s="7" t="n">
        <v>128</v>
      </c>
      <c r="AB776" s="7" t="n">
        <v>118</v>
      </c>
      <c r="AC776" s="7" t="n">
        <v>118</v>
      </c>
      <c r="AD776" s="7" t="n">
        <v>1</v>
      </c>
      <c r="AE776" s="7" t="n">
        <v>1</v>
      </c>
      <c r="AF776" s="7" t="n">
        <v>12</v>
      </c>
      <c r="AG776" s="7" t="n">
        <v>12</v>
      </c>
      <c r="AH776" s="7" t="n">
        <v>4</v>
      </c>
      <c r="AI776" s="7" t="n">
        <v>4</v>
      </c>
      <c r="AJ776" s="7" t="n">
        <v>4</v>
      </c>
      <c r="AK776" s="7" t="n">
        <v>4</v>
      </c>
      <c r="AL776" s="7" t="n">
        <v>10</v>
      </c>
      <c r="AM776" s="7" t="n">
        <v>10</v>
      </c>
      <c r="AN776" s="7" t="n">
        <v>0</v>
      </c>
      <c r="AO776" s="7" t="n">
        <v>0</v>
      </c>
      <c r="AP776" s="7" t="n">
        <v>0</v>
      </c>
      <c r="AQ776" s="7" t="n">
        <v>0</v>
      </c>
      <c r="AR776" s="6" t="s">
        <v>63</v>
      </c>
      <c r="AS776" s="6" t="s">
        <v>63</v>
      </c>
      <c r="AU776" s="25" t="str">
        <f aca="false">HYPERLINK("https://creighton-primo.hosted.exlibrisgroup.com/primo-explore/search?tab=default_tab&amp;search_scope=EVERYTHING&amp;vid=01CRU&amp;lang=en_US&amp;offset=0&amp;query=any,contains,991003856419702656","Catalog Record")</f>
        <v>Catalog Record</v>
      </c>
      <c r="AV776" s="25" t="str">
        <f aca="false">HYPERLINK("http://www.worldcat.org/oclc/20927958","WorldCat Record")</f>
        <v>WorldCat Record</v>
      </c>
      <c r="AW776" s="6" t="s">
        <v>3445</v>
      </c>
      <c r="AX776" s="6" t="s">
        <v>3446</v>
      </c>
      <c r="AY776" s="6" t="s">
        <v>3447</v>
      </c>
      <c r="AZ776" s="6" t="s">
        <v>3447</v>
      </c>
      <c r="BA776" s="6" t="s">
        <v>3448</v>
      </c>
      <c r="BB776" s="6" t="s">
        <v>3449</v>
      </c>
      <c r="BC776" s="6" t="s">
        <v>3450</v>
      </c>
      <c r="BE776" s="15" t="s">
        <v>2145</v>
      </c>
      <c r="BF776" s="6" t="s">
        <v>3451</v>
      </c>
    </row>
    <row r="777" customFormat="false" ht="94" hidden="false" customHeight="false" outlineLevel="0" collapsed="false">
      <c r="A777" s="4" t="s">
        <v>63</v>
      </c>
      <c r="B777" s="5" t="s">
        <v>2129</v>
      </c>
      <c r="C777" s="5" t="s">
        <v>2130</v>
      </c>
      <c r="D777" s="5" t="s">
        <v>3452</v>
      </c>
      <c r="E777" s="5" t="s">
        <v>3453</v>
      </c>
      <c r="F777" s="5" t="s">
        <v>3454</v>
      </c>
      <c r="H777" s="6" t="s">
        <v>63</v>
      </c>
      <c r="I777" s="6" t="s">
        <v>62</v>
      </c>
      <c r="J777" s="6" t="s">
        <v>63</v>
      </c>
      <c r="K777" s="6" t="s">
        <v>63</v>
      </c>
      <c r="L777" s="6" t="s">
        <v>64</v>
      </c>
      <c r="M777" s="5" t="s">
        <v>3455</v>
      </c>
      <c r="N777" s="5" t="s">
        <v>3456</v>
      </c>
      <c r="O777" s="6" t="s">
        <v>3301</v>
      </c>
      <c r="Q777" s="6" t="s">
        <v>67</v>
      </c>
      <c r="R777" s="6" t="s">
        <v>2288</v>
      </c>
      <c r="T777" s="6" t="s">
        <v>2137</v>
      </c>
      <c r="U777" s="7" t="n">
        <v>1</v>
      </c>
      <c r="V777" s="7" t="n">
        <v>1</v>
      </c>
      <c r="W777" s="8" t="s">
        <v>3457</v>
      </c>
      <c r="X777" s="8" t="s">
        <v>3457</v>
      </c>
      <c r="Y777" s="8" t="s">
        <v>3303</v>
      </c>
      <c r="Z777" s="8" t="s">
        <v>3303</v>
      </c>
      <c r="AA777" s="7" t="n">
        <v>680</v>
      </c>
      <c r="AB777" s="7" t="n">
        <v>680</v>
      </c>
      <c r="AC777" s="7" t="n">
        <v>764</v>
      </c>
      <c r="AD777" s="7" t="n">
        <v>5</v>
      </c>
      <c r="AE777" s="7" t="n">
        <v>5</v>
      </c>
      <c r="AF777" s="7" t="n">
        <v>15</v>
      </c>
      <c r="AG777" s="7" t="n">
        <v>18</v>
      </c>
      <c r="AH777" s="7" t="n">
        <v>6</v>
      </c>
      <c r="AI777" s="7" t="n">
        <v>6</v>
      </c>
      <c r="AJ777" s="7" t="n">
        <v>2</v>
      </c>
      <c r="AK777" s="7" t="n">
        <v>3</v>
      </c>
      <c r="AL777" s="7" t="n">
        <v>6</v>
      </c>
      <c r="AM777" s="7" t="n">
        <v>8</v>
      </c>
      <c r="AN777" s="7" t="n">
        <v>4</v>
      </c>
      <c r="AO777" s="7" t="n">
        <v>4</v>
      </c>
      <c r="AP777" s="7" t="n">
        <v>0</v>
      </c>
      <c r="AQ777" s="7" t="n">
        <v>0</v>
      </c>
      <c r="AR777" s="6" t="s">
        <v>63</v>
      </c>
      <c r="AS777" s="6" t="s">
        <v>63</v>
      </c>
      <c r="AU777" s="25" t="str">
        <f aca="false">HYPERLINK("https://creighton-primo.hosted.exlibrisgroup.com/primo-explore/search?tab=default_tab&amp;search_scope=EVERYTHING&amp;vid=01CRU&amp;lang=en_US&amp;offset=0&amp;query=any,contains,991000111789702656","Catalog Record")</f>
        <v>Catalog Record</v>
      </c>
      <c r="AV777" s="25" t="str">
        <f aca="false">HYPERLINK("http://www.worldcat.org/oclc/9144112","WorldCat Record")</f>
        <v>WorldCat Record</v>
      </c>
      <c r="AW777" s="6" t="s">
        <v>3458</v>
      </c>
      <c r="AX777" s="6" t="s">
        <v>3459</v>
      </c>
      <c r="AY777" s="6" t="s">
        <v>3460</v>
      </c>
      <c r="AZ777" s="6" t="s">
        <v>3460</v>
      </c>
      <c r="BA777" s="6" t="s">
        <v>3461</v>
      </c>
      <c r="BC777" s="6" t="s">
        <v>3462</v>
      </c>
      <c r="BE777" s="15" t="s">
        <v>2145</v>
      </c>
      <c r="BF777" s="6" t="s">
        <v>3463</v>
      </c>
    </row>
    <row r="778" customFormat="false" ht="128.5" hidden="false" customHeight="false" outlineLevel="0" collapsed="false">
      <c r="A778" s="4" t="s">
        <v>63</v>
      </c>
      <c r="B778" s="5" t="s">
        <v>2129</v>
      </c>
      <c r="C778" s="5" t="s">
        <v>2130</v>
      </c>
      <c r="D778" s="5" t="s">
        <v>3464</v>
      </c>
      <c r="E778" s="5" t="s">
        <v>3465</v>
      </c>
      <c r="F778" s="5" t="s">
        <v>3466</v>
      </c>
      <c r="H778" s="6" t="s">
        <v>63</v>
      </c>
      <c r="I778" s="6" t="s">
        <v>62</v>
      </c>
      <c r="J778" s="6" t="s">
        <v>63</v>
      </c>
      <c r="K778" s="6" t="s">
        <v>63</v>
      </c>
      <c r="L778" s="6" t="s">
        <v>64</v>
      </c>
      <c r="M778" s="5" t="s">
        <v>3467</v>
      </c>
      <c r="N778" s="5" t="s">
        <v>3468</v>
      </c>
      <c r="O778" s="6" t="s">
        <v>2665</v>
      </c>
      <c r="Q778" s="6" t="s">
        <v>67</v>
      </c>
      <c r="R778" s="6" t="s">
        <v>68</v>
      </c>
      <c r="T778" s="6" t="s">
        <v>2137</v>
      </c>
      <c r="U778" s="7" t="n">
        <v>2</v>
      </c>
      <c r="V778" s="7" t="n">
        <v>2</v>
      </c>
      <c r="W778" s="8" t="s">
        <v>3469</v>
      </c>
      <c r="X778" s="8" t="s">
        <v>3469</v>
      </c>
      <c r="Y778" s="8" t="s">
        <v>3303</v>
      </c>
      <c r="Z778" s="8" t="s">
        <v>3303</v>
      </c>
      <c r="AA778" s="7" t="n">
        <v>1648</v>
      </c>
      <c r="AB778" s="7" t="n">
        <v>1541</v>
      </c>
      <c r="AC778" s="7" t="n">
        <v>1684</v>
      </c>
      <c r="AD778" s="7" t="n">
        <v>16</v>
      </c>
      <c r="AE778" s="7" t="n">
        <v>17</v>
      </c>
      <c r="AF778" s="7" t="n">
        <v>28</v>
      </c>
      <c r="AG778" s="7" t="n">
        <v>33</v>
      </c>
      <c r="AH778" s="7" t="n">
        <v>12</v>
      </c>
      <c r="AI778" s="7" t="n">
        <v>13</v>
      </c>
      <c r="AJ778" s="7" t="n">
        <v>4</v>
      </c>
      <c r="AK778" s="7" t="n">
        <v>5</v>
      </c>
      <c r="AL778" s="7" t="n">
        <v>14</v>
      </c>
      <c r="AM778" s="7" t="n">
        <v>16</v>
      </c>
      <c r="AN778" s="7" t="n">
        <v>6</v>
      </c>
      <c r="AO778" s="7" t="n">
        <v>7</v>
      </c>
      <c r="AP778" s="7" t="n">
        <v>0</v>
      </c>
      <c r="AQ778" s="7" t="n">
        <v>1</v>
      </c>
      <c r="AR778" s="6" t="s">
        <v>63</v>
      </c>
      <c r="AS778" s="6" t="s">
        <v>63</v>
      </c>
      <c r="AU778" s="25" t="str">
        <f aca="false">HYPERLINK("https://creighton-primo.hosted.exlibrisgroup.com/primo-explore/search?tab=default_tab&amp;search_scope=EVERYTHING&amp;vid=01CRU&amp;lang=en_US&amp;offset=0&amp;query=any,contains,991002494829702656","Catalog Record")</f>
        <v>Catalog Record</v>
      </c>
      <c r="AV778" s="25" t="str">
        <f aca="false">HYPERLINK("http://www.worldcat.org/oclc/363482","WorldCat Record")</f>
        <v>WorldCat Record</v>
      </c>
      <c r="AW778" s="6" t="s">
        <v>3470</v>
      </c>
      <c r="AX778" s="6" t="s">
        <v>3471</v>
      </c>
      <c r="AY778" s="6" t="s">
        <v>3472</v>
      </c>
      <c r="AZ778" s="6" t="s">
        <v>3472</v>
      </c>
      <c r="BA778" s="6" t="s">
        <v>3473</v>
      </c>
      <c r="BC778" s="6" t="s">
        <v>3474</v>
      </c>
      <c r="BE778" s="15" t="s">
        <v>2145</v>
      </c>
      <c r="BF778" s="6" t="s">
        <v>3475</v>
      </c>
    </row>
    <row r="779" customFormat="false" ht="81.55" hidden="false" customHeight="false" outlineLevel="0" collapsed="false">
      <c r="A779" s="4" t="s">
        <v>63</v>
      </c>
      <c r="B779" s="5" t="s">
        <v>2129</v>
      </c>
      <c r="C779" s="5" t="s">
        <v>2130</v>
      </c>
      <c r="D779" s="5" t="s">
        <v>3476</v>
      </c>
      <c r="E779" s="5" t="s">
        <v>3477</v>
      </c>
      <c r="F779" s="5" t="s">
        <v>3478</v>
      </c>
      <c r="H779" s="6" t="s">
        <v>63</v>
      </c>
      <c r="I779" s="6" t="s">
        <v>62</v>
      </c>
      <c r="J779" s="6" t="s">
        <v>63</v>
      </c>
      <c r="K779" s="6" t="s">
        <v>63</v>
      </c>
      <c r="L779" s="6" t="s">
        <v>64</v>
      </c>
      <c r="M779" s="5" t="s">
        <v>3479</v>
      </c>
      <c r="N779" s="5" t="s">
        <v>3480</v>
      </c>
      <c r="O779" s="6" t="s">
        <v>2343</v>
      </c>
      <c r="Q779" s="6" t="s">
        <v>67</v>
      </c>
      <c r="R779" s="6" t="s">
        <v>300</v>
      </c>
      <c r="T779" s="6" t="s">
        <v>2137</v>
      </c>
      <c r="U779" s="7" t="n">
        <v>1</v>
      </c>
      <c r="V779" s="7" t="n">
        <v>1</v>
      </c>
      <c r="W779" s="8" t="s">
        <v>3481</v>
      </c>
      <c r="X779" s="8" t="s">
        <v>3481</v>
      </c>
      <c r="Y779" s="8" t="s">
        <v>3481</v>
      </c>
      <c r="Z779" s="8" t="s">
        <v>3481</v>
      </c>
      <c r="AA779" s="7" t="n">
        <v>106</v>
      </c>
      <c r="AB779" s="7" t="n">
        <v>98</v>
      </c>
      <c r="AC779" s="7" t="n">
        <v>103</v>
      </c>
      <c r="AD779" s="7" t="n">
        <v>4</v>
      </c>
      <c r="AE779" s="7" t="n">
        <v>4</v>
      </c>
      <c r="AF779" s="7" t="n">
        <v>9</v>
      </c>
      <c r="AG779" s="7" t="n">
        <v>9</v>
      </c>
      <c r="AH779" s="7" t="n">
        <v>1</v>
      </c>
      <c r="AI779" s="7" t="n">
        <v>1</v>
      </c>
      <c r="AJ779" s="7" t="n">
        <v>3</v>
      </c>
      <c r="AK779" s="7" t="n">
        <v>3</v>
      </c>
      <c r="AL779" s="7" t="n">
        <v>5</v>
      </c>
      <c r="AM779" s="7" t="n">
        <v>5</v>
      </c>
      <c r="AN779" s="7" t="n">
        <v>2</v>
      </c>
      <c r="AO779" s="7" t="n">
        <v>2</v>
      </c>
      <c r="AP779" s="7" t="n">
        <v>0</v>
      </c>
      <c r="AQ779" s="7" t="n">
        <v>0</v>
      </c>
      <c r="AR779" s="6" t="s">
        <v>63</v>
      </c>
      <c r="AS779" s="6" t="s">
        <v>63</v>
      </c>
      <c r="AU779" s="25" t="str">
        <f aca="false">HYPERLINK("https://creighton-primo.hosted.exlibrisgroup.com/primo-explore/search?tab=default_tab&amp;search_scope=EVERYTHING&amp;vid=01CRU&amp;lang=en_US&amp;offset=0&amp;query=any,contains,991005328509702656","Catalog Record")</f>
        <v>Catalog Record</v>
      </c>
      <c r="AV779" s="25" t="str">
        <f aca="false">HYPERLINK("http://www.worldcat.org/oclc/7734797","WorldCat Record")</f>
        <v>WorldCat Record</v>
      </c>
      <c r="AW779" s="6" t="s">
        <v>3482</v>
      </c>
      <c r="AX779" s="6" t="s">
        <v>3483</v>
      </c>
      <c r="AY779" s="6" t="s">
        <v>3484</v>
      </c>
      <c r="AZ779" s="6" t="s">
        <v>3484</v>
      </c>
      <c r="BA779" s="6" t="s">
        <v>3485</v>
      </c>
      <c r="BB779" s="6" t="s">
        <v>3486</v>
      </c>
      <c r="BC779" s="6" t="s">
        <v>3487</v>
      </c>
      <c r="BE779" s="15" t="s">
        <v>2145</v>
      </c>
      <c r="BF779" s="6" t="s">
        <v>3488</v>
      </c>
    </row>
    <row r="780" customFormat="false" ht="151.5" hidden="false" customHeight="false" outlineLevel="0" collapsed="false">
      <c r="A780" s="4" t="s">
        <v>63</v>
      </c>
      <c r="B780" s="5" t="s">
        <v>2129</v>
      </c>
      <c r="C780" s="5" t="s">
        <v>2130</v>
      </c>
      <c r="D780" s="5" t="s">
        <v>3489</v>
      </c>
      <c r="E780" s="5" t="s">
        <v>3490</v>
      </c>
      <c r="F780" s="5" t="s">
        <v>3491</v>
      </c>
      <c r="H780" s="6" t="s">
        <v>57</v>
      </c>
      <c r="I780" s="6" t="s">
        <v>62</v>
      </c>
      <c r="J780" s="6" t="s">
        <v>57</v>
      </c>
      <c r="K780" s="6" t="s">
        <v>63</v>
      </c>
      <c r="L780" s="6" t="s">
        <v>64</v>
      </c>
      <c r="M780" s="5" t="s">
        <v>3492</v>
      </c>
      <c r="N780" s="5" t="s">
        <v>3493</v>
      </c>
      <c r="O780" s="6" t="s">
        <v>2975</v>
      </c>
      <c r="P780" s="5" t="s">
        <v>3494</v>
      </c>
      <c r="Q780" s="6" t="s">
        <v>67</v>
      </c>
      <c r="R780" s="6" t="s">
        <v>1108</v>
      </c>
      <c r="T780" s="6" t="s">
        <v>2137</v>
      </c>
      <c r="U780" s="7" t="n">
        <v>1</v>
      </c>
      <c r="V780" s="7" t="n">
        <v>2</v>
      </c>
      <c r="W780" s="8" t="s">
        <v>3495</v>
      </c>
      <c r="X780" s="8" t="s">
        <v>3495</v>
      </c>
      <c r="Y780" s="8" t="s">
        <v>2695</v>
      </c>
      <c r="Z780" s="8" t="s">
        <v>2695</v>
      </c>
      <c r="AA780" s="7" t="n">
        <v>144</v>
      </c>
      <c r="AB780" s="7" t="n">
        <v>129</v>
      </c>
      <c r="AC780" s="7" t="n">
        <v>139</v>
      </c>
      <c r="AD780" s="7" t="n">
        <v>3</v>
      </c>
      <c r="AE780" s="7" t="n">
        <v>3</v>
      </c>
      <c r="AF780" s="7" t="n">
        <v>14</v>
      </c>
      <c r="AG780" s="7" t="n">
        <v>14</v>
      </c>
      <c r="AH780" s="7" t="n">
        <v>2</v>
      </c>
      <c r="AI780" s="7" t="n">
        <v>2</v>
      </c>
      <c r="AJ780" s="7" t="n">
        <v>2</v>
      </c>
      <c r="AK780" s="7" t="n">
        <v>2</v>
      </c>
      <c r="AL780" s="7" t="n">
        <v>11</v>
      </c>
      <c r="AM780" s="7" t="n">
        <v>11</v>
      </c>
      <c r="AN780" s="7" t="n">
        <v>1</v>
      </c>
      <c r="AO780" s="7" t="n">
        <v>1</v>
      </c>
      <c r="AP780" s="7" t="n">
        <v>0</v>
      </c>
      <c r="AQ780" s="7" t="n">
        <v>0</v>
      </c>
      <c r="AR780" s="6" t="s">
        <v>63</v>
      </c>
      <c r="AS780" s="6" t="s">
        <v>57</v>
      </c>
      <c r="AT780" s="25" t="str">
        <f aca="false">HYPERLINK("http://catalog.hathitrust.org/Record/007042131","HathiTrust Record")</f>
        <v>HathiTrust Record</v>
      </c>
      <c r="AU780" s="25" t="str">
        <f aca="false">HYPERLINK("https://creighton-primo.hosted.exlibrisgroup.com/primo-explore/search?tab=default_tab&amp;search_scope=EVERYTHING&amp;vid=01CRU&amp;lang=en_US&amp;offset=0&amp;query=any,contains,991000925269702656","Catalog Record")</f>
        <v>Catalog Record</v>
      </c>
      <c r="AV780" s="25" t="str">
        <f aca="false">HYPERLINK("http://www.worldcat.org/oclc/163134","WorldCat Record")</f>
        <v>WorldCat Record</v>
      </c>
      <c r="AW780" s="6" t="s">
        <v>3496</v>
      </c>
      <c r="AX780" s="6" t="s">
        <v>3497</v>
      </c>
      <c r="AY780" s="6" t="s">
        <v>3498</v>
      </c>
      <c r="AZ780" s="6" t="s">
        <v>3498</v>
      </c>
      <c r="BA780" s="6" t="s">
        <v>3499</v>
      </c>
      <c r="BC780" s="6" t="s">
        <v>3500</v>
      </c>
      <c r="BE780" s="15" t="s">
        <v>2145</v>
      </c>
      <c r="BF780" s="6" t="s">
        <v>3501</v>
      </c>
    </row>
    <row r="781" customFormat="false" ht="151.5" hidden="false" customHeight="false" outlineLevel="0" collapsed="false">
      <c r="A781" s="4" t="s">
        <v>63</v>
      </c>
      <c r="B781" s="5" t="s">
        <v>2129</v>
      </c>
      <c r="C781" s="5" t="s">
        <v>2130</v>
      </c>
      <c r="D781" s="5" t="s">
        <v>3502</v>
      </c>
      <c r="E781" s="5" t="s">
        <v>3503</v>
      </c>
      <c r="F781" s="5" t="s">
        <v>3491</v>
      </c>
      <c r="G781" s="6" t="s">
        <v>3504</v>
      </c>
      <c r="H781" s="6" t="s">
        <v>57</v>
      </c>
      <c r="I781" s="6" t="s">
        <v>62</v>
      </c>
      <c r="J781" s="6" t="s">
        <v>63</v>
      </c>
      <c r="K781" s="6" t="s">
        <v>63</v>
      </c>
      <c r="L781" s="6" t="s">
        <v>64</v>
      </c>
      <c r="M781" s="5" t="s">
        <v>3492</v>
      </c>
      <c r="N781" s="5" t="s">
        <v>3493</v>
      </c>
      <c r="O781" s="6" t="s">
        <v>2975</v>
      </c>
      <c r="P781" s="5" t="s">
        <v>3494</v>
      </c>
      <c r="Q781" s="6" t="s">
        <v>67</v>
      </c>
      <c r="R781" s="6" t="s">
        <v>1108</v>
      </c>
      <c r="T781" s="6" t="s">
        <v>2137</v>
      </c>
      <c r="U781" s="7" t="n">
        <v>1</v>
      </c>
      <c r="V781" s="7" t="n">
        <v>2</v>
      </c>
      <c r="W781" s="8" t="s">
        <v>3505</v>
      </c>
      <c r="X781" s="8" t="s">
        <v>3495</v>
      </c>
      <c r="Y781" s="8" t="s">
        <v>2695</v>
      </c>
      <c r="Z781" s="8" t="s">
        <v>2695</v>
      </c>
      <c r="AA781" s="7" t="n">
        <v>144</v>
      </c>
      <c r="AB781" s="7" t="n">
        <v>129</v>
      </c>
      <c r="AC781" s="7" t="n">
        <v>139</v>
      </c>
      <c r="AD781" s="7" t="n">
        <v>3</v>
      </c>
      <c r="AE781" s="7" t="n">
        <v>3</v>
      </c>
      <c r="AF781" s="7" t="n">
        <v>14</v>
      </c>
      <c r="AG781" s="7" t="n">
        <v>14</v>
      </c>
      <c r="AH781" s="7" t="n">
        <v>2</v>
      </c>
      <c r="AI781" s="7" t="n">
        <v>2</v>
      </c>
      <c r="AJ781" s="7" t="n">
        <v>2</v>
      </c>
      <c r="AK781" s="7" t="n">
        <v>2</v>
      </c>
      <c r="AL781" s="7" t="n">
        <v>11</v>
      </c>
      <c r="AM781" s="7" t="n">
        <v>11</v>
      </c>
      <c r="AN781" s="7" t="n">
        <v>1</v>
      </c>
      <c r="AO781" s="7" t="n">
        <v>1</v>
      </c>
      <c r="AP781" s="7" t="n">
        <v>0</v>
      </c>
      <c r="AQ781" s="7" t="n">
        <v>0</v>
      </c>
      <c r="AR781" s="6" t="s">
        <v>63</v>
      </c>
      <c r="AS781" s="6" t="s">
        <v>57</v>
      </c>
      <c r="AT781" s="25" t="str">
        <f aca="false">HYPERLINK("http://catalog.hathitrust.org/Record/007042131","HathiTrust Record")</f>
        <v>HathiTrust Record</v>
      </c>
      <c r="AU781" s="25" t="str">
        <f aca="false">HYPERLINK("https://creighton-primo.hosted.exlibrisgroup.com/primo-explore/search?tab=default_tab&amp;search_scope=EVERYTHING&amp;vid=01CRU&amp;lang=en_US&amp;offset=0&amp;query=any,contains,991000925269702656","Catalog Record")</f>
        <v>Catalog Record</v>
      </c>
      <c r="AV781" s="25" t="str">
        <f aca="false">HYPERLINK("http://www.worldcat.org/oclc/163134","WorldCat Record")</f>
        <v>WorldCat Record</v>
      </c>
      <c r="AW781" s="6" t="s">
        <v>3496</v>
      </c>
      <c r="AX781" s="6" t="s">
        <v>3497</v>
      </c>
      <c r="AY781" s="6" t="s">
        <v>3498</v>
      </c>
      <c r="AZ781" s="6" t="s">
        <v>3498</v>
      </c>
      <c r="BA781" s="6" t="s">
        <v>3499</v>
      </c>
      <c r="BC781" s="6" t="s">
        <v>3506</v>
      </c>
      <c r="BE781" s="15" t="s">
        <v>2145</v>
      </c>
      <c r="BF781" s="6" t="s">
        <v>3507</v>
      </c>
    </row>
    <row r="782" customFormat="false" ht="82.5" hidden="false" customHeight="false" outlineLevel="0" collapsed="false">
      <c r="A782" s="4" t="s">
        <v>63</v>
      </c>
      <c r="B782" s="5" t="s">
        <v>2129</v>
      </c>
      <c r="C782" s="5" t="s">
        <v>2130</v>
      </c>
      <c r="D782" s="5" t="s">
        <v>3508</v>
      </c>
      <c r="E782" s="5" t="s">
        <v>3509</v>
      </c>
      <c r="F782" s="5" t="s">
        <v>3510</v>
      </c>
      <c r="H782" s="6" t="s">
        <v>63</v>
      </c>
      <c r="I782" s="6" t="s">
        <v>62</v>
      </c>
      <c r="J782" s="6" t="s">
        <v>63</v>
      </c>
      <c r="K782" s="6" t="s">
        <v>63</v>
      </c>
      <c r="L782" s="6" t="s">
        <v>64</v>
      </c>
      <c r="M782" s="5" t="s">
        <v>3511</v>
      </c>
      <c r="N782" s="5" t="s">
        <v>3512</v>
      </c>
      <c r="O782" s="6" t="s">
        <v>3513</v>
      </c>
      <c r="Q782" s="6" t="s">
        <v>67</v>
      </c>
      <c r="R782" s="6" t="s">
        <v>384</v>
      </c>
      <c r="S782" s="5" t="s">
        <v>3514</v>
      </c>
      <c r="T782" s="6" t="s">
        <v>2137</v>
      </c>
      <c r="U782" s="7" t="n">
        <v>15</v>
      </c>
      <c r="V782" s="7" t="n">
        <v>15</v>
      </c>
      <c r="W782" s="8" t="s">
        <v>3515</v>
      </c>
      <c r="X782" s="8" t="s">
        <v>3515</v>
      </c>
      <c r="Y782" s="8" t="s">
        <v>3516</v>
      </c>
      <c r="Z782" s="8" t="s">
        <v>3516</v>
      </c>
      <c r="AA782" s="7" t="n">
        <v>70</v>
      </c>
      <c r="AB782" s="7" t="n">
        <v>52</v>
      </c>
      <c r="AC782" s="7" t="n">
        <v>1627</v>
      </c>
      <c r="AD782" s="7" t="n">
        <v>3</v>
      </c>
      <c r="AE782" s="7" t="n">
        <v>12</v>
      </c>
      <c r="AF782" s="7" t="n">
        <v>2</v>
      </c>
      <c r="AG782" s="7" t="n">
        <v>59</v>
      </c>
      <c r="AH782" s="7" t="n">
        <v>0</v>
      </c>
      <c r="AI782" s="7" t="n">
        <v>26</v>
      </c>
      <c r="AJ782" s="7" t="n">
        <v>0</v>
      </c>
      <c r="AK782" s="7" t="n">
        <v>11</v>
      </c>
      <c r="AL782" s="7" t="n">
        <v>0</v>
      </c>
      <c r="AM782" s="7" t="n">
        <v>24</v>
      </c>
      <c r="AN782" s="7" t="n">
        <v>2</v>
      </c>
      <c r="AO782" s="7" t="n">
        <v>10</v>
      </c>
      <c r="AP782" s="7" t="n">
        <v>0</v>
      </c>
      <c r="AQ782" s="7" t="n">
        <v>1</v>
      </c>
      <c r="AR782" s="6" t="s">
        <v>63</v>
      </c>
      <c r="AS782" s="6" t="s">
        <v>57</v>
      </c>
      <c r="AT782" s="25" t="str">
        <f aca="false">HYPERLINK("http://catalog.hathitrust.org/Record/001805150","HathiTrust Record")</f>
        <v>HathiTrust Record</v>
      </c>
      <c r="AU782" s="25" t="str">
        <f aca="false">HYPERLINK("https://creighton-primo.hosted.exlibrisgroup.com/primo-explore/search?tab=default_tab&amp;search_scope=EVERYTHING&amp;vid=01CRU&amp;lang=en_US&amp;offset=0&amp;query=any,contains,991000180969702656","Catalog Record")</f>
        <v>Catalog Record</v>
      </c>
      <c r="AV782" s="25" t="str">
        <f aca="false">HYPERLINK("http://www.worldcat.org/oclc/9376469","WorldCat Record")</f>
        <v>WorldCat Record</v>
      </c>
      <c r="AW782" s="6" t="s">
        <v>3517</v>
      </c>
      <c r="AX782" s="6" t="s">
        <v>3518</v>
      </c>
      <c r="AY782" s="6" t="s">
        <v>3519</v>
      </c>
      <c r="AZ782" s="6" t="s">
        <v>3519</v>
      </c>
      <c r="BA782" s="6" t="s">
        <v>3520</v>
      </c>
      <c r="BC782" s="6" t="s">
        <v>3521</v>
      </c>
      <c r="BE782" s="15" t="s">
        <v>2145</v>
      </c>
      <c r="BF782" s="6" t="s">
        <v>3522</v>
      </c>
    </row>
    <row r="783" customFormat="false" ht="117" hidden="false" customHeight="false" outlineLevel="0" collapsed="false">
      <c r="A783" s="4" t="s">
        <v>63</v>
      </c>
      <c r="B783" s="5" t="s">
        <v>2129</v>
      </c>
      <c r="C783" s="5" t="s">
        <v>2130</v>
      </c>
      <c r="D783" s="5" t="s">
        <v>3523</v>
      </c>
      <c r="E783" s="5" t="s">
        <v>3524</v>
      </c>
      <c r="F783" s="5" t="s">
        <v>3525</v>
      </c>
      <c r="H783" s="6" t="s">
        <v>63</v>
      </c>
      <c r="I783" s="6" t="s">
        <v>62</v>
      </c>
      <c r="J783" s="6" t="s">
        <v>63</v>
      </c>
      <c r="K783" s="6" t="s">
        <v>63</v>
      </c>
      <c r="L783" s="6" t="s">
        <v>64</v>
      </c>
      <c r="M783" s="5" t="s">
        <v>3526</v>
      </c>
      <c r="N783" s="5" t="s">
        <v>3527</v>
      </c>
      <c r="O783" s="6" t="s">
        <v>108</v>
      </c>
      <c r="Q783" s="6" t="s">
        <v>67</v>
      </c>
      <c r="R783" s="6" t="s">
        <v>1093</v>
      </c>
      <c r="S783" s="5" t="s">
        <v>3528</v>
      </c>
      <c r="T783" s="6" t="s">
        <v>2137</v>
      </c>
      <c r="U783" s="7" t="n">
        <v>5</v>
      </c>
      <c r="V783" s="7" t="n">
        <v>5</v>
      </c>
      <c r="W783" s="8" t="s">
        <v>3529</v>
      </c>
      <c r="X783" s="8" t="s">
        <v>3529</v>
      </c>
      <c r="Y783" s="8" t="s">
        <v>3303</v>
      </c>
      <c r="Z783" s="8" t="s">
        <v>3303</v>
      </c>
      <c r="AA783" s="7" t="n">
        <v>464</v>
      </c>
      <c r="AB783" s="7" t="n">
        <v>346</v>
      </c>
      <c r="AC783" s="7" t="n">
        <v>346</v>
      </c>
      <c r="AD783" s="7" t="n">
        <v>2</v>
      </c>
      <c r="AE783" s="7" t="n">
        <v>2</v>
      </c>
      <c r="AF783" s="7" t="n">
        <v>17</v>
      </c>
      <c r="AG783" s="7" t="n">
        <v>17</v>
      </c>
      <c r="AH783" s="7" t="n">
        <v>8</v>
      </c>
      <c r="AI783" s="7" t="n">
        <v>8</v>
      </c>
      <c r="AJ783" s="7" t="n">
        <v>5</v>
      </c>
      <c r="AK783" s="7" t="n">
        <v>5</v>
      </c>
      <c r="AL783" s="7" t="n">
        <v>6</v>
      </c>
      <c r="AM783" s="7" t="n">
        <v>6</v>
      </c>
      <c r="AN783" s="7" t="n">
        <v>1</v>
      </c>
      <c r="AO783" s="7" t="n">
        <v>1</v>
      </c>
      <c r="AP783" s="7" t="n">
        <v>0</v>
      </c>
      <c r="AQ783" s="7" t="n">
        <v>0</v>
      </c>
      <c r="AR783" s="6" t="s">
        <v>63</v>
      </c>
      <c r="AS783" s="6" t="s">
        <v>63</v>
      </c>
      <c r="AU783" s="25" t="str">
        <f aca="false">HYPERLINK("https://creighton-primo.hosted.exlibrisgroup.com/primo-explore/search?tab=default_tab&amp;search_scope=EVERYTHING&amp;vid=01CRU&amp;lang=en_US&amp;offset=0&amp;query=any,contains,991004728059702656","Catalog Record")</f>
        <v>Catalog Record</v>
      </c>
      <c r="AV783" s="25" t="str">
        <f aca="false">HYPERLINK("http://www.worldcat.org/oclc/4829913","WorldCat Record")</f>
        <v>WorldCat Record</v>
      </c>
      <c r="AW783" s="6" t="s">
        <v>3530</v>
      </c>
      <c r="AX783" s="6" t="s">
        <v>3531</v>
      </c>
      <c r="AY783" s="6" t="s">
        <v>3532</v>
      </c>
      <c r="AZ783" s="6" t="s">
        <v>3532</v>
      </c>
      <c r="BA783" s="6" t="s">
        <v>3533</v>
      </c>
      <c r="BB783" s="6" t="s">
        <v>3534</v>
      </c>
      <c r="BC783" s="6" t="s">
        <v>3535</v>
      </c>
      <c r="BE783" s="15" t="s">
        <v>2145</v>
      </c>
      <c r="BF783" s="6" t="s">
        <v>3536</v>
      </c>
    </row>
    <row r="784" customFormat="false" ht="105.5" hidden="false" customHeight="false" outlineLevel="0" collapsed="false">
      <c r="A784" s="4" t="s">
        <v>63</v>
      </c>
      <c r="B784" s="5" t="s">
        <v>2129</v>
      </c>
      <c r="C784" s="5" t="s">
        <v>2130</v>
      </c>
      <c r="D784" s="5" t="s">
        <v>3537</v>
      </c>
      <c r="E784" s="5" t="s">
        <v>3538</v>
      </c>
      <c r="F784" s="5" t="s">
        <v>3539</v>
      </c>
      <c r="H784" s="6" t="s">
        <v>63</v>
      </c>
      <c r="I784" s="6" t="s">
        <v>62</v>
      </c>
      <c r="J784" s="6" t="s">
        <v>63</v>
      </c>
      <c r="K784" s="6" t="s">
        <v>63</v>
      </c>
      <c r="L784" s="6" t="s">
        <v>64</v>
      </c>
      <c r="M784" s="5" t="s">
        <v>3540</v>
      </c>
      <c r="N784" s="5" t="s">
        <v>3541</v>
      </c>
      <c r="O784" s="6" t="s">
        <v>2797</v>
      </c>
      <c r="Q784" s="6" t="s">
        <v>67</v>
      </c>
      <c r="R784" s="6" t="s">
        <v>123</v>
      </c>
      <c r="T784" s="6" t="s">
        <v>2137</v>
      </c>
      <c r="U784" s="7" t="n">
        <v>1</v>
      </c>
      <c r="V784" s="7" t="n">
        <v>1</v>
      </c>
      <c r="W784" s="8" t="s">
        <v>3542</v>
      </c>
      <c r="X784" s="8" t="s">
        <v>3542</v>
      </c>
      <c r="Y784" s="8" t="s">
        <v>2695</v>
      </c>
      <c r="Z784" s="8" t="s">
        <v>2695</v>
      </c>
      <c r="AA784" s="7" t="n">
        <v>183</v>
      </c>
      <c r="AB784" s="7" t="n">
        <v>180</v>
      </c>
      <c r="AC784" s="7" t="n">
        <v>188</v>
      </c>
      <c r="AD784" s="7" t="n">
        <v>2</v>
      </c>
      <c r="AE784" s="7" t="n">
        <v>2</v>
      </c>
      <c r="AF784" s="7" t="n">
        <v>2</v>
      </c>
      <c r="AG784" s="7" t="n">
        <v>2</v>
      </c>
      <c r="AH784" s="7" t="n">
        <v>0</v>
      </c>
      <c r="AI784" s="7" t="n">
        <v>0</v>
      </c>
      <c r="AJ784" s="7" t="n">
        <v>1</v>
      </c>
      <c r="AK784" s="7" t="n">
        <v>1</v>
      </c>
      <c r="AL784" s="7" t="n">
        <v>0</v>
      </c>
      <c r="AM784" s="7" t="n">
        <v>0</v>
      </c>
      <c r="AN784" s="7" t="n">
        <v>1</v>
      </c>
      <c r="AO784" s="7" t="n">
        <v>1</v>
      </c>
      <c r="AP784" s="7" t="n">
        <v>0</v>
      </c>
      <c r="AQ784" s="7" t="n">
        <v>0</v>
      </c>
      <c r="AR784" s="6" t="s">
        <v>63</v>
      </c>
      <c r="AS784" s="6" t="s">
        <v>57</v>
      </c>
      <c r="AT784" s="25" t="str">
        <f aca="false">HYPERLINK("http://catalog.hathitrust.org/Record/001390870","HathiTrust Record")</f>
        <v>HathiTrust Record</v>
      </c>
      <c r="AU784" s="25" t="str">
        <f aca="false">HYPERLINK("https://creighton-primo.hosted.exlibrisgroup.com/primo-explore/search?tab=default_tab&amp;search_scope=EVERYTHING&amp;vid=01CRU&amp;lang=en_US&amp;offset=0&amp;query=any,contains,991003629919702656","Catalog Record")</f>
        <v>Catalog Record</v>
      </c>
      <c r="AV784" s="25" t="str">
        <f aca="false">HYPERLINK("http://www.worldcat.org/oclc/1220942","WorldCat Record")</f>
        <v>WorldCat Record</v>
      </c>
      <c r="AW784" s="6" t="s">
        <v>3543</v>
      </c>
      <c r="AX784" s="6" t="s">
        <v>3544</v>
      </c>
      <c r="AY784" s="6" t="s">
        <v>3545</v>
      </c>
      <c r="AZ784" s="6" t="s">
        <v>3545</v>
      </c>
      <c r="BA784" s="6" t="s">
        <v>3546</v>
      </c>
      <c r="BC784" s="6" t="s">
        <v>3547</v>
      </c>
      <c r="BE784" s="15" t="s">
        <v>2145</v>
      </c>
      <c r="BF784" s="6" t="s">
        <v>3548</v>
      </c>
    </row>
    <row r="785" customFormat="false" ht="140" hidden="false" customHeight="false" outlineLevel="0" collapsed="false">
      <c r="A785" s="4" t="s">
        <v>63</v>
      </c>
      <c r="B785" s="5" t="s">
        <v>2129</v>
      </c>
      <c r="C785" s="5" t="s">
        <v>2130</v>
      </c>
      <c r="D785" s="5" t="s">
        <v>3549</v>
      </c>
      <c r="E785" s="5" t="s">
        <v>3550</v>
      </c>
      <c r="F785" s="5" t="s">
        <v>3551</v>
      </c>
      <c r="H785" s="6" t="s">
        <v>63</v>
      </c>
      <c r="I785" s="6" t="s">
        <v>62</v>
      </c>
      <c r="J785" s="6" t="s">
        <v>63</v>
      </c>
      <c r="K785" s="6" t="s">
        <v>63</v>
      </c>
      <c r="L785" s="6" t="s">
        <v>64</v>
      </c>
      <c r="M785" s="5" t="s">
        <v>3552</v>
      </c>
      <c r="N785" s="5" t="s">
        <v>3553</v>
      </c>
      <c r="O785" s="6" t="s">
        <v>2426</v>
      </c>
      <c r="P785" s="5" t="s">
        <v>255</v>
      </c>
      <c r="Q785" s="6" t="s">
        <v>67</v>
      </c>
      <c r="R785" s="6" t="s">
        <v>68</v>
      </c>
      <c r="T785" s="6" t="s">
        <v>2137</v>
      </c>
      <c r="U785" s="7" t="n">
        <v>3</v>
      </c>
      <c r="V785" s="7" t="n">
        <v>3</v>
      </c>
      <c r="W785" s="8" t="s">
        <v>3554</v>
      </c>
      <c r="X785" s="8" t="s">
        <v>3554</v>
      </c>
      <c r="Y785" s="8" t="s">
        <v>2695</v>
      </c>
      <c r="Z785" s="8" t="s">
        <v>2695</v>
      </c>
      <c r="AA785" s="7" t="n">
        <v>575</v>
      </c>
      <c r="AB785" s="7" t="n">
        <v>533</v>
      </c>
      <c r="AC785" s="7" t="n">
        <v>811</v>
      </c>
      <c r="AD785" s="7" t="n">
        <v>5</v>
      </c>
      <c r="AE785" s="7" t="n">
        <v>6</v>
      </c>
      <c r="AF785" s="7" t="n">
        <v>24</v>
      </c>
      <c r="AG785" s="7" t="n">
        <v>36</v>
      </c>
      <c r="AH785" s="7" t="n">
        <v>7</v>
      </c>
      <c r="AI785" s="7" t="n">
        <v>14</v>
      </c>
      <c r="AJ785" s="7" t="n">
        <v>7</v>
      </c>
      <c r="AK785" s="7" t="n">
        <v>9</v>
      </c>
      <c r="AL785" s="7" t="n">
        <v>12</v>
      </c>
      <c r="AM785" s="7" t="n">
        <v>18</v>
      </c>
      <c r="AN785" s="7" t="n">
        <v>3</v>
      </c>
      <c r="AO785" s="7" t="n">
        <v>4</v>
      </c>
      <c r="AP785" s="7" t="n">
        <v>0</v>
      </c>
      <c r="AQ785" s="7" t="n">
        <v>0</v>
      </c>
      <c r="AR785" s="6" t="s">
        <v>63</v>
      </c>
      <c r="AS785" s="6" t="s">
        <v>63</v>
      </c>
      <c r="AU785" s="25" t="str">
        <f aca="false">HYPERLINK("https://creighton-primo.hosted.exlibrisgroup.com/primo-explore/search?tab=default_tab&amp;search_scope=EVERYTHING&amp;vid=01CRU&amp;lang=en_US&amp;offset=0&amp;query=any,contains,991003337499702656","Catalog Record")</f>
        <v>Catalog Record</v>
      </c>
      <c r="AV785" s="25" t="str">
        <f aca="false">HYPERLINK("http://www.worldcat.org/oclc/867917","WorldCat Record")</f>
        <v>WorldCat Record</v>
      </c>
      <c r="AW785" s="6" t="s">
        <v>3555</v>
      </c>
      <c r="AX785" s="6" t="s">
        <v>3556</v>
      </c>
      <c r="AY785" s="6" t="s">
        <v>3557</v>
      </c>
      <c r="AZ785" s="6" t="s">
        <v>3557</v>
      </c>
      <c r="BA785" s="6" t="s">
        <v>3558</v>
      </c>
      <c r="BB785" s="6" t="s">
        <v>3559</v>
      </c>
      <c r="BC785" s="6" t="s">
        <v>3560</v>
      </c>
      <c r="BE785" s="15" t="s">
        <v>2145</v>
      </c>
      <c r="BF785" s="6" t="s">
        <v>3561</v>
      </c>
    </row>
    <row r="786" customFormat="false" ht="71" hidden="false" customHeight="false" outlineLevel="0" collapsed="false">
      <c r="A786" s="4" t="s">
        <v>63</v>
      </c>
      <c r="B786" s="5" t="s">
        <v>2129</v>
      </c>
      <c r="C786" s="5" t="s">
        <v>2130</v>
      </c>
      <c r="D786" s="5" t="s">
        <v>3562</v>
      </c>
      <c r="E786" s="5" t="s">
        <v>3563</v>
      </c>
      <c r="F786" s="5" t="s">
        <v>3564</v>
      </c>
      <c r="H786" s="6" t="s">
        <v>63</v>
      </c>
      <c r="I786" s="6" t="s">
        <v>62</v>
      </c>
      <c r="J786" s="6" t="s">
        <v>63</v>
      </c>
      <c r="K786" s="6" t="s">
        <v>57</v>
      </c>
      <c r="L786" s="6" t="s">
        <v>64</v>
      </c>
      <c r="M786" s="5" t="s">
        <v>3565</v>
      </c>
      <c r="N786" s="5" t="s">
        <v>3566</v>
      </c>
      <c r="O786" s="6" t="s">
        <v>3301</v>
      </c>
      <c r="Q786" s="6" t="s">
        <v>67</v>
      </c>
      <c r="R786" s="6" t="s">
        <v>272</v>
      </c>
      <c r="S786" s="5" t="s">
        <v>3567</v>
      </c>
      <c r="T786" s="6" t="s">
        <v>2137</v>
      </c>
      <c r="U786" s="7" t="n">
        <v>3</v>
      </c>
      <c r="V786" s="7" t="n">
        <v>3</v>
      </c>
      <c r="W786" s="8" t="s">
        <v>3568</v>
      </c>
      <c r="X786" s="8" t="s">
        <v>3568</v>
      </c>
      <c r="Y786" s="8" t="s">
        <v>3303</v>
      </c>
      <c r="Z786" s="8" t="s">
        <v>3303</v>
      </c>
      <c r="AA786" s="7" t="n">
        <v>329</v>
      </c>
      <c r="AB786" s="7" t="n">
        <v>268</v>
      </c>
      <c r="AC786" s="7" t="n">
        <v>427</v>
      </c>
      <c r="AD786" s="7" t="n">
        <v>3</v>
      </c>
      <c r="AE786" s="7" t="n">
        <v>5</v>
      </c>
      <c r="AF786" s="7" t="n">
        <v>20</v>
      </c>
      <c r="AG786" s="7" t="n">
        <v>29</v>
      </c>
      <c r="AH786" s="7" t="n">
        <v>3</v>
      </c>
      <c r="AI786" s="7" t="n">
        <v>7</v>
      </c>
      <c r="AJ786" s="7" t="n">
        <v>1</v>
      </c>
      <c r="AK786" s="7" t="n">
        <v>3</v>
      </c>
      <c r="AL786" s="7" t="n">
        <v>7</v>
      </c>
      <c r="AM786" s="7" t="n">
        <v>12</v>
      </c>
      <c r="AN786" s="7" t="n">
        <v>2</v>
      </c>
      <c r="AO786" s="7" t="n">
        <v>3</v>
      </c>
      <c r="AP786" s="7" t="n">
        <v>8</v>
      </c>
      <c r="AQ786" s="7" t="n">
        <v>8</v>
      </c>
      <c r="AR786" s="6" t="s">
        <v>63</v>
      </c>
      <c r="AS786" s="6" t="s">
        <v>63</v>
      </c>
      <c r="AU786" s="25" t="str">
        <f aca="false">HYPERLINK("https://creighton-primo.hosted.exlibrisgroup.com/primo-explore/search?tab=default_tab&amp;search_scope=EVERYTHING&amp;vid=01CRU&amp;lang=en_US&amp;offset=0&amp;query=any,contains,991005124889702656","Catalog Record")</f>
        <v>Catalog Record</v>
      </c>
      <c r="AV786" s="25" t="str">
        <f aca="false">HYPERLINK("http://www.worldcat.org/oclc/7552740","WorldCat Record")</f>
        <v>WorldCat Record</v>
      </c>
      <c r="AW786" s="6" t="s">
        <v>3569</v>
      </c>
      <c r="AX786" s="6" t="s">
        <v>3570</v>
      </c>
      <c r="AY786" s="6" t="s">
        <v>3571</v>
      </c>
      <c r="AZ786" s="6" t="s">
        <v>3571</v>
      </c>
      <c r="BA786" s="6" t="s">
        <v>3572</v>
      </c>
      <c r="BB786" s="6" t="s">
        <v>3573</v>
      </c>
      <c r="BC786" s="6" t="s">
        <v>3574</v>
      </c>
      <c r="BE786" s="15" t="s">
        <v>2145</v>
      </c>
      <c r="BF786" s="6" t="s">
        <v>3575</v>
      </c>
    </row>
    <row r="787" customFormat="false" ht="151.5" hidden="false" customHeight="false" outlineLevel="0" collapsed="false">
      <c r="A787" s="4" t="s">
        <v>63</v>
      </c>
      <c r="B787" s="5" t="s">
        <v>2129</v>
      </c>
      <c r="C787" s="5" t="s">
        <v>2130</v>
      </c>
      <c r="D787" s="5" t="s">
        <v>3576</v>
      </c>
      <c r="E787" s="5" t="s">
        <v>3577</v>
      </c>
      <c r="F787" s="5" t="s">
        <v>3578</v>
      </c>
      <c r="H787" s="6" t="s">
        <v>63</v>
      </c>
      <c r="I787" s="6" t="s">
        <v>62</v>
      </c>
      <c r="J787" s="6" t="s">
        <v>63</v>
      </c>
      <c r="K787" s="6" t="s">
        <v>63</v>
      </c>
      <c r="L787" s="6" t="s">
        <v>64</v>
      </c>
      <c r="M787" s="5" t="s">
        <v>3579</v>
      </c>
      <c r="N787" s="5" t="s">
        <v>3580</v>
      </c>
      <c r="O787" s="6" t="s">
        <v>2467</v>
      </c>
      <c r="Q787" s="6" t="s">
        <v>67</v>
      </c>
      <c r="R787" s="6" t="s">
        <v>68</v>
      </c>
      <c r="T787" s="6" t="s">
        <v>2137</v>
      </c>
      <c r="U787" s="7" t="n">
        <v>3</v>
      </c>
      <c r="V787" s="7" t="n">
        <v>3</v>
      </c>
      <c r="W787" s="8" t="s">
        <v>3581</v>
      </c>
      <c r="X787" s="8" t="s">
        <v>3581</v>
      </c>
      <c r="Y787" s="8" t="s">
        <v>2695</v>
      </c>
      <c r="Z787" s="8" t="s">
        <v>2695</v>
      </c>
      <c r="AA787" s="7" t="n">
        <v>595</v>
      </c>
      <c r="AB787" s="7" t="n">
        <v>534</v>
      </c>
      <c r="AC787" s="7" t="n">
        <v>556</v>
      </c>
      <c r="AD787" s="7" t="n">
        <v>4</v>
      </c>
      <c r="AE787" s="7" t="n">
        <v>4</v>
      </c>
      <c r="AF787" s="7" t="n">
        <v>24</v>
      </c>
      <c r="AG787" s="7" t="n">
        <v>25</v>
      </c>
      <c r="AH787" s="7" t="n">
        <v>8</v>
      </c>
      <c r="AI787" s="7" t="n">
        <v>8</v>
      </c>
      <c r="AJ787" s="7" t="n">
        <v>5</v>
      </c>
      <c r="AK787" s="7" t="n">
        <v>6</v>
      </c>
      <c r="AL787" s="7" t="n">
        <v>16</v>
      </c>
      <c r="AM787" s="7" t="n">
        <v>16</v>
      </c>
      <c r="AN787" s="7" t="n">
        <v>3</v>
      </c>
      <c r="AO787" s="7" t="n">
        <v>3</v>
      </c>
      <c r="AP787" s="7" t="n">
        <v>0</v>
      </c>
      <c r="AQ787" s="7" t="n">
        <v>0</v>
      </c>
      <c r="AR787" s="6" t="s">
        <v>63</v>
      </c>
      <c r="AS787" s="6" t="s">
        <v>63</v>
      </c>
      <c r="AU787" s="25" t="str">
        <f aca="false">HYPERLINK("https://creighton-primo.hosted.exlibrisgroup.com/primo-explore/search?tab=default_tab&amp;search_scope=EVERYTHING&amp;vid=01CRU&amp;lang=en_US&amp;offset=0&amp;query=any,contains,991001087049702656","Catalog Record")</f>
        <v>Catalog Record</v>
      </c>
      <c r="AV787" s="25" t="str">
        <f aca="false">HYPERLINK("http://www.worldcat.org/oclc/180766","WorldCat Record")</f>
        <v>WorldCat Record</v>
      </c>
      <c r="AW787" s="6" t="s">
        <v>3582</v>
      </c>
      <c r="AX787" s="6" t="s">
        <v>3583</v>
      </c>
      <c r="AY787" s="6" t="s">
        <v>3584</v>
      </c>
      <c r="AZ787" s="6" t="s">
        <v>3584</v>
      </c>
      <c r="BA787" s="6" t="s">
        <v>3585</v>
      </c>
      <c r="BC787" s="6" t="s">
        <v>3586</v>
      </c>
      <c r="BE787" s="15" t="s">
        <v>2145</v>
      </c>
      <c r="BF787" s="6" t="s">
        <v>3587</v>
      </c>
    </row>
    <row r="788" customFormat="false" ht="117" hidden="false" customHeight="false" outlineLevel="0" collapsed="false">
      <c r="A788" s="4" t="s">
        <v>63</v>
      </c>
      <c r="B788" s="5" t="s">
        <v>2129</v>
      </c>
      <c r="C788" s="5" t="s">
        <v>2130</v>
      </c>
      <c r="D788" s="5" t="s">
        <v>3588</v>
      </c>
      <c r="E788" s="5" t="s">
        <v>3589</v>
      </c>
      <c r="F788" s="5" t="s">
        <v>3590</v>
      </c>
      <c r="H788" s="6" t="s">
        <v>63</v>
      </c>
      <c r="I788" s="6" t="s">
        <v>62</v>
      </c>
      <c r="J788" s="6" t="s">
        <v>63</v>
      </c>
      <c r="K788" s="6" t="s">
        <v>63</v>
      </c>
      <c r="L788" s="6" t="s">
        <v>64</v>
      </c>
      <c r="M788" s="5" t="s">
        <v>3591</v>
      </c>
      <c r="N788" s="5" t="s">
        <v>3592</v>
      </c>
      <c r="O788" s="6" t="s">
        <v>221</v>
      </c>
      <c r="Q788" s="6" t="s">
        <v>67</v>
      </c>
      <c r="R788" s="6" t="s">
        <v>68</v>
      </c>
      <c r="T788" s="6" t="s">
        <v>2137</v>
      </c>
      <c r="U788" s="7" t="n">
        <v>3</v>
      </c>
      <c r="V788" s="7" t="n">
        <v>3</v>
      </c>
      <c r="W788" s="8" t="s">
        <v>3593</v>
      </c>
      <c r="X788" s="8" t="s">
        <v>3593</v>
      </c>
      <c r="Y788" s="8" t="s">
        <v>3594</v>
      </c>
      <c r="Z788" s="8" t="s">
        <v>3594</v>
      </c>
      <c r="AA788" s="7" t="n">
        <v>184</v>
      </c>
      <c r="AB788" s="7" t="n">
        <v>161</v>
      </c>
      <c r="AC788" s="7" t="n">
        <v>164</v>
      </c>
      <c r="AD788" s="7" t="n">
        <v>3</v>
      </c>
      <c r="AE788" s="7" t="n">
        <v>3</v>
      </c>
      <c r="AF788" s="7" t="n">
        <v>19</v>
      </c>
      <c r="AG788" s="7" t="n">
        <v>19</v>
      </c>
      <c r="AH788" s="7" t="n">
        <v>6</v>
      </c>
      <c r="AI788" s="7" t="n">
        <v>6</v>
      </c>
      <c r="AJ788" s="7" t="n">
        <v>5</v>
      </c>
      <c r="AK788" s="7" t="n">
        <v>5</v>
      </c>
      <c r="AL788" s="7" t="n">
        <v>13</v>
      </c>
      <c r="AM788" s="7" t="n">
        <v>13</v>
      </c>
      <c r="AN788" s="7" t="n">
        <v>2</v>
      </c>
      <c r="AO788" s="7" t="n">
        <v>2</v>
      </c>
      <c r="AP788" s="7" t="n">
        <v>0</v>
      </c>
      <c r="AQ788" s="7" t="n">
        <v>0</v>
      </c>
      <c r="AR788" s="6" t="s">
        <v>63</v>
      </c>
      <c r="AS788" s="6" t="s">
        <v>57</v>
      </c>
      <c r="AT788" s="25" t="str">
        <f aca="false">HYPERLINK("http://catalog.hathitrust.org/Record/002199360","HathiTrust Record")</f>
        <v>HathiTrust Record</v>
      </c>
      <c r="AU788" s="25" t="str">
        <f aca="false">HYPERLINK("https://creighton-primo.hosted.exlibrisgroup.com/primo-explore/search?tab=default_tab&amp;search_scope=EVERYTHING&amp;vid=01CRU&amp;lang=en_US&amp;offset=0&amp;query=any,contains,991000369249702656","Catalog Record")</f>
        <v>Catalog Record</v>
      </c>
      <c r="AV788" s="25" t="str">
        <f aca="false">HYPERLINK("http://www.worldcat.org/oclc/10421820","WorldCat Record")</f>
        <v>WorldCat Record</v>
      </c>
      <c r="AW788" s="6" t="s">
        <v>3595</v>
      </c>
      <c r="AX788" s="6" t="s">
        <v>3596</v>
      </c>
      <c r="AY788" s="6" t="s">
        <v>3597</v>
      </c>
      <c r="AZ788" s="6" t="s">
        <v>3597</v>
      </c>
      <c r="BA788" s="6" t="s">
        <v>3598</v>
      </c>
      <c r="BB788" s="6" t="s">
        <v>3599</v>
      </c>
      <c r="BC788" s="6" t="s">
        <v>3600</v>
      </c>
      <c r="BE788" s="15" t="s">
        <v>2145</v>
      </c>
      <c r="BF788" s="6" t="s">
        <v>3601</v>
      </c>
    </row>
    <row r="789" customFormat="false" ht="94" hidden="false" customHeight="false" outlineLevel="0" collapsed="false">
      <c r="A789" s="4" t="s">
        <v>63</v>
      </c>
      <c r="B789" s="5" t="s">
        <v>2129</v>
      </c>
      <c r="C789" s="5" t="s">
        <v>2130</v>
      </c>
      <c r="D789" s="5" t="s">
        <v>3602</v>
      </c>
      <c r="E789" s="5" t="s">
        <v>3603</v>
      </c>
      <c r="F789" s="5" t="s">
        <v>3604</v>
      </c>
      <c r="H789" s="6" t="s">
        <v>63</v>
      </c>
      <c r="I789" s="6" t="s">
        <v>62</v>
      </c>
      <c r="J789" s="6" t="s">
        <v>57</v>
      </c>
      <c r="K789" s="6" t="s">
        <v>63</v>
      </c>
      <c r="L789" s="6" t="s">
        <v>64</v>
      </c>
      <c r="M789" s="5" t="s">
        <v>3605</v>
      </c>
      <c r="N789" s="5" t="s">
        <v>3606</v>
      </c>
      <c r="O789" s="6" t="s">
        <v>2221</v>
      </c>
      <c r="Q789" s="6" t="s">
        <v>67</v>
      </c>
      <c r="R789" s="6" t="s">
        <v>401</v>
      </c>
      <c r="T789" s="6" t="s">
        <v>2137</v>
      </c>
      <c r="U789" s="7" t="n">
        <v>6</v>
      </c>
      <c r="V789" s="7" t="n">
        <v>34</v>
      </c>
      <c r="W789" s="8" t="s">
        <v>3607</v>
      </c>
      <c r="X789" s="8" t="s">
        <v>3607</v>
      </c>
      <c r="Y789" s="8" t="s">
        <v>3608</v>
      </c>
      <c r="Z789" s="8" t="s">
        <v>3608</v>
      </c>
      <c r="AA789" s="7" t="n">
        <v>617</v>
      </c>
      <c r="AB789" s="7" t="n">
        <v>527</v>
      </c>
      <c r="AC789" s="7" t="n">
        <v>1038</v>
      </c>
      <c r="AD789" s="7" t="n">
        <v>5</v>
      </c>
      <c r="AE789" s="7" t="n">
        <v>8</v>
      </c>
      <c r="AF789" s="7" t="n">
        <v>36</v>
      </c>
      <c r="AG789" s="7" t="n">
        <v>54</v>
      </c>
      <c r="AH789" s="7" t="n">
        <v>12</v>
      </c>
      <c r="AI789" s="7" t="n">
        <v>20</v>
      </c>
      <c r="AJ789" s="7" t="n">
        <v>5</v>
      </c>
      <c r="AK789" s="7" t="n">
        <v>10</v>
      </c>
      <c r="AL789" s="7" t="n">
        <v>18</v>
      </c>
      <c r="AM789" s="7" t="n">
        <v>22</v>
      </c>
      <c r="AN789" s="7" t="n">
        <v>2</v>
      </c>
      <c r="AO789" s="7" t="n">
        <v>5</v>
      </c>
      <c r="AP789" s="7" t="n">
        <v>9</v>
      </c>
      <c r="AQ789" s="7" t="n">
        <v>10</v>
      </c>
      <c r="AR789" s="6" t="s">
        <v>63</v>
      </c>
      <c r="AS789" s="6" t="s">
        <v>57</v>
      </c>
      <c r="AT789" s="25" t="str">
        <f aca="false">HYPERLINK("http://catalog.hathitrust.org/Record/000905551","HathiTrust Record")</f>
        <v>HathiTrust Record</v>
      </c>
      <c r="AU789" s="25" t="str">
        <f aca="false">HYPERLINK("https://creighton-primo.hosted.exlibrisgroup.com/primo-explore/search?tab=default_tab&amp;search_scope=EVERYTHING&amp;vid=01CRU&amp;lang=en_US&amp;offset=0&amp;query=any,contains,991001791789702656","Catalog Record")</f>
        <v>Catalog Record</v>
      </c>
      <c r="AV789" s="25" t="str">
        <f aca="false">HYPERLINK("http://www.worldcat.org/oclc/16832367","WorldCat Record")</f>
        <v>WorldCat Record</v>
      </c>
      <c r="AW789" s="6" t="s">
        <v>3609</v>
      </c>
      <c r="AX789" s="6" t="s">
        <v>3610</v>
      </c>
      <c r="AY789" s="6" t="s">
        <v>3611</v>
      </c>
      <c r="AZ789" s="6" t="s">
        <v>3611</v>
      </c>
      <c r="BA789" s="6" t="s">
        <v>3612</v>
      </c>
      <c r="BB789" s="6" t="s">
        <v>3613</v>
      </c>
      <c r="BC789" s="6" t="s">
        <v>3614</v>
      </c>
      <c r="BE789" s="15" t="s">
        <v>2145</v>
      </c>
      <c r="BF789" s="6" t="s">
        <v>3615</v>
      </c>
    </row>
    <row r="790" customFormat="false" ht="82.5" hidden="false" customHeight="false" outlineLevel="0" collapsed="false">
      <c r="A790" s="4" t="s">
        <v>63</v>
      </c>
      <c r="B790" s="5" t="s">
        <v>2129</v>
      </c>
      <c r="C790" s="5" t="s">
        <v>2130</v>
      </c>
      <c r="D790" s="5" t="s">
        <v>3616</v>
      </c>
      <c r="E790" s="5" t="s">
        <v>3617</v>
      </c>
      <c r="F790" s="5" t="s">
        <v>3618</v>
      </c>
      <c r="H790" s="6" t="s">
        <v>63</v>
      </c>
      <c r="I790" s="6" t="s">
        <v>62</v>
      </c>
      <c r="J790" s="6" t="s">
        <v>63</v>
      </c>
      <c r="K790" s="6" t="s">
        <v>63</v>
      </c>
      <c r="L790" s="6" t="s">
        <v>64</v>
      </c>
      <c r="M790" s="5" t="s">
        <v>3619</v>
      </c>
      <c r="N790" s="5" t="s">
        <v>3620</v>
      </c>
      <c r="O790" s="6" t="s">
        <v>3301</v>
      </c>
      <c r="Q790" s="6" t="s">
        <v>67</v>
      </c>
      <c r="R790" s="6" t="s">
        <v>68</v>
      </c>
      <c r="T790" s="6" t="s">
        <v>2137</v>
      </c>
      <c r="U790" s="7" t="n">
        <v>15</v>
      </c>
      <c r="V790" s="7" t="n">
        <v>15</v>
      </c>
      <c r="W790" s="8" t="s">
        <v>3621</v>
      </c>
      <c r="X790" s="8" t="s">
        <v>3621</v>
      </c>
      <c r="Y790" s="8" t="s">
        <v>3622</v>
      </c>
      <c r="Z790" s="8" t="s">
        <v>3622</v>
      </c>
      <c r="AA790" s="7" t="n">
        <v>292</v>
      </c>
      <c r="AB790" s="7" t="n">
        <v>281</v>
      </c>
      <c r="AC790" s="7" t="n">
        <v>289</v>
      </c>
      <c r="AD790" s="7" t="n">
        <v>1</v>
      </c>
      <c r="AE790" s="7" t="n">
        <v>1</v>
      </c>
      <c r="AF790" s="7" t="n">
        <v>2</v>
      </c>
      <c r="AG790" s="7" t="n">
        <v>2</v>
      </c>
      <c r="AH790" s="7" t="n">
        <v>0</v>
      </c>
      <c r="AI790" s="7" t="n">
        <v>0</v>
      </c>
      <c r="AJ790" s="7" t="n">
        <v>0</v>
      </c>
      <c r="AK790" s="7" t="n">
        <v>0</v>
      </c>
      <c r="AL790" s="7" t="n">
        <v>2</v>
      </c>
      <c r="AM790" s="7" t="n">
        <v>2</v>
      </c>
      <c r="AN790" s="7" t="n">
        <v>0</v>
      </c>
      <c r="AO790" s="7" t="n">
        <v>0</v>
      </c>
      <c r="AP790" s="7" t="n">
        <v>0</v>
      </c>
      <c r="AQ790" s="7" t="n">
        <v>0</v>
      </c>
      <c r="AR790" s="6" t="s">
        <v>63</v>
      </c>
      <c r="AS790" s="6" t="s">
        <v>63</v>
      </c>
      <c r="AU790" s="25" t="str">
        <f aca="false">HYPERLINK("https://creighton-primo.hosted.exlibrisgroup.com/primo-explore/search?tab=default_tab&amp;search_scope=EVERYTHING&amp;vid=01CRU&amp;lang=en_US&amp;offset=0&amp;query=any,contains,991005229389702656","Catalog Record")</f>
        <v>Catalog Record</v>
      </c>
      <c r="AV790" s="25" t="str">
        <f aca="false">HYPERLINK("http://www.worldcat.org/oclc/8306499","WorldCat Record")</f>
        <v>WorldCat Record</v>
      </c>
      <c r="AW790" s="6" t="s">
        <v>3623</v>
      </c>
      <c r="AX790" s="6" t="s">
        <v>3624</v>
      </c>
      <c r="AY790" s="6" t="s">
        <v>3625</v>
      </c>
      <c r="AZ790" s="6" t="s">
        <v>3625</v>
      </c>
      <c r="BA790" s="6" t="s">
        <v>3626</v>
      </c>
      <c r="BB790" s="6" t="s">
        <v>3627</v>
      </c>
      <c r="BC790" s="6" t="s">
        <v>3628</v>
      </c>
      <c r="BE790" s="15" t="s">
        <v>2145</v>
      </c>
      <c r="BF790" s="6" t="s">
        <v>3629</v>
      </c>
    </row>
    <row r="791" customFormat="false" ht="312.5" hidden="false" customHeight="false" outlineLevel="0" collapsed="false">
      <c r="A791" s="4" t="s">
        <v>63</v>
      </c>
      <c r="B791" s="5" t="s">
        <v>2129</v>
      </c>
      <c r="C791" s="5" t="s">
        <v>2130</v>
      </c>
      <c r="D791" s="5" t="s">
        <v>3630</v>
      </c>
      <c r="E791" s="5" t="s">
        <v>3631</v>
      </c>
      <c r="F791" s="5" t="s">
        <v>3632</v>
      </c>
      <c r="H791" s="6" t="s">
        <v>63</v>
      </c>
      <c r="I791" s="6" t="s">
        <v>62</v>
      </c>
      <c r="J791" s="6" t="s">
        <v>63</v>
      </c>
      <c r="K791" s="6" t="s">
        <v>63</v>
      </c>
      <c r="L791" s="6" t="s">
        <v>64</v>
      </c>
      <c r="M791" s="5" t="s">
        <v>3633</v>
      </c>
      <c r="N791" s="5" t="s">
        <v>3634</v>
      </c>
      <c r="O791" s="6" t="s">
        <v>3635</v>
      </c>
      <c r="Q791" s="6" t="s">
        <v>67</v>
      </c>
      <c r="R791" s="6" t="s">
        <v>123</v>
      </c>
      <c r="T791" s="6" t="s">
        <v>2137</v>
      </c>
      <c r="U791" s="7" t="n">
        <v>3</v>
      </c>
      <c r="V791" s="7" t="n">
        <v>3</v>
      </c>
      <c r="W791" s="8" t="s">
        <v>3636</v>
      </c>
      <c r="X791" s="8" t="s">
        <v>3636</v>
      </c>
      <c r="Y791" s="8" t="s">
        <v>2695</v>
      </c>
      <c r="Z791" s="8" t="s">
        <v>2695</v>
      </c>
      <c r="AA791" s="7" t="n">
        <v>86</v>
      </c>
      <c r="AB791" s="7" t="n">
        <v>78</v>
      </c>
      <c r="AC791" s="7" t="n">
        <v>84</v>
      </c>
      <c r="AD791" s="7" t="n">
        <v>2</v>
      </c>
      <c r="AE791" s="7" t="n">
        <v>2</v>
      </c>
      <c r="AF791" s="7" t="n">
        <v>5</v>
      </c>
      <c r="AG791" s="7" t="n">
        <v>5</v>
      </c>
      <c r="AH791" s="7" t="n">
        <v>1</v>
      </c>
      <c r="AI791" s="7" t="n">
        <v>1</v>
      </c>
      <c r="AJ791" s="7" t="n">
        <v>1</v>
      </c>
      <c r="AK791" s="7" t="n">
        <v>1</v>
      </c>
      <c r="AL791" s="7" t="n">
        <v>2</v>
      </c>
      <c r="AM791" s="7" t="n">
        <v>2</v>
      </c>
      <c r="AN791" s="7" t="n">
        <v>1</v>
      </c>
      <c r="AO791" s="7" t="n">
        <v>1</v>
      </c>
      <c r="AP791" s="7" t="n">
        <v>0</v>
      </c>
      <c r="AQ791" s="7" t="n">
        <v>0</v>
      </c>
      <c r="AR791" s="6" t="s">
        <v>63</v>
      </c>
      <c r="AS791" s="6" t="s">
        <v>57</v>
      </c>
      <c r="AT791" s="25" t="str">
        <f aca="false">HYPERLINK("http://catalog.hathitrust.org/Record/001390909","HathiTrust Record")</f>
        <v>HathiTrust Record</v>
      </c>
      <c r="AU791" s="25" t="str">
        <f aca="false">HYPERLINK("https://creighton-primo.hosted.exlibrisgroup.com/primo-explore/search?tab=default_tab&amp;search_scope=EVERYTHING&amp;vid=01CRU&amp;lang=en_US&amp;offset=0&amp;query=any,contains,991004417929702656","Catalog Record")</f>
        <v>Catalog Record</v>
      </c>
      <c r="AV791" s="25" t="str">
        <f aca="false">HYPERLINK("http://www.worldcat.org/oclc/3370935","WorldCat Record")</f>
        <v>WorldCat Record</v>
      </c>
      <c r="AW791" s="6" t="s">
        <v>3637</v>
      </c>
      <c r="AX791" s="6" t="s">
        <v>3638</v>
      </c>
      <c r="AY791" s="6" t="s">
        <v>3639</v>
      </c>
      <c r="AZ791" s="6" t="s">
        <v>3639</v>
      </c>
      <c r="BA791" s="6" t="s">
        <v>3640</v>
      </c>
      <c r="BC791" s="6" t="s">
        <v>3641</v>
      </c>
      <c r="BE791" s="15" t="s">
        <v>2145</v>
      </c>
      <c r="BF791" s="6" t="s">
        <v>3642</v>
      </c>
    </row>
    <row r="792" customFormat="false" ht="163" hidden="false" customHeight="false" outlineLevel="0" collapsed="false">
      <c r="A792" s="4" t="s">
        <v>63</v>
      </c>
      <c r="B792" s="5" t="s">
        <v>2129</v>
      </c>
      <c r="C792" s="5" t="s">
        <v>2130</v>
      </c>
      <c r="D792" s="5" t="s">
        <v>3643</v>
      </c>
      <c r="E792" s="5" t="s">
        <v>3644</v>
      </c>
      <c r="F792" s="5" t="s">
        <v>3645</v>
      </c>
      <c r="H792" s="6" t="s">
        <v>63</v>
      </c>
      <c r="I792" s="6" t="s">
        <v>62</v>
      </c>
      <c r="J792" s="6" t="s">
        <v>63</v>
      </c>
      <c r="K792" s="6" t="s">
        <v>63</v>
      </c>
      <c r="L792" s="6" t="s">
        <v>64</v>
      </c>
      <c r="M792" s="5" t="s">
        <v>3646</v>
      </c>
      <c r="N792" s="5" t="s">
        <v>3647</v>
      </c>
      <c r="O792" s="6" t="s">
        <v>3648</v>
      </c>
      <c r="Q792" s="6" t="s">
        <v>67</v>
      </c>
      <c r="R792" s="6" t="s">
        <v>68</v>
      </c>
      <c r="T792" s="6" t="s">
        <v>2137</v>
      </c>
      <c r="U792" s="7" t="n">
        <v>1</v>
      </c>
      <c r="V792" s="7" t="n">
        <v>1</v>
      </c>
      <c r="W792" s="8" t="s">
        <v>3649</v>
      </c>
      <c r="X792" s="8" t="s">
        <v>3649</v>
      </c>
      <c r="Y792" s="8" t="s">
        <v>2695</v>
      </c>
      <c r="Z792" s="8" t="s">
        <v>2695</v>
      </c>
      <c r="AA792" s="7" t="n">
        <v>92</v>
      </c>
      <c r="AB792" s="7" t="n">
        <v>92</v>
      </c>
      <c r="AC792" s="7" t="n">
        <v>101</v>
      </c>
      <c r="AD792" s="7" t="n">
        <v>3</v>
      </c>
      <c r="AE792" s="7" t="n">
        <v>3</v>
      </c>
      <c r="AF792" s="7" t="n">
        <v>3</v>
      </c>
      <c r="AG792" s="7" t="n">
        <v>3</v>
      </c>
      <c r="AH792" s="7" t="n">
        <v>1</v>
      </c>
      <c r="AI792" s="7" t="n">
        <v>1</v>
      </c>
      <c r="AJ792" s="7" t="n">
        <v>0</v>
      </c>
      <c r="AK792" s="7" t="n">
        <v>0</v>
      </c>
      <c r="AL792" s="7" t="n">
        <v>0</v>
      </c>
      <c r="AM792" s="7" t="n">
        <v>0</v>
      </c>
      <c r="AN792" s="7" t="n">
        <v>2</v>
      </c>
      <c r="AO792" s="7" t="n">
        <v>2</v>
      </c>
      <c r="AP792" s="7" t="n">
        <v>0</v>
      </c>
      <c r="AQ792" s="7" t="n">
        <v>0</v>
      </c>
      <c r="AR792" s="6" t="s">
        <v>57</v>
      </c>
      <c r="AS792" s="6" t="s">
        <v>63</v>
      </c>
      <c r="AT792" s="25" t="str">
        <f aca="false">HYPERLINK("http://catalog.hathitrust.org/Record/005794138","HathiTrust Record")</f>
        <v>HathiTrust Record</v>
      </c>
      <c r="AU792" s="25" t="str">
        <f aca="false">HYPERLINK("https://creighton-primo.hosted.exlibrisgroup.com/primo-explore/search?tab=default_tab&amp;search_scope=EVERYTHING&amp;vid=01CRU&amp;lang=en_US&amp;offset=0&amp;query=any,contains,991004052849702656","Catalog Record")</f>
        <v>Catalog Record</v>
      </c>
      <c r="AV792" s="25" t="str">
        <f aca="false">HYPERLINK("http://www.worldcat.org/oclc/2216889","WorldCat Record")</f>
        <v>WorldCat Record</v>
      </c>
      <c r="AW792" s="6" t="s">
        <v>3650</v>
      </c>
      <c r="AX792" s="6" t="s">
        <v>3651</v>
      </c>
      <c r="AY792" s="6" t="s">
        <v>3652</v>
      </c>
      <c r="AZ792" s="6" t="s">
        <v>3652</v>
      </c>
      <c r="BA792" s="6" t="s">
        <v>3653</v>
      </c>
      <c r="BC792" s="6" t="s">
        <v>3654</v>
      </c>
      <c r="BE792" s="15" t="s">
        <v>2145</v>
      </c>
      <c r="BF792" s="6" t="s">
        <v>3655</v>
      </c>
    </row>
    <row r="793" customFormat="false" ht="174.5" hidden="false" customHeight="false" outlineLevel="0" collapsed="false">
      <c r="A793" s="4" t="s">
        <v>63</v>
      </c>
      <c r="B793" s="5" t="s">
        <v>2129</v>
      </c>
      <c r="C793" s="5" t="s">
        <v>2130</v>
      </c>
      <c r="D793" s="5" t="s">
        <v>3656</v>
      </c>
      <c r="E793" s="5" t="s">
        <v>3657</v>
      </c>
      <c r="F793" s="5" t="s">
        <v>3658</v>
      </c>
      <c r="H793" s="6" t="s">
        <v>63</v>
      </c>
      <c r="I793" s="6" t="s">
        <v>62</v>
      </c>
      <c r="J793" s="6" t="s">
        <v>63</v>
      </c>
      <c r="K793" s="6" t="s">
        <v>63</v>
      </c>
      <c r="L793" s="6" t="s">
        <v>64</v>
      </c>
      <c r="M793" s="5" t="s">
        <v>3659</v>
      </c>
      <c r="N793" s="5" t="s">
        <v>3660</v>
      </c>
      <c r="O793" s="6" t="s">
        <v>3661</v>
      </c>
      <c r="Q793" s="6" t="s">
        <v>67</v>
      </c>
      <c r="R793" s="6" t="s">
        <v>68</v>
      </c>
      <c r="T793" s="6" t="s">
        <v>2137</v>
      </c>
      <c r="U793" s="7" t="n">
        <v>9</v>
      </c>
      <c r="V793" s="7" t="n">
        <v>9</v>
      </c>
      <c r="W793" s="8" t="s">
        <v>3649</v>
      </c>
      <c r="X793" s="8" t="s">
        <v>3649</v>
      </c>
      <c r="Y793" s="8" t="s">
        <v>3662</v>
      </c>
      <c r="Z793" s="8" t="s">
        <v>3662</v>
      </c>
      <c r="AA793" s="7" t="n">
        <v>35</v>
      </c>
      <c r="AB793" s="7" t="n">
        <v>33</v>
      </c>
      <c r="AC793" s="7" t="n">
        <v>363</v>
      </c>
      <c r="AD793" s="7" t="n">
        <v>1</v>
      </c>
      <c r="AE793" s="7" t="n">
        <v>2</v>
      </c>
      <c r="AF793" s="7" t="n">
        <v>2</v>
      </c>
      <c r="AG793" s="7" t="n">
        <v>9</v>
      </c>
      <c r="AH793" s="7" t="n">
        <v>1</v>
      </c>
      <c r="AI793" s="7" t="n">
        <v>4</v>
      </c>
      <c r="AJ793" s="7" t="n">
        <v>1</v>
      </c>
      <c r="AK793" s="7" t="n">
        <v>1</v>
      </c>
      <c r="AL793" s="7" t="n">
        <v>0</v>
      </c>
      <c r="AM793" s="7" t="n">
        <v>3</v>
      </c>
      <c r="AN793" s="7" t="n">
        <v>0</v>
      </c>
      <c r="AO793" s="7" t="n">
        <v>1</v>
      </c>
      <c r="AP793" s="7" t="n">
        <v>0</v>
      </c>
      <c r="AQ793" s="7" t="n">
        <v>0</v>
      </c>
      <c r="AR793" s="6" t="s">
        <v>63</v>
      </c>
      <c r="AS793" s="6" t="s">
        <v>63</v>
      </c>
      <c r="AU793" s="25" t="str">
        <f aca="false">HYPERLINK("https://creighton-primo.hosted.exlibrisgroup.com/primo-explore/search?tab=default_tab&amp;search_scope=EVERYTHING&amp;vid=01CRU&amp;lang=en_US&amp;offset=0&amp;query=any,contains,991005092049702656","Catalog Record")</f>
        <v>Catalog Record</v>
      </c>
      <c r="AV793" s="25" t="str">
        <f aca="false">HYPERLINK("http://www.worldcat.org/oclc/7235608","WorldCat Record")</f>
        <v>WorldCat Record</v>
      </c>
      <c r="AW793" s="6" t="s">
        <v>3663</v>
      </c>
      <c r="AX793" s="6" t="s">
        <v>3664</v>
      </c>
      <c r="AY793" s="6" t="s">
        <v>3665</v>
      </c>
      <c r="AZ793" s="6" t="s">
        <v>3665</v>
      </c>
      <c r="BA793" s="6" t="s">
        <v>3666</v>
      </c>
      <c r="BC793" s="6" t="s">
        <v>3667</v>
      </c>
      <c r="BE793" s="15" t="s">
        <v>2145</v>
      </c>
      <c r="BF793" s="6" t="s">
        <v>3668</v>
      </c>
    </row>
    <row r="794" customFormat="false" ht="163" hidden="false" customHeight="false" outlineLevel="0" collapsed="false">
      <c r="A794" s="4" t="s">
        <v>63</v>
      </c>
      <c r="B794" s="5" t="s">
        <v>2129</v>
      </c>
      <c r="C794" s="5" t="s">
        <v>2130</v>
      </c>
      <c r="D794" s="5" t="s">
        <v>3669</v>
      </c>
      <c r="E794" s="5" t="s">
        <v>3670</v>
      </c>
      <c r="F794" s="5" t="s">
        <v>3671</v>
      </c>
      <c r="H794" s="6" t="s">
        <v>63</v>
      </c>
      <c r="I794" s="6" t="s">
        <v>62</v>
      </c>
      <c r="J794" s="6" t="s">
        <v>63</v>
      </c>
      <c r="K794" s="6" t="s">
        <v>63</v>
      </c>
      <c r="L794" s="6" t="s">
        <v>64</v>
      </c>
      <c r="N794" s="5" t="s">
        <v>3672</v>
      </c>
      <c r="O794" s="6" t="s">
        <v>3513</v>
      </c>
      <c r="Q794" s="6" t="s">
        <v>67</v>
      </c>
      <c r="R794" s="6" t="s">
        <v>68</v>
      </c>
      <c r="T794" s="6" t="s">
        <v>2137</v>
      </c>
      <c r="U794" s="7" t="n">
        <v>5</v>
      </c>
      <c r="V794" s="7" t="n">
        <v>5</v>
      </c>
      <c r="W794" s="8" t="s">
        <v>3542</v>
      </c>
      <c r="X794" s="8" t="s">
        <v>3542</v>
      </c>
      <c r="Y794" s="8" t="s">
        <v>3673</v>
      </c>
      <c r="Z794" s="8" t="s">
        <v>3673</v>
      </c>
      <c r="AA794" s="7" t="n">
        <v>297</v>
      </c>
      <c r="AB794" s="7" t="n">
        <v>254</v>
      </c>
      <c r="AC794" s="7" t="n">
        <v>260</v>
      </c>
      <c r="AD794" s="7" t="n">
        <v>3</v>
      </c>
      <c r="AE794" s="7" t="n">
        <v>3</v>
      </c>
      <c r="AF794" s="7" t="n">
        <v>8</v>
      </c>
      <c r="AG794" s="7" t="n">
        <v>8</v>
      </c>
      <c r="AH794" s="7" t="n">
        <v>2</v>
      </c>
      <c r="AI794" s="7" t="n">
        <v>2</v>
      </c>
      <c r="AJ794" s="7" t="n">
        <v>2</v>
      </c>
      <c r="AK794" s="7" t="n">
        <v>2</v>
      </c>
      <c r="AL794" s="7" t="n">
        <v>3</v>
      </c>
      <c r="AM794" s="7" t="n">
        <v>3</v>
      </c>
      <c r="AN794" s="7" t="n">
        <v>2</v>
      </c>
      <c r="AO794" s="7" t="n">
        <v>2</v>
      </c>
      <c r="AP794" s="7" t="n">
        <v>0</v>
      </c>
      <c r="AQ794" s="7" t="n">
        <v>0</v>
      </c>
      <c r="AR794" s="6" t="s">
        <v>63</v>
      </c>
      <c r="AS794" s="6" t="s">
        <v>63</v>
      </c>
      <c r="AU794" s="25" t="str">
        <f aca="false">HYPERLINK("https://creighton-primo.hosted.exlibrisgroup.com/primo-explore/search?tab=default_tab&amp;search_scope=EVERYTHING&amp;vid=01CRU&amp;lang=en_US&amp;offset=0&amp;query=any,contains,991005002649702656","Catalog Record")</f>
        <v>Catalog Record</v>
      </c>
      <c r="AV794" s="25" t="str">
        <f aca="false">HYPERLINK("http://www.worldcat.org/oclc/6554688","WorldCat Record")</f>
        <v>WorldCat Record</v>
      </c>
      <c r="AW794" s="6" t="s">
        <v>3674</v>
      </c>
      <c r="AX794" s="6" t="s">
        <v>3675</v>
      </c>
      <c r="AY794" s="6" t="s">
        <v>3676</v>
      </c>
      <c r="AZ794" s="6" t="s">
        <v>3676</v>
      </c>
      <c r="BA794" s="6" t="s">
        <v>3677</v>
      </c>
      <c r="BC794" s="6" t="s">
        <v>3678</v>
      </c>
      <c r="BE794" s="15" t="s">
        <v>2145</v>
      </c>
      <c r="BF794" s="6" t="s">
        <v>3679</v>
      </c>
    </row>
    <row r="795" customFormat="false" ht="140" hidden="false" customHeight="false" outlineLevel="0" collapsed="false">
      <c r="A795" s="4" t="s">
        <v>63</v>
      </c>
      <c r="B795" s="5" t="s">
        <v>2129</v>
      </c>
      <c r="C795" s="5" t="s">
        <v>2130</v>
      </c>
      <c r="D795" s="5" t="s">
        <v>3680</v>
      </c>
      <c r="E795" s="5" t="s">
        <v>3681</v>
      </c>
      <c r="F795" s="5" t="s">
        <v>3682</v>
      </c>
      <c r="H795" s="6" t="s">
        <v>63</v>
      </c>
      <c r="I795" s="6" t="s">
        <v>62</v>
      </c>
      <c r="J795" s="6" t="s">
        <v>63</v>
      </c>
      <c r="K795" s="6" t="s">
        <v>63</v>
      </c>
      <c r="L795" s="6" t="s">
        <v>64</v>
      </c>
      <c r="M795" s="5" t="s">
        <v>3683</v>
      </c>
      <c r="N795" s="5" t="s">
        <v>3684</v>
      </c>
      <c r="O795" s="6" t="s">
        <v>152</v>
      </c>
      <c r="P795" s="5" t="s">
        <v>327</v>
      </c>
      <c r="Q795" s="6" t="s">
        <v>67</v>
      </c>
      <c r="R795" s="6" t="s">
        <v>68</v>
      </c>
      <c r="T795" s="6" t="s">
        <v>2137</v>
      </c>
      <c r="U795" s="7" t="n">
        <v>8</v>
      </c>
      <c r="V795" s="7" t="n">
        <v>8</v>
      </c>
      <c r="W795" s="8" t="s">
        <v>3649</v>
      </c>
      <c r="X795" s="8" t="s">
        <v>3649</v>
      </c>
      <c r="Y795" s="8" t="s">
        <v>3303</v>
      </c>
      <c r="Z795" s="8" t="s">
        <v>3303</v>
      </c>
      <c r="AA795" s="7" t="n">
        <v>1153</v>
      </c>
      <c r="AB795" s="7" t="n">
        <v>1124</v>
      </c>
      <c r="AC795" s="7" t="n">
        <v>1313</v>
      </c>
      <c r="AD795" s="7" t="n">
        <v>12</v>
      </c>
      <c r="AE795" s="7" t="n">
        <v>14</v>
      </c>
      <c r="AF795" s="7" t="n">
        <v>10</v>
      </c>
      <c r="AG795" s="7" t="n">
        <v>12</v>
      </c>
      <c r="AH795" s="7" t="n">
        <v>3</v>
      </c>
      <c r="AI795" s="7" t="n">
        <v>3</v>
      </c>
      <c r="AJ795" s="7" t="n">
        <v>0</v>
      </c>
      <c r="AK795" s="7" t="n">
        <v>0</v>
      </c>
      <c r="AL795" s="7" t="n">
        <v>2</v>
      </c>
      <c r="AM795" s="7" t="n">
        <v>3</v>
      </c>
      <c r="AN795" s="7" t="n">
        <v>4</v>
      </c>
      <c r="AO795" s="7" t="n">
        <v>5</v>
      </c>
      <c r="AP795" s="7" t="n">
        <v>1</v>
      </c>
      <c r="AQ795" s="7" t="n">
        <v>1</v>
      </c>
      <c r="AR795" s="6" t="s">
        <v>63</v>
      </c>
      <c r="AS795" s="6" t="s">
        <v>57</v>
      </c>
      <c r="AT795" s="25" t="str">
        <f aca="false">HYPERLINK("http://catalog.hathitrust.org/Record/006965432","HathiTrust Record")</f>
        <v>HathiTrust Record</v>
      </c>
      <c r="AU795" s="25" t="str">
        <f aca="false">HYPERLINK("https://creighton-primo.hosted.exlibrisgroup.com/primo-explore/search?tab=default_tab&amp;search_scope=EVERYTHING&amp;vid=01CRU&amp;lang=en_US&amp;offset=0&amp;query=any,contains,991000426479702656","Catalog Record")</f>
        <v>Catalog Record</v>
      </c>
      <c r="AV795" s="25" t="str">
        <f aca="false">HYPERLINK("http://www.worldcat.org/oclc/10753618","WorldCat Record")</f>
        <v>WorldCat Record</v>
      </c>
      <c r="AW795" s="6" t="s">
        <v>3685</v>
      </c>
      <c r="AX795" s="6" t="s">
        <v>3686</v>
      </c>
      <c r="AY795" s="6" t="s">
        <v>3687</v>
      </c>
      <c r="AZ795" s="6" t="s">
        <v>3687</v>
      </c>
      <c r="BA795" s="6" t="s">
        <v>3688</v>
      </c>
      <c r="BB795" s="6" t="s">
        <v>3689</v>
      </c>
      <c r="BC795" s="6" t="s">
        <v>3690</v>
      </c>
      <c r="BE795" s="15" t="s">
        <v>2145</v>
      </c>
      <c r="BF795" s="6" t="s">
        <v>3691</v>
      </c>
    </row>
    <row r="796" customFormat="false" ht="140" hidden="false" customHeight="false" outlineLevel="0" collapsed="false">
      <c r="A796" s="4" t="s">
        <v>63</v>
      </c>
      <c r="B796" s="5" t="s">
        <v>2129</v>
      </c>
      <c r="C796" s="5" t="s">
        <v>2130</v>
      </c>
      <c r="D796" s="5" t="s">
        <v>3692</v>
      </c>
      <c r="E796" s="5" t="s">
        <v>3693</v>
      </c>
      <c r="F796" s="5" t="s">
        <v>3694</v>
      </c>
      <c r="H796" s="6" t="s">
        <v>63</v>
      </c>
      <c r="I796" s="6" t="s">
        <v>62</v>
      </c>
      <c r="J796" s="6" t="s">
        <v>63</v>
      </c>
      <c r="K796" s="6" t="s">
        <v>63</v>
      </c>
      <c r="L796" s="6" t="s">
        <v>64</v>
      </c>
      <c r="M796" s="5" t="s">
        <v>3695</v>
      </c>
      <c r="N796" s="5" t="s">
        <v>3696</v>
      </c>
      <c r="O796" s="6" t="s">
        <v>3697</v>
      </c>
      <c r="P796" s="5" t="s">
        <v>3698</v>
      </c>
      <c r="Q796" s="6" t="s">
        <v>67</v>
      </c>
      <c r="R796" s="6" t="s">
        <v>1059</v>
      </c>
      <c r="T796" s="6" t="s">
        <v>2137</v>
      </c>
      <c r="U796" s="7" t="n">
        <v>11</v>
      </c>
      <c r="V796" s="7" t="n">
        <v>11</v>
      </c>
      <c r="W796" s="8" t="s">
        <v>3699</v>
      </c>
      <c r="X796" s="8" t="s">
        <v>3699</v>
      </c>
      <c r="Y796" s="8" t="s">
        <v>3700</v>
      </c>
      <c r="Z796" s="8" t="s">
        <v>3700</v>
      </c>
      <c r="AA796" s="7" t="n">
        <v>16</v>
      </c>
      <c r="AB796" s="7" t="n">
        <v>16</v>
      </c>
      <c r="AC796" s="7" t="n">
        <v>348</v>
      </c>
      <c r="AD796" s="7" t="n">
        <v>1</v>
      </c>
      <c r="AE796" s="7" t="n">
        <v>5</v>
      </c>
      <c r="AF796" s="7" t="n">
        <v>0</v>
      </c>
      <c r="AG796" s="7" t="n">
        <v>1</v>
      </c>
      <c r="AH796" s="7" t="n">
        <v>0</v>
      </c>
      <c r="AI796" s="7" t="n">
        <v>0</v>
      </c>
      <c r="AJ796" s="7" t="n">
        <v>0</v>
      </c>
      <c r="AK796" s="7" t="n">
        <v>0</v>
      </c>
      <c r="AL796" s="7" t="n">
        <v>0</v>
      </c>
      <c r="AM796" s="7" t="n">
        <v>0</v>
      </c>
      <c r="AN796" s="7" t="n">
        <v>0</v>
      </c>
      <c r="AO796" s="7" t="n">
        <v>1</v>
      </c>
      <c r="AP796" s="7" t="n">
        <v>0</v>
      </c>
      <c r="AQ796" s="7" t="n">
        <v>0</v>
      </c>
      <c r="AR796" s="6" t="s">
        <v>63</v>
      </c>
      <c r="AS796" s="6" t="s">
        <v>63</v>
      </c>
      <c r="AU796" s="25" t="str">
        <f aca="false">HYPERLINK("https://creighton-primo.hosted.exlibrisgroup.com/primo-explore/search?tab=default_tab&amp;search_scope=EVERYTHING&amp;vid=01CRU&amp;lang=en_US&amp;offset=0&amp;query=any,contains,991002797599702656","Catalog Record")</f>
        <v>Catalog Record</v>
      </c>
      <c r="AV796" s="25" t="str">
        <f aca="false">HYPERLINK("http://www.worldcat.org/oclc/36749780","WorldCat Record")</f>
        <v>WorldCat Record</v>
      </c>
      <c r="AW796" s="6" t="s">
        <v>3701</v>
      </c>
      <c r="AX796" s="6" t="s">
        <v>3702</v>
      </c>
      <c r="AY796" s="6" t="s">
        <v>3703</v>
      </c>
      <c r="AZ796" s="6" t="s">
        <v>3703</v>
      </c>
      <c r="BA796" s="6" t="s">
        <v>3704</v>
      </c>
      <c r="BB796" s="6" t="s">
        <v>3705</v>
      </c>
      <c r="BC796" s="6" t="s">
        <v>3706</v>
      </c>
      <c r="BE796" s="15" t="s">
        <v>2145</v>
      </c>
      <c r="BF796" s="6" t="s">
        <v>3707</v>
      </c>
    </row>
    <row r="797" customFormat="false" ht="128.5" hidden="false" customHeight="false" outlineLevel="0" collapsed="false">
      <c r="A797" s="4" t="s">
        <v>63</v>
      </c>
      <c r="B797" s="5" t="s">
        <v>2129</v>
      </c>
      <c r="C797" s="5" t="s">
        <v>2130</v>
      </c>
      <c r="D797" s="5" t="s">
        <v>3708</v>
      </c>
      <c r="E797" s="5" t="s">
        <v>3709</v>
      </c>
      <c r="F797" s="5" t="s">
        <v>3710</v>
      </c>
      <c r="H797" s="6" t="s">
        <v>63</v>
      </c>
      <c r="I797" s="6" t="s">
        <v>62</v>
      </c>
      <c r="J797" s="6" t="s">
        <v>63</v>
      </c>
      <c r="K797" s="6" t="s">
        <v>63</v>
      </c>
      <c r="L797" s="6" t="s">
        <v>64</v>
      </c>
      <c r="M797" s="5" t="s">
        <v>3711</v>
      </c>
      <c r="N797" s="5" t="s">
        <v>3712</v>
      </c>
      <c r="O797" s="6" t="s">
        <v>2811</v>
      </c>
      <c r="Q797" s="6" t="s">
        <v>67</v>
      </c>
      <c r="R797" s="6" t="s">
        <v>384</v>
      </c>
      <c r="S797" s="5" t="s">
        <v>3713</v>
      </c>
      <c r="T797" s="6" t="s">
        <v>2137</v>
      </c>
      <c r="U797" s="7" t="n">
        <v>1</v>
      </c>
      <c r="V797" s="7" t="n">
        <v>1</v>
      </c>
      <c r="W797" s="8" t="s">
        <v>3714</v>
      </c>
      <c r="X797" s="8" t="s">
        <v>3714</v>
      </c>
      <c r="Y797" s="8" t="s">
        <v>3715</v>
      </c>
      <c r="Z797" s="8" t="s">
        <v>3715</v>
      </c>
      <c r="AA797" s="7" t="n">
        <v>364</v>
      </c>
      <c r="AB797" s="7" t="n">
        <v>227</v>
      </c>
      <c r="AC797" s="7" t="n">
        <v>266</v>
      </c>
      <c r="AD797" s="7" t="n">
        <v>2</v>
      </c>
      <c r="AE797" s="7" t="n">
        <v>2</v>
      </c>
      <c r="AF797" s="7" t="n">
        <v>15</v>
      </c>
      <c r="AG797" s="7" t="n">
        <v>15</v>
      </c>
      <c r="AH797" s="7" t="n">
        <v>3</v>
      </c>
      <c r="AI797" s="7" t="n">
        <v>3</v>
      </c>
      <c r="AJ797" s="7" t="n">
        <v>5</v>
      </c>
      <c r="AK797" s="7" t="n">
        <v>5</v>
      </c>
      <c r="AL797" s="7" t="n">
        <v>13</v>
      </c>
      <c r="AM797" s="7" t="n">
        <v>13</v>
      </c>
      <c r="AN797" s="7" t="n">
        <v>0</v>
      </c>
      <c r="AO797" s="7" t="n">
        <v>0</v>
      </c>
      <c r="AP797" s="7" t="n">
        <v>0</v>
      </c>
      <c r="AQ797" s="7" t="n">
        <v>0</v>
      </c>
      <c r="AR797" s="6" t="s">
        <v>63</v>
      </c>
      <c r="AS797" s="6" t="s">
        <v>63</v>
      </c>
      <c r="AU797" s="25" t="str">
        <f aca="false">HYPERLINK("https://creighton-primo.hosted.exlibrisgroup.com/primo-explore/search?tab=default_tab&amp;search_scope=EVERYTHING&amp;vid=01CRU&amp;lang=en_US&amp;offset=0&amp;query=any,contains,991005149419702656","Catalog Record")</f>
        <v>Catalog Record</v>
      </c>
      <c r="AV797" s="25" t="str">
        <f aca="false">HYPERLINK("http://www.worldcat.org/oclc/379902","WorldCat Record")</f>
        <v>WorldCat Record</v>
      </c>
      <c r="AW797" s="6" t="s">
        <v>3716</v>
      </c>
      <c r="AX797" s="6" t="s">
        <v>3717</v>
      </c>
      <c r="AY797" s="6" t="s">
        <v>3718</v>
      </c>
      <c r="AZ797" s="6" t="s">
        <v>3718</v>
      </c>
      <c r="BA797" s="6" t="s">
        <v>3719</v>
      </c>
      <c r="BB797" s="6" t="s">
        <v>3720</v>
      </c>
      <c r="BC797" s="6" t="s">
        <v>3721</v>
      </c>
      <c r="BE797" s="15" t="s">
        <v>2145</v>
      </c>
      <c r="BF797" s="6" t="s">
        <v>3722</v>
      </c>
    </row>
    <row r="798" customFormat="false" ht="82.5" hidden="false" customHeight="false" outlineLevel="0" collapsed="false">
      <c r="A798" s="4" t="s">
        <v>57</v>
      </c>
      <c r="B798" s="5" t="s">
        <v>2129</v>
      </c>
      <c r="C798" s="5" t="s">
        <v>2130</v>
      </c>
      <c r="D798" s="5" t="s">
        <v>3723</v>
      </c>
      <c r="E798" s="5" t="s">
        <v>3724</v>
      </c>
      <c r="F798" s="5" t="s">
        <v>3725</v>
      </c>
      <c r="H798" s="6" t="s">
        <v>63</v>
      </c>
      <c r="I798" s="6" t="s">
        <v>62</v>
      </c>
      <c r="J798" s="6" t="s">
        <v>57</v>
      </c>
      <c r="K798" s="6" t="s">
        <v>63</v>
      </c>
      <c r="L798" s="6" t="s">
        <v>64</v>
      </c>
      <c r="N798" s="5" t="s">
        <v>3726</v>
      </c>
      <c r="O798" s="6" t="s">
        <v>2811</v>
      </c>
      <c r="Q798" s="6" t="s">
        <v>67</v>
      </c>
      <c r="R798" s="6" t="s">
        <v>68</v>
      </c>
      <c r="T798" s="6" t="s">
        <v>2137</v>
      </c>
      <c r="U798" s="7" t="n">
        <v>2</v>
      </c>
      <c r="V798" s="7" t="n">
        <v>2</v>
      </c>
      <c r="W798" s="8" t="s">
        <v>3727</v>
      </c>
      <c r="X798" s="8" t="s">
        <v>3727</v>
      </c>
      <c r="Y798" s="8" t="s">
        <v>3728</v>
      </c>
      <c r="Z798" s="8" t="s">
        <v>3729</v>
      </c>
      <c r="AA798" s="7" t="n">
        <v>250</v>
      </c>
      <c r="AB798" s="7" t="n">
        <v>232</v>
      </c>
      <c r="AC798" s="7" t="n">
        <v>264</v>
      </c>
      <c r="AD798" s="7" t="n">
        <v>6</v>
      </c>
      <c r="AE798" s="7" t="n">
        <v>6</v>
      </c>
      <c r="AF798" s="7" t="n">
        <v>17</v>
      </c>
      <c r="AG798" s="7" t="n">
        <v>19</v>
      </c>
      <c r="AH798" s="7" t="n">
        <v>4</v>
      </c>
      <c r="AI798" s="7" t="n">
        <v>5</v>
      </c>
      <c r="AJ798" s="7" t="n">
        <v>3</v>
      </c>
      <c r="AK798" s="7" t="n">
        <v>3</v>
      </c>
      <c r="AL798" s="7" t="n">
        <v>10</v>
      </c>
      <c r="AM798" s="7" t="n">
        <v>12</v>
      </c>
      <c r="AN798" s="7" t="n">
        <v>3</v>
      </c>
      <c r="AO798" s="7" t="n">
        <v>3</v>
      </c>
      <c r="AP798" s="7" t="n">
        <v>0</v>
      </c>
      <c r="AQ798" s="7" t="n">
        <v>0</v>
      </c>
      <c r="AR798" s="6" t="s">
        <v>63</v>
      </c>
      <c r="AS798" s="6" t="s">
        <v>63</v>
      </c>
      <c r="AU798" s="25" t="str">
        <f aca="false">HYPERLINK("https://creighton-primo.hosted.exlibrisgroup.com/primo-explore/search?tab=default_tab&amp;search_scope=EVERYTHING&amp;vid=01CRU&amp;lang=en_US&amp;offset=0&amp;query=any,contains,991001731519702656","Catalog Record")</f>
        <v>Catalog Record</v>
      </c>
      <c r="AV798" s="25" t="str">
        <f aca="false">HYPERLINK("http://www.worldcat.org/oclc/115673","WorldCat Record")</f>
        <v>WorldCat Record</v>
      </c>
      <c r="AW798" s="6" t="s">
        <v>3730</v>
      </c>
      <c r="AX798" s="6" t="s">
        <v>3731</v>
      </c>
      <c r="AY798" s="6" t="s">
        <v>3732</v>
      </c>
      <c r="AZ798" s="6" t="s">
        <v>3732</v>
      </c>
      <c r="BA798" s="6" t="s">
        <v>3733</v>
      </c>
      <c r="BB798" s="6" t="s">
        <v>3734</v>
      </c>
      <c r="BC798" s="6" t="s">
        <v>3735</v>
      </c>
      <c r="BE798" s="15" t="s">
        <v>2145</v>
      </c>
      <c r="BF798" s="6" t="s">
        <v>3736</v>
      </c>
    </row>
    <row r="799" customFormat="false" ht="174.5" hidden="false" customHeight="false" outlineLevel="0" collapsed="false">
      <c r="A799" s="4" t="s">
        <v>63</v>
      </c>
      <c r="B799" s="5" t="s">
        <v>2129</v>
      </c>
      <c r="C799" s="5" t="s">
        <v>2130</v>
      </c>
      <c r="D799" s="5" t="s">
        <v>3737</v>
      </c>
      <c r="E799" s="5" t="s">
        <v>3738</v>
      </c>
      <c r="F799" s="5" t="s">
        <v>3739</v>
      </c>
      <c r="H799" s="6" t="s">
        <v>63</v>
      </c>
      <c r="I799" s="6" t="s">
        <v>62</v>
      </c>
      <c r="J799" s="6" t="s">
        <v>63</v>
      </c>
      <c r="K799" s="6" t="s">
        <v>63</v>
      </c>
      <c r="L799" s="6" t="s">
        <v>64</v>
      </c>
      <c r="M799" s="5" t="s">
        <v>3740</v>
      </c>
      <c r="N799" s="5" t="s">
        <v>3741</v>
      </c>
      <c r="O799" s="6" t="s">
        <v>2665</v>
      </c>
      <c r="Q799" s="6" t="s">
        <v>67</v>
      </c>
      <c r="R799" s="6" t="s">
        <v>68</v>
      </c>
      <c r="T799" s="6" t="s">
        <v>2137</v>
      </c>
      <c r="U799" s="7" t="n">
        <v>3</v>
      </c>
      <c r="V799" s="7" t="n">
        <v>3</v>
      </c>
      <c r="W799" s="8" t="s">
        <v>3742</v>
      </c>
      <c r="X799" s="8" t="s">
        <v>3742</v>
      </c>
      <c r="Y799" s="8" t="s">
        <v>3743</v>
      </c>
      <c r="Z799" s="8" t="s">
        <v>3743</v>
      </c>
      <c r="AA799" s="7" t="n">
        <v>393</v>
      </c>
      <c r="AB799" s="7" t="n">
        <v>335</v>
      </c>
      <c r="AC799" s="7" t="n">
        <v>338</v>
      </c>
      <c r="AD799" s="7" t="n">
        <v>1</v>
      </c>
      <c r="AE799" s="7" t="n">
        <v>1</v>
      </c>
      <c r="AF799" s="7" t="n">
        <v>19</v>
      </c>
      <c r="AG799" s="7" t="n">
        <v>19</v>
      </c>
      <c r="AH799" s="7" t="n">
        <v>6</v>
      </c>
      <c r="AI799" s="7" t="n">
        <v>6</v>
      </c>
      <c r="AJ799" s="7" t="n">
        <v>6</v>
      </c>
      <c r="AK799" s="7" t="n">
        <v>6</v>
      </c>
      <c r="AL799" s="7" t="n">
        <v>13</v>
      </c>
      <c r="AM799" s="7" t="n">
        <v>13</v>
      </c>
      <c r="AN799" s="7" t="n">
        <v>0</v>
      </c>
      <c r="AO799" s="7" t="n">
        <v>0</v>
      </c>
      <c r="AP799" s="7" t="n">
        <v>0</v>
      </c>
      <c r="AQ799" s="7" t="n">
        <v>0</v>
      </c>
      <c r="AR799" s="6" t="s">
        <v>63</v>
      </c>
      <c r="AS799" s="6" t="s">
        <v>57</v>
      </c>
      <c r="AT799" s="25" t="str">
        <f aca="false">HYPERLINK("http://catalog.hathitrust.org/Record/001389556","HathiTrust Record")</f>
        <v>HathiTrust Record</v>
      </c>
      <c r="AU799" s="25" t="str">
        <f aca="false">HYPERLINK("https://creighton-primo.hosted.exlibrisgroup.com/primo-explore/search?tab=default_tab&amp;search_scope=EVERYTHING&amp;vid=01CRU&amp;lang=en_US&amp;offset=0&amp;query=any,contains,991002175309702656","Catalog Record")</f>
        <v>Catalog Record</v>
      </c>
      <c r="AV799" s="25" t="str">
        <f aca="false">HYPERLINK("http://www.worldcat.org/oclc/277929","WorldCat Record")</f>
        <v>WorldCat Record</v>
      </c>
      <c r="AW799" s="6" t="s">
        <v>3744</v>
      </c>
      <c r="AX799" s="6" t="s">
        <v>3745</v>
      </c>
      <c r="AY799" s="6" t="s">
        <v>3746</v>
      </c>
      <c r="AZ799" s="6" t="s">
        <v>3746</v>
      </c>
      <c r="BA799" s="6" t="s">
        <v>3747</v>
      </c>
      <c r="BC799" s="6" t="s">
        <v>3748</v>
      </c>
      <c r="BE799" s="15" t="s">
        <v>2145</v>
      </c>
      <c r="BF799" s="6" t="s">
        <v>3749</v>
      </c>
    </row>
    <row r="800" customFormat="false" ht="312.5" hidden="false" customHeight="false" outlineLevel="0" collapsed="false">
      <c r="A800" s="4" t="s">
        <v>63</v>
      </c>
      <c r="B800" s="5" t="s">
        <v>2129</v>
      </c>
      <c r="C800" s="5" t="s">
        <v>2130</v>
      </c>
      <c r="D800" s="5" t="s">
        <v>3750</v>
      </c>
      <c r="E800" s="5" t="s">
        <v>3751</v>
      </c>
      <c r="F800" s="5" t="s">
        <v>3752</v>
      </c>
      <c r="H800" s="6" t="s">
        <v>63</v>
      </c>
      <c r="I800" s="6" t="s">
        <v>62</v>
      </c>
      <c r="J800" s="6" t="s">
        <v>63</v>
      </c>
      <c r="K800" s="6" t="s">
        <v>63</v>
      </c>
      <c r="L800" s="6" t="s">
        <v>64</v>
      </c>
      <c r="M800" s="5" t="s">
        <v>3753</v>
      </c>
      <c r="N800" s="5" t="s">
        <v>3754</v>
      </c>
      <c r="O800" s="6" t="s">
        <v>122</v>
      </c>
      <c r="Q800" s="6" t="s">
        <v>67</v>
      </c>
      <c r="R800" s="6" t="s">
        <v>68</v>
      </c>
      <c r="S800" s="5" t="s">
        <v>3755</v>
      </c>
      <c r="T800" s="6" t="s">
        <v>2137</v>
      </c>
      <c r="U800" s="7" t="n">
        <v>1</v>
      </c>
      <c r="V800" s="7" t="n">
        <v>1</v>
      </c>
      <c r="W800" s="8" t="s">
        <v>3756</v>
      </c>
      <c r="X800" s="8" t="s">
        <v>3756</v>
      </c>
      <c r="Y800" s="8" t="s">
        <v>3757</v>
      </c>
      <c r="Z800" s="8" t="s">
        <v>3757</v>
      </c>
      <c r="AA800" s="7" t="n">
        <v>373</v>
      </c>
      <c r="AB800" s="7" t="n">
        <v>328</v>
      </c>
      <c r="AC800" s="7" t="n">
        <v>335</v>
      </c>
      <c r="AD800" s="7" t="n">
        <v>4</v>
      </c>
      <c r="AE800" s="7" t="n">
        <v>4</v>
      </c>
      <c r="AF800" s="7" t="n">
        <v>23</v>
      </c>
      <c r="AG800" s="7" t="n">
        <v>23</v>
      </c>
      <c r="AH800" s="7" t="n">
        <v>8</v>
      </c>
      <c r="AI800" s="7" t="n">
        <v>8</v>
      </c>
      <c r="AJ800" s="7" t="n">
        <v>3</v>
      </c>
      <c r="AK800" s="7" t="n">
        <v>3</v>
      </c>
      <c r="AL800" s="7" t="n">
        <v>19</v>
      </c>
      <c r="AM800" s="7" t="n">
        <v>19</v>
      </c>
      <c r="AN800" s="7" t="n">
        <v>1</v>
      </c>
      <c r="AO800" s="7" t="n">
        <v>1</v>
      </c>
      <c r="AP800" s="7" t="n">
        <v>0</v>
      </c>
      <c r="AQ800" s="7" t="n">
        <v>0</v>
      </c>
      <c r="AR800" s="6" t="s">
        <v>63</v>
      </c>
      <c r="AS800" s="6" t="s">
        <v>63</v>
      </c>
      <c r="AU800" s="25" t="str">
        <f aca="false">HYPERLINK("https://creighton-primo.hosted.exlibrisgroup.com/primo-explore/search?tab=default_tab&amp;search_scope=EVERYTHING&amp;vid=01CRU&amp;lang=en_US&amp;offset=0&amp;query=any,contains,991003357899702656","Catalog Record")</f>
        <v>Catalog Record</v>
      </c>
      <c r="AV800" s="25" t="str">
        <f aca="false">HYPERLINK("http://www.worldcat.org/oclc/892447","WorldCat Record")</f>
        <v>WorldCat Record</v>
      </c>
      <c r="AW800" s="6" t="s">
        <v>3758</v>
      </c>
      <c r="AX800" s="6" t="s">
        <v>3759</v>
      </c>
      <c r="AY800" s="6" t="s">
        <v>3760</v>
      </c>
      <c r="AZ800" s="6" t="s">
        <v>3760</v>
      </c>
      <c r="BA800" s="6" t="s">
        <v>3761</v>
      </c>
      <c r="BC800" s="6" t="s">
        <v>3762</v>
      </c>
      <c r="BE800" s="15" t="s">
        <v>2145</v>
      </c>
      <c r="BF800" s="6" t="s">
        <v>3763</v>
      </c>
    </row>
    <row r="801" customFormat="false" ht="82.5" hidden="false" customHeight="false" outlineLevel="0" collapsed="false">
      <c r="A801" s="4" t="s">
        <v>63</v>
      </c>
      <c r="B801" s="5" t="s">
        <v>2129</v>
      </c>
      <c r="C801" s="5" t="s">
        <v>2130</v>
      </c>
      <c r="D801" s="5" t="s">
        <v>3764</v>
      </c>
      <c r="E801" s="5" t="s">
        <v>3765</v>
      </c>
      <c r="F801" s="5" t="s">
        <v>3766</v>
      </c>
      <c r="H801" s="6" t="s">
        <v>63</v>
      </c>
      <c r="I801" s="6" t="s">
        <v>62</v>
      </c>
      <c r="J801" s="6" t="s">
        <v>63</v>
      </c>
      <c r="K801" s="6" t="s">
        <v>63</v>
      </c>
      <c r="L801" s="6" t="s">
        <v>64</v>
      </c>
      <c r="M801" s="5" t="s">
        <v>3767</v>
      </c>
      <c r="N801" s="5" t="s">
        <v>3768</v>
      </c>
      <c r="O801" s="6" t="s">
        <v>2797</v>
      </c>
      <c r="Q801" s="6" t="s">
        <v>67</v>
      </c>
      <c r="R801" s="6" t="s">
        <v>3769</v>
      </c>
      <c r="T801" s="6" t="s">
        <v>2137</v>
      </c>
      <c r="U801" s="7" t="n">
        <v>5</v>
      </c>
      <c r="V801" s="7" t="n">
        <v>5</v>
      </c>
      <c r="W801" s="8" t="s">
        <v>3770</v>
      </c>
      <c r="X801" s="8" t="s">
        <v>3770</v>
      </c>
      <c r="Y801" s="8" t="s">
        <v>3771</v>
      </c>
      <c r="Z801" s="8" t="s">
        <v>3771</v>
      </c>
      <c r="AA801" s="7" t="n">
        <v>781</v>
      </c>
      <c r="AB801" s="7" t="n">
        <v>624</v>
      </c>
      <c r="AC801" s="7" t="n">
        <v>635</v>
      </c>
      <c r="AD801" s="7" t="n">
        <v>4</v>
      </c>
      <c r="AE801" s="7" t="n">
        <v>4</v>
      </c>
      <c r="AF801" s="7" t="n">
        <v>35</v>
      </c>
      <c r="AG801" s="7" t="n">
        <v>35</v>
      </c>
      <c r="AH801" s="7" t="n">
        <v>13</v>
      </c>
      <c r="AI801" s="7" t="n">
        <v>13</v>
      </c>
      <c r="AJ801" s="7" t="n">
        <v>7</v>
      </c>
      <c r="AK801" s="7" t="n">
        <v>7</v>
      </c>
      <c r="AL801" s="7" t="n">
        <v>22</v>
      </c>
      <c r="AM801" s="7" t="n">
        <v>22</v>
      </c>
      <c r="AN801" s="7" t="n">
        <v>3</v>
      </c>
      <c r="AO801" s="7" t="n">
        <v>3</v>
      </c>
      <c r="AP801" s="7" t="n">
        <v>2</v>
      </c>
      <c r="AQ801" s="7" t="n">
        <v>2</v>
      </c>
      <c r="AR801" s="6" t="s">
        <v>63</v>
      </c>
      <c r="AS801" s="6" t="s">
        <v>63</v>
      </c>
      <c r="AU801" s="25" t="str">
        <f aca="false">HYPERLINK("https://creighton-primo.hosted.exlibrisgroup.com/primo-explore/search?tab=default_tab&amp;search_scope=EVERYTHING&amp;vid=01CRU&amp;lang=en_US&amp;offset=0&amp;query=any,contains,991000340689702656","Catalog Record")</f>
        <v>Catalog Record</v>
      </c>
      <c r="AV801" s="25" t="str">
        <f aca="false">HYPERLINK("http://www.worldcat.org/oclc/10265425","WorldCat Record")</f>
        <v>WorldCat Record</v>
      </c>
      <c r="AW801" s="6" t="s">
        <v>3772</v>
      </c>
      <c r="AX801" s="6" t="s">
        <v>3773</v>
      </c>
      <c r="AY801" s="6" t="s">
        <v>3774</v>
      </c>
      <c r="AZ801" s="6" t="s">
        <v>3774</v>
      </c>
      <c r="BA801" s="6" t="s">
        <v>3775</v>
      </c>
      <c r="BC801" s="6" t="s">
        <v>3776</v>
      </c>
      <c r="BE801" s="15" t="s">
        <v>2145</v>
      </c>
      <c r="BF801" s="6" t="s">
        <v>3777</v>
      </c>
    </row>
    <row r="802" customFormat="false" ht="117" hidden="false" customHeight="false" outlineLevel="0" collapsed="false">
      <c r="A802" s="4" t="s">
        <v>63</v>
      </c>
      <c r="B802" s="5" t="s">
        <v>2129</v>
      </c>
      <c r="C802" s="5" t="s">
        <v>2130</v>
      </c>
      <c r="D802" s="5" t="s">
        <v>3778</v>
      </c>
      <c r="E802" s="5" t="s">
        <v>3779</v>
      </c>
      <c r="F802" s="5" t="s">
        <v>3780</v>
      </c>
      <c r="H802" s="6" t="s">
        <v>63</v>
      </c>
      <c r="I802" s="6" t="s">
        <v>62</v>
      </c>
      <c r="J802" s="6" t="s">
        <v>63</v>
      </c>
      <c r="K802" s="6" t="s">
        <v>63</v>
      </c>
      <c r="L802" s="6" t="s">
        <v>64</v>
      </c>
      <c r="N802" s="5" t="s">
        <v>3781</v>
      </c>
      <c r="O802" s="6" t="s">
        <v>2411</v>
      </c>
      <c r="P802" s="5" t="s">
        <v>327</v>
      </c>
      <c r="Q802" s="6" t="s">
        <v>67</v>
      </c>
      <c r="R802" s="6" t="s">
        <v>3782</v>
      </c>
      <c r="S802" s="5" t="s">
        <v>3783</v>
      </c>
      <c r="T802" s="6" t="s">
        <v>2137</v>
      </c>
      <c r="U802" s="7" t="n">
        <v>1</v>
      </c>
      <c r="V802" s="7" t="n">
        <v>1</v>
      </c>
      <c r="W802" s="8" t="s">
        <v>2236</v>
      </c>
      <c r="X802" s="8" t="s">
        <v>2236</v>
      </c>
      <c r="Y802" s="8" t="s">
        <v>2236</v>
      </c>
      <c r="Z802" s="8" t="s">
        <v>2236</v>
      </c>
      <c r="AA802" s="7" t="n">
        <v>63</v>
      </c>
      <c r="AB802" s="7" t="n">
        <v>49</v>
      </c>
      <c r="AC802" s="7" t="n">
        <v>528</v>
      </c>
      <c r="AD802" s="7" t="n">
        <v>2</v>
      </c>
      <c r="AE802" s="7" t="n">
        <v>4</v>
      </c>
      <c r="AF802" s="7" t="n">
        <v>2</v>
      </c>
      <c r="AG802" s="7" t="n">
        <v>22</v>
      </c>
      <c r="AH802" s="7" t="n">
        <v>1</v>
      </c>
      <c r="AI802" s="7" t="n">
        <v>8</v>
      </c>
      <c r="AJ802" s="7" t="n">
        <v>0</v>
      </c>
      <c r="AK802" s="7" t="n">
        <v>5</v>
      </c>
      <c r="AL802" s="7" t="n">
        <v>0</v>
      </c>
      <c r="AM802" s="7" t="n">
        <v>12</v>
      </c>
      <c r="AN802" s="7" t="n">
        <v>1</v>
      </c>
      <c r="AO802" s="7" t="n">
        <v>3</v>
      </c>
      <c r="AP802" s="7" t="n">
        <v>0</v>
      </c>
      <c r="AQ802" s="7" t="n">
        <v>0</v>
      </c>
      <c r="AR802" s="6" t="s">
        <v>63</v>
      </c>
      <c r="AS802" s="6" t="s">
        <v>63</v>
      </c>
      <c r="AU802" s="25" t="str">
        <f aca="false">HYPERLINK("https://creighton-primo.hosted.exlibrisgroup.com/primo-explore/search?tab=default_tab&amp;search_scope=EVERYTHING&amp;vid=01CRU&amp;lang=en_US&amp;offset=0&amp;query=any,contains,991004400609702656","Catalog Record")</f>
        <v>Catalog Record</v>
      </c>
      <c r="AV802" s="25" t="str">
        <f aca="false">HYPERLINK("http://www.worldcat.org/oclc/31494585","WorldCat Record")</f>
        <v>WorldCat Record</v>
      </c>
      <c r="AW802" s="6" t="s">
        <v>3784</v>
      </c>
      <c r="AX802" s="6" t="s">
        <v>3785</v>
      </c>
      <c r="AY802" s="6" t="s">
        <v>3786</v>
      </c>
      <c r="AZ802" s="6" t="s">
        <v>3786</v>
      </c>
      <c r="BA802" s="6" t="s">
        <v>3787</v>
      </c>
      <c r="BB802" s="6" t="s">
        <v>3788</v>
      </c>
      <c r="BC802" s="6" t="s">
        <v>3789</v>
      </c>
      <c r="BE802" s="15" t="s">
        <v>2145</v>
      </c>
      <c r="BF802" s="6" t="s">
        <v>3790</v>
      </c>
    </row>
    <row r="803" customFormat="false" ht="151.5" hidden="false" customHeight="false" outlineLevel="0" collapsed="false">
      <c r="A803" s="4" t="s">
        <v>63</v>
      </c>
      <c r="B803" s="5" t="s">
        <v>2129</v>
      </c>
      <c r="C803" s="5" t="s">
        <v>2130</v>
      </c>
      <c r="D803" s="5" t="s">
        <v>3791</v>
      </c>
      <c r="E803" s="5" t="s">
        <v>3792</v>
      </c>
      <c r="F803" s="5" t="s">
        <v>3793</v>
      </c>
      <c r="H803" s="6" t="s">
        <v>63</v>
      </c>
      <c r="I803" s="6" t="s">
        <v>62</v>
      </c>
      <c r="J803" s="6" t="s">
        <v>63</v>
      </c>
      <c r="K803" s="6" t="s">
        <v>63</v>
      </c>
      <c r="L803" s="6" t="s">
        <v>64</v>
      </c>
      <c r="N803" s="5" t="s">
        <v>3794</v>
      </c>
      <c r="O803" s="6" t="s">
        <v>2262</v>
      </c>
      <c r="P803" s="5" t="s">
        <v>327</v>
      </c>
      <c r="Q803" s="6" t="s">
        <v>67</v>
      </c>
      <c r="R803" s="6" t="s">
        <v>401</v>
      </c>
      <c r="S803" s="5" t="s">
        <v>3795</v>
      </c>
      <c r="T803" s="6" t="s">
        <v>2137</v>
      </c>
      <c r="U803" s="7" t="n">
        <v>5</v>
      </c>
      <c r="V803" s="7" t="n">
        <v>5</v>
      </c>
      <c r="W803" s="8" t="s">
        <v>3796</v>
      </c>
      <c r="X803" s="8" t="s">
        <v>3796</v>
      </c>
      <c r="Y803" s="8" t="s">
        <v>3715</v>
      </c>
      <c r="Z803" s="8" t="s">
        <v>3715</v>
      </c>
      <c r="AA803" s="7" t="n">
        <v>785</v>
      </c>
      <c r="AB803" s="7" t="n">
        <v>644</v>
      </c>
      <c r="AC803" s="7" t="n">
        <v>678</v>
      </c>
      <c r="AD803" s="7" t="n">
        <v>5</v>
      </c>
      <c r="AE803" s="7" t="n">
        <v>5</v>
      </c>
      <c r="AF803" s="7" t="n">
        <v>35</v>
      </c>
      <c r="AG803" s="7" t="n">
        <v>37</v>
      </c>
      <c r="AH803" s="7" t="n">
        <v>14</v>
      </c>
      <c r="AI803" s="7" t="n">
        <v>15</v>
      </c>
      <c r="AJ803" s="7" t="n">
        <v>7</v>
      </c>
      <c r="AK803" s="7" t="n">
        <v>8</v>
      </c>
      <c r="AL803" s="7" t="n">
        <v>22</v>
      </c>
      <c r="AM803" s="7" t="n">
        <v>22</v>
      </c>
      <c r="AN803" s="7" t="n">
        <v>3</v>
      </c>
      <c r="AO803" s="7" t="n">
        <v>3</v>
      </c>
      <c r="AP803" s="7" t="n">
        <v>0</v>
      </c>
      <c r="AQ803" s="7" t="n">
        <v>0</v>
      </c>
      <c r="AR803" s="6" t="s">
        <v>63</v>
      </c>
      <c r="AS803" s="6" t="s">
        <v>57</v>
      </c>
      <c r="AT803" s="25" t="str">
        <f aca="false">HYPERLINK("http://catalog.hathitrust.org/Record/000821368","HathiTrust Record")</f>
        <v>HathiTrust Record</v>
      </c>
      <c r="AU803" s="25" t="str">
        <f aca="false">HYPERLINK("https://creighton-primo.hosted.exlibrisgroup.com/primo-explore/search?tab=default_tab&amp;search_scope=EVERYTHING&amp;vid=01CRU&amp;lang=en_US&amp;offset=0&amp;query=any,contains,991000809979702656","Catalog Record")</f>
        <v>Catalog Record</v>
      </c>
      <c r="AV803" s="25" t="str">
        <f aca="false">HYPERLINK("http://www.worldcat.org/oclc/13330594","WorldCat Record")</f>
        <v>WorldCat Record</v>
      </c>
      <c r="AW803" s="6" t="s">
        <v>3797</v>
      </c>
      <c r="AX803" s="6" t="s">
        <v>3798</v>
      </c>
      <c r="AY803" s="6" t="s">
        <v>3799</v>
      </c>
      <c r="AZ803" s="6" t="s">
        <v>3799</v>
      </c>
      <c r="BA803" s="6" t="s">
        <v>3800</v>
      </c>
      <c r="BB803" s="6" t="s">
        <v>3801</v>
      </c>
      <c r="BC803" s="6" t="s">
        <v>3802</v>
      </c>
      <c r="BE803" s="15" t="s">
        <v>2145</v>
      </c>
      <c r="BF803" s="6" t="s">
        <v>3803</v>
      </c>
    </row>
    <row r="804" customFormat="false" ht="94" hidden="false" customHeight="false" outlineLevel="0" collapsed="false">
      <c r="A804" s="4" t="s">
        <v>63</v>
      </c>
      <c r="B804" s="5" t="s">
        <v>2129</v>
      </c>
      <c r="C804" s="5" t="s">
        <v>2130</v>
      </c>
      <c r="D804" s="5" t="s">
        <v>3804</v>
      </c>
      <c r="E804" s="5" t="s">
        <v>3805</v>
      </c>
      <c r="F804" s="5" t="s">
        <v>3806</v>
      </c>
      <c r="H804" s="6" t="s">
        <v>63</v>
      </c>
      <c r="I804" s="6" t="s">
        <v>62</v>
      </c>
      <c r="J804" s="6" t="s">
        <v>63</v>
      </c>
      <c r="K804" s="6" t="s">
        <v>63</v>
      </c>
      <c r="L804" s="6" t="s">
        <v>64</v>
      </c>
      <c r="M804" s="5" t="s">
        <v>3807</v>
      </c>
      <c r="N804" s="5" t="s">
        <v>3808</v>
      </c>
      <c r="O804" s="6" t="s">
        <v>2665</v>
      </c>
      <c r="Q804" s="6" t="s">
        <v>67</v>
      </c>
      <c r="R804" s="6" t="s">
        <v>409</v>
      </c>
      <c r="T804" s="6" t="s">
        <v>2137</v>
      </c>
      <c r="U804" s="7" t="n">
        <v>4</v>
      </c>
      <c r="V804" s="7" t="n">
        <v>4</v>
      </c>
      <c r="W804" s="8" t="s">
        <v>3809</v>
      </c>
      <c r="X804" s="8" t="s">
        <v>3809</v>
      </c>
      <c r="Y804" s="8" t="s">
        <v>3810</v>
      </c>
      <c r="Z804" s="8" t="s">
        <v>3810</v>
      </c>
      <c r="AA804" s="7" t="n">
        <v>169</v>
      </c>
      <c r="AB804" s="7" t="n">
        <v>126</v>
      </c>
      <c r="AC804" s="7" t="n">
        <v>127</v>
      </c>
      <c r="AD804" s="7" t="n">
        <v>3</v>
      </c>
      <c r="AE804" s="7" t="n">
        <v>3</v>
      </c>
      <c r="AF804" s="7" t="n">
        <v>17</v>
      </c>
      <c r="AG804" s="7" t="n">
        <v>17</v>
      </c>
      <c r="AH804" s="7" t="n">
        <v>5</v>
      </c>
      <c r="AI804" s="7" t="n">
        <v>5</v>
      </c>
      <c r="AJ804" s="7" t="n">
        <v>5</v>
      </c>
      <c r="AK804" s="7" t="n">
        <v>5</v>
      </c>
      <c r="AL804" s="7" t="n">
        <v>11</v>
      </c>
      <c r="AM804" s="7" t="n">
        <v>11</v>
      </c>
      <c r="AN804" s="7" t="n">
        <v>1</v>
      </c>
      <c r="AO804" s="7" t="n">
        <v>1</v>
      </c>
      <c r="AP804" s="7" t="n">
        <v>0</v>
      </c>
      <c r="AQ804" s="7" t="n">
        <v>0</v>
      </c>
      <c r="AR804" s="6" t="s">
        <v>63</v>
      </c>
      <c r="AS804" s="6" t="s">
        <v>63</v>
      </c>
      <c r="AU804" s="25" t="str">
        <f aca="false">HYPERLINK("https://creighton-primo.hosted.exlibrisgroup.com/primo-explore/search?tab=default_tab&amp;search_scope=EVERYTHING&amp;vid=01CRU&amp;lang=en_US&amp;offset=0&amp;query=any,contains,991005215589702656","Catalog Record")</f>
        <v>Catalog Record</v>
      </c>
      <c r="AV804" s="25" t="str">
        <f aca="false">HYPERLINK("http://www.worldcat.org/oclc/8191313","WorldCat Record")</f>
        <v>WorldCat Record</v>
      </c>
      <c r="AW804" s="6" t="s">
        <v>3811</v>
      </c>
      <c r="AX804" s="6" t="s">
        <v>3812</v>
      </c>
      <c r="AY804" s="6" t="s">
        <v>3813</v>
      </c>
      <c r="AZ804" s="6" t="s">
        <v>3813</v>
      </c>
      <c r="BA804" s="6" t="s">
        <v>3814</v>
      </c>
      <c r="BB804" s="6" t="s">
        <v>3815</v>
      </c>
      <c r="BC804" s="6" t="s">
        <v>3816</v>
      </c>
      <c r="BE804" s="15" t="s">
        <v>2145</v>
      </c>
      <c r="BF804" s="6" t="s">
        <v>3817</v>
      </c>
    </row>
    <row r="805" customFormat="false" ht="163" hidden="false" customHeight="false" outlineLevel="0" collapsed="false">
      <c r="A805" s="4" t="s">
        <v>63</v>
      </c>
      <c r="B805" s="5" t="s">
        <v>2129</v>
      </c>
      <c r="C805" s="5" t="s">
        <v>2130</v>
      </c>
      <c r="D805" s="5" t="s">
        <v>3818</v>
      </c>
      <c r="E805" s="5" t="s">
        <v>3819</v>
      </c>
      <c r="F805" s="5" t="s">
        <v>3820</v>
      </c>
      <c r="H805" s="6" t="s">
        <v>63</v>
      </c>
      <c r="I805" s="6" t="s">
        <v>62</v>
      </c>
      <c r="J805" s="6" t="s">
        <v>63</v>
      </c>
      <c r="K805" s="6" t="s">
        <v>63</v>
      </c>
      <c r="L805" s="6" t="s">
        <v>64</v>
      </c>
      <c r="N805" s="5" t="s">
        <v>3821</v>
      </c>
      <c r="O805" s="6" t="s">
        <v>152</v>
      </c>
      <c r="Q805" s="6" t="s">
        <v>67</v>
      </c>
      <c r="R805" s="6" t="s">
        <v>68</v>
      </c>
      <c r="S805" s="5" t="s">
        <v>3822</v>
      </c>
      <c r="T805" s="6" t="s">
        <v>2137</v>
      </c>
      <c r="U805" s="7" t="n">
        <v>5</v>
      </c>
      <c r="V805" s="7" t="n">
        <v>5</v>
      </c>
      <c r="W805" s="8" t="s">
        <v>3823</v>
      </c>
      <c r="X805" s="8" t="s">
        <v>3823</v>
      </c>
      <c r="Y805" s="8" t="s">
        <v>3824</v>
      </c>
      <c r="Z805" s="8" t="s">
        <v>3824</v>
      </c>
      <c r="AA805" s="7" t="n">
        <v>504</v>
      </c>
      <c r="AB805" s="7" t="n">
        <v>403</v>
      </c>
      <c r="AC805" s="7" t="n">
        <v>420</v>
      </c>
      <c r="AD805" s="7" t="n">
        <v>3</v>
      </c>
      <c r="AE805" s="7" t="n">
        <v>3</v>
      </c>
      <c r="AF805" s="7" t="n">
        <v>26</v>
      </c>
      <c r="AG805" s="7" t="n">
        <v>27</v>
      </c>
      <c r="AH805" s="7" t="n">
        <v>10</v>
      </c>
      <c r="AI805" s="7" t="n">
        <v>11</v>
      </c>
      <c r="AJ805" s="7" t="n">
        <v>4</v>
      </c>
      <c r="AK805" s="7" t="n">
        <v>5</v>
      </c>
      <c r="AL805" s="7" t="n">
        <v>16</v>
      </c>
      <c r="AM805" s="7" t="n">
        <v>16</v>
      </c>
      <c r="AN805" s="7" t="n">
        <v>2</v>
      </c>
      <c r="AO805" s="7" t="n">
        <v>2</v>
      </c>
      <c r="AP805" s="7" t="n">
        <v>1</v>
      </c>
      <c r="AQ805" s="7" t="n">
        <v>1</v>
      </c>
      <c r="AR805" s="6" t="s">
        <v>63</v>
      </c>
      <c r="AS805" s="6" t="s">
        <v>57</v>
      </c>
      <c r="AT805" s="25" t="str">
        <f aca="false">HYPERLINK("http://catalog.hathitrust.org/Record/000125639","HathiTrust Record")</f>
        <v>HathiTrust Record</v>
      </c>
      <c r="AU805" s="25" t="str">
        <f aca="false">HYPERLINK("https://creighton-primo.hosted.exlibrisgroup.com/primo-explore/search?tab=default_tab&amp;search_scope=EVERYTHING&amp;vid=01CRU&amp;lang=en_US&amp;offset=0&amp;query=any,contains,991000376029702656","Catalog Record")</f>
        <v>Catalog Record</v>
      </c>
      <c r="AV805" s="25" t="str">
        <f aca="false">HYPERLINK("http://www.worldcat.org/oclc/10459122","WorldCat Record")</f>
        <v>WorldCat Record</v>
      </c>
      <c r="AW805" s="6" t="s">
        <v>3825</v>
      </c>
      <c r="AX805" s="6" t="s">
        <v>3826</v>
      </c>
      <c r="AY805" s="6" t="s">
        <v>3827</v>
      </c>
      <c r="AZ805" s="6" t="s">
        <v>3827</v>
      </c>
      <c r="BA805" s="6" t="s">
        <v>3828</v>
      </c>
      <c r="BB805" s="6" t="s">
        <v>3829</v>
      </c>
      <c r="BC805" s="6" t="s">
        <v>3830</v>
      </c>
      <c r="BE805" s="15" t="s">
        <v>2145</v>
      </c>
      <c r="BF805" s="6" t="s">
        <v>3831</v>
      </c>
    </row>
    <row r="806" customFormat="false" ht="71" hidden="false" customHeight="false" outlineLevel="0" collapsed="false">
      <c r="A806" s="4" t="s">
        <v>63</v>
      </c>
      <c r="B806" s="5" t="s">
        <v>2129</v>
      </c>
      <c r="C806" s="5" t="s">
        <v>2130</v>
      </c>
      <c r="D806" s="5" t="s">
        <v>3832</v>
      </c>
      <c r="E806" s="5" t="s">
        <v>3833</v>
      </c>
      <c r="F806" s="5" t="s">
        <v>3834</v>
      </c>
      <c r="H806" s="6" t="s">
        <v>63</v>
      </c>
      <c r="I806" s="6" t="s">
        <v>62</v>
      </c>
      <c r="J806" s="6" t="s">
        <v>63</v>
      </c>
      <c r="K806" s="6" t="s">
        <v>63</v>
      </c>
      <c r="L806" s="6" t="s">
        <v>64</v>
      </c>
      <c r="M806" s="5" t="s">
        <v>3835</v>
      </c>
      <c r="N806" s="5" t="s">
        <v>3836</v>
      </c>
      <c r="O806" s="6" t="s">
        <v>2426</v>
      </c>
      <c r="Q806" s="6" t="s">
        <v>67</v>
      </c>
      <c r="R806" s="6" t="s">
        <v>68</v>
      </c>
      <c r="T806" s="6" t="s">
        <v>2137</v>
      </c>
      <c r="U806" s="7" t="n">
        <v>2</v>
      </c>
      <c r="V806" s="7" t="n">
        <v>2</v>
      </c>
      <c r="W806" s="8" t="s">
        <v>3837</v>
      </c>
      <c r="X806" s="8" t="s">
        <v>3837</v>
      </c>
      <c r="Y806" s="8" t="s">
        <v>2139</v>
      </c>
      <c r="Z806" s="8" t="s">
        <v>2139</v>
      </c>
      <c r="AA806" s="7" t="n">
        <v>810</v>
      </c>
      <c r="AB806" s="7" t="n">
        <v>668</v>
      </c>
      <c r="AC806" s="7" t="n">
        <v>673</v>
      </c>
      <c r="AD806" s="7" t="n">
        <v>8</v>
      </c>
      <c r="AE806" s="7" t="n">
        <v>8</v>
      </c>
      <c r="AF806" s="7" t="n">
        <v>32</v>
      </c>
      <c r="AG806" s="7" t="n">
        <v>32</v>
      </c>
      <c r="AH806" s="7" t="n">
        <v>10</v>
      </c>
      <c r="AI806" s="7" t="n">
        <v>10</v>
      </c>
      <c r="AJ806" s="7" t="n">
        <v>9</v>
      </c>
      <c r="AK806" s="7" t="n">
        <v>9</v>
      </c>
      <c r="AL806" s="7" t="n">
        <v>17</v>
      </c>
      <c r="AM806" s="7" t="n">
        <v>17</v>
      </c>
      <c r="AN806" s="7" t="n">
        <v>5</v>
      </c>
      <c r="AO806" s="7" t="n">
        <v>5</v>
      </c>
      <c r="AP806" s="7" t="n">
        <v>1</v>
      </c>
      <c r="AQ806" s="7" t="n">
        <v>1</v>
      </c>
      <c r="AR806" s="6" t="s">
        <v>63</v>
      </c>
      <c r="AS806" s="6" t="s">
        <v>63</v>
      </c>
      <c r="AU806" s="25" t="str">
        <f aca="false">HYPERLINK("https://creighton-primo.hosted.exlibrisgroup.com/primo-explore/search?tab=default_tab&amp;search_scope=EVERYTHING&amp;vid=01CRU&amp;lang=en_US&amp;offset=0&amp;query=any,contains,991003410079702656","Catalog Record")</f>
        <v>Catalog Record</v>
      </c>
      <c r="AV806" s="25" t="str">
        <f aca="false">HYPERLINK("http://www.worldcat.org/oclc/948226","WorldCat Record")</f>
        <v>WorldCat Record</v>
      </c>
      <c r="AW806" s="6" t="s">
        <v>3838</v>
      </c>
      <c r="AX806" s="6" t="s">
        <v>3839</v>
      </c>
      <c r="AY806" s="6" t="s">
        <v>3840</v>
      </c>
      <c r="AZ806" s="6" t="s">
        <v>3840</v>
      </c>
      <c r="BA806" s="6" t="s">
        <v>3841</v>
      </c>
      <c r="BB806" s="6" t="s">
        <v>3842</v>
      </c>
      <c r="BC806" s="6" t="s">
        <v>3843</v>
      </c>
      <c r="BE806" s="15" t="s">
        <v>2145</v>
      </c>
      <c r="BF806" s="6" t="s">
        <v>3844</v>
      </c>
    </row>
    <row r="807" customFormat="false" ht="117" hidden="false" customHeight="false" outlineLevel="0" collapsed="false">
      <c r="A807" s="4" t="s">
        <v>57</v>
      </c>
      <c r="B807" s="5" t="s">
        <v>2129</v>
      </c>
      <c r="C807" s="5" t="s">
        <v>2130</v>
      </c>
      <c r="D807" s="5" t="s">
        <v>3845</v>
      </c>
      <c r="E807" s="5" t="s">
        <v>3846</v>
      </c>
      <c r="F807" s="5" t="s">
        <v>3847</v>
      </c>
      <c r="H807" s="6" t="s">
        <v>63</v>
      </c>
      <c r="I807" s="6" t="s">
        <v>62</v>
      </c>
      <c r="J807" s="6" t="s">
        <v>63</v>
      </c>
      <c r="K807" s="6" t="s">
        <v>63</v>
      </c>
      <c r="L807" s="6" t="s">
        <v>64</v>
      </c>
      <c r="M807" s="5" t="s">
        <v>3848</v>
      </c>
      <c r="N807" s="5" t="s">
        <v>3849</v>
      </c>
      <c r="O807" s="6" t="s">
        <v>3248</v>
      </c>
      <c r="Q807" s="6" t="s">
        <v>67</v>
      </c>
      <c r="R807" s="6" t="s">
        <v>384</v>
      </c>
      <c r="S807" s="5" t="s">
        <v>3850</v>
      </c>
      <c r="T807" s="6" t="s">
        <v>2137</v>
      </c>
      <c r="U807" s="7" t="n">
        <v>3</v>
      </c>
      <c r="V807" s="7" t="n">
        <v>3</v>
      </c>
      <c r="W807" s="8" t="s">
        <v>3851</v>
      </c>
      <c r="X807" s="8" t="s">
        <v>3851</v>
      </c>
      <c r="Y807" s="8" t="s">
        <v>3852</v>
      </c>
      <c r="Z807" s="8" t="s">
        <v>3852</v>
      </c>
      <c r="AA807" s="7" t="n">
        <v>457</v>
      </c>
      <c r="AB807" s="7" t="n">
        <v>309</v>
      </c>
      <c r="AC807" s="7" t="n">
        <v>324</v>
      </c>
      <c r="AD807" s="7" t="n">
        <v>1</v>
      </c>
      <c r="AE807" s="7" t="n">
        <v>1</v>
      </c>
      <c r="AF807" s="7" t="n">
        <v>22</v>
      </c>
      <c r="AG807" s="7" t="n">
        <v>22</v>
      </c>
      <c r="AH807" s="7" t="n">
        <v>8</v>
      </c>
      <c r="AI807" s="7" t="n">
        <v>8</v>
      </c>
      <c r="AJ807" s="7" t="n">
        <v>8</v>
      </c>
      <c r="AK807" s="7" t="n">
        <v>8</v>
      </c>
      <c r="AL807" s="7" t="n">
        <v>14</v>
      </c>
      <c r="AM807" s="7" t="n">
        <v>14</v>
      </c>
      <c r="AN807" s="7" t="n">
        <v>0</v>
      </c>
      <c r="AO807" s="7" t="n">
        <v>0</v>
      </c>
      <c r="AP807" s="7" t="n">
        <v>0</v>
      </c>
      <c r="AQ807" s="7" t="n">
        <v>0</v>
      </c>
      <c r="AR807" s="6" t="s">
        <v>63</v>
      </c>
      <c r="AS807" s="6" t="s">
        <v>63</v>
      </c>
      <c r="AU807" s="25" t="str">
        <f aca="false">HYPERLINK("https://creighton-primo.hosted.exlibrisgroup.com/primo-explore/search?tab=default_tab&amp;search_scope=EVERYTHING&amp;vid=01CRU&amp;lang=en_US&amp;offset=0&amp;query=any,contains,991002537359702656","Catalog Record")</f>
        <v>Catalog Record</v>
      </c>
      <c r="AV807" s="25" t="str">
        <f aca="false">HYPERLINK("http://www.worldcat.org/oclc/32969871","WorldCat Record")</f>
        <v>WorldCat Record</v>
      </c>
      <c r="AW807" s="6" t="s">
        <v>3853</v>
      </c>
      <c r="AX807" s="6" t="s">
        <v>3854</v>
      </c>
      <c r="AY807" s="6" t="s">
        <v>3855</v>
      </c>
      <c r="AZ807" s="6" t="s">
        <v>3855</v>
      </c>
      <c r="BA807" s="6" t="s">
        <v>3856</v>
      </c>
      <c r="BB807" s="6" t="s">
        <v>3857</v>
      </c>
      <c r="BC807" s="6" t="s">
        <v>3858</v>
      </c>
      <c r="BE807" s="15" t="s">
        <v>2145</v>
      </c>
      <c r="BF807" s="6" t="s">
        <v>3859</v>
      </c>
    </row>
    <row r="808" customFormat="false" ht="186" hidden="false" customHeight="false" outlineLevel="0" collapsed="false">
      <c r="A808" s="4" t="s">
        <v>63</v>
      </c>
      <c r="B808" s="5" t="s">
        <v>2129</v>
      </c>
      <c r="C808" s="5" t="s">
        <v>2130</v>
      </c>
      <c r="D808" s="5" t="s">
        <v>3860</v>
      </c>
      <c r="E808" s="5" t="s">
        <v>3861</v>
      </c>
      <c r="F808" s="5" t="s">
        <v>3862</v>
      </c>
      <c r="H808" s="6" t="s">
        <v>63</v>
      </c>
      <c r="I808" s="6" t="s">
        <v>62</v>
      </c>
      <c r="J808" s="6" t="s">
        <v>63</v>
      </c>
      <c r="K808" s="6" t="s">
        <v>63</v>
      </c>
      <c r="L808" s="6" t="s">
        <v>64</v>
      </c>
      <c r="M808" s="5" t="s">
        <v>3863</v>
      </c>
      <c r="N808" s="5" t="s">
        <v>3864</v>
      </c>
      <c r="O808" s="6" t="s">
        <v>208</v>
      </c>
      <c r="Q808" s="6" t="s">
        <v>67</v>
      </c>
      <c r="R808" s="6" t="s">
        <v>1224</v>
      </c>
      <c r="T808" s="6" t="s">
        <v>2137</v>
      </c>
      <c r="U808" s="7" t="n">
        <v>4</v>
      </c>
      <c r="V808" s="7" t="n">
        <v>4</v>
      </c>
      <c r="W808" s="8" t="s">
        <v>3865</v>
      </c>
      <c r="X808" s="8" t="s">
        <v>3865</v>
      </c>
      <c r="Y808" s="8" t="s">
        <v>3866</v>
      </c>
      <c r="Z808" s="8" t="s">
        <v>3866</v>
      </c>
      <c r="AA808" s="7" t="n">
        <v>160</v>
      </c>
      <c r="AB808" s="7" t="n">
        <v>115</v>
      </c>
      <c r="AC808" s="7" t="n">
        <v>121</v>
      </c>
      <c r="AD808" s="7" t="n">
        <v>3</v>
      </c>
      <c r="AE808" s="7" t="n">
        <v>3</v>
      </c>
      <c r="AF808" s="7" t="n">
        <v>9</v>
      </c>
      <c r="AG808" s="7" t="n">
        <v>10</v>
      </c>
      <c r="AH808" s="7" t="n">
        <v>0</v>
      </c>
      <c r="AI808" s="7" t="n">
        <v>0</v>
      </c>
      <c r="AJ808" s="7" t="n">
        <v>1</v>
      </c>
      <c r="AK808" s="7" t="n">
        <v>2</v>
      </c>
      <c r="AL808" s="7" t="n">
        <v>8</v>
      </c>
      <c r="AM808" s="7" t="n">
        <v>8</v>
      </c>
      <c r="AN808" s="7" t="n">
        <v>1</v>
      </c>
      <c r="AO808" s="7" t="n">
        <v>1</v>
      </c>
      <c r="AP808" s="7" t="n">
        <v>0</v>
      </c>
      <c r="AQ808" s="7" t="n">
        <v>0</v>
      </c>
      <c r="AR808" s="6" t="s">
        <v>63</v>
      </c>
      <c r="AS808" s="6" t="s">
        <v>57</v>
      </c>
      <c r="AT808" s="25" t="str">
        <f aca="false">HYPERLINK("http://catalog.hathitrust.org/Record/000858668","HathiTrust Record")</f>
        <v>HathiTrust Record</v>
      </c>
      <c r="AU808" s="25" t="str">
        <f aca="false">HYPERLINK("https://creighton-primo.hosted.exlibrisgroup.com/primo-explore/search?tab=default_tab&amp;search_scope=EVERYTHING&amp;vid=01CRU&amp;lang=en_US&amp;offset=0&amp;query=any,contains,991001036909702656","Catalog Record")</f>
        <v>Catalog Record</v>
      </c>
      <c r="AV808" s="25" t="str">
        <f aca="false">HYPERLINK("http://www.worldcat.org/oclc/15549698","WorldCat Record")</f>
        <v>WorldCat Record</v>
      </c>
      <c r="AW808" s="6" t="s">
        <v>3867</v>
      </c>
      <c r="AX808" s="6" t="s">
        <v>3868</v>
      </c>
      <c r="AY808" s="6" t="s">
        <v>3869</v>
      </c>
      <c r="AZ808" s="6" t="s">
        <v>3869</v>
      </c>
      <c r="BA808" s="6" t="s">
        <v>3870</v>
      </c>
      <c r="BB808" s="6" t="s">
        <v>3871</v>
      </c>
      <c r="BC808" s="6" t="s">
        <v>3872</v>
      </c>
      <c r="BE808" s="15" t="s">
        <v>2145</v>
      </c>
      <c r="BF808" s="6" t="s">
        <v>3873</v>
      </c>
    </row>
    <row r="809" customFormat="false" ht="151.5" hidden="false" customHeight="false" outlineLevel="0" collapsed="false">
      <c r="A809" s="4" t="s">
        <v>63</v>
      </c>
      <c r="B809" s="5" t="s">
        <v>2129</v>
      </c>
      <c r="C809" s="5" t="s">
        <v>2130</v>
      </c>
      <c r="D809" s="5" t="s">
        <v>3874</v>
      </c>
      <c r="E809" s="5" t="s">
        <v>3875</v>
      </c>
      <c r="F809" s="5" t="s">
        <v>3876</v>
      </c>
      <c r="H809" s="6" t="s">
        <v>63</v>
      </c>
      <c r="I809" s="6" t="s">
        <v>62</v>
      </c>
      <c r="J809" s="6" t="s">
        <v>63</v>
      </c>
      <c r="K809" s="6" t="s">
        <v>63</v>
      </c>
      <c r="L809" s="6" t="s">
        <v>64</v>
      </c>
      <c r="N809" s="5" t="s">
        <v>3877</v>
      </c>
      <c r="O809" s="6" t="s">
        <v>2262</v>
      </c>
      <c r="Q809" s="6" t="s">
        <v>67</v>
      </c>
      <c r="R809" s="6" t="s">
        <v>384</v>
      </c>
      <c r="T809" s="6" t="s">
        <v>2137</v>
      </c>
      <c r="U809" s="7" t="n">
        <v>3</v>
      </c>
      <c r="V809" s="7" t="n">
        <v>3</v>
      </c>
      <c r="W809" s="8" t="s">
        <v>3878</v>
      </c>
      <c r="X809" s="8" t="s">
        <v>3878</v>
      </c>
      <c r="Y809" s="8" t="s">
        <v>3715</v>
      </c>
      <c r="Z809" s="8" t="s">
        <v>3715</v>
      </c>
      <c r="AA809" s="7" t="n">
        <v>471</v>
      </c>
      <c r="AB809" s="7" t="n">
        <v>326</v>
      </c>
      <c r="AC809" s="7" t="n">
        <v>348</v>
      </c>
      <c r="AD809" s="7" t="n">
        <v>2</v>
      </c>
      <c r="AE809" s="7" t="n">
        <v>2</v>
      </c>
      <c r="AF809" s="7" t="n">
        <v>15</v>
      </c>
      <c r="AG809" s="7" t="n">
        <v>15</v>
      </c>
      <c r="AH809" s="7" t="n">
        <v>4</v>
      </c>
      <c r="AI809" s="7" t="n">
        <v>4</v>
      </c>
      <c r="AJ809" s="7" t="n">
        <v>4</v>
      </c>
      <c r="AK809" s="7" t="n">
        <v>4</v>
      </c>
      <c r="AL809" s="7" t="n">
        <v>10</v>
      </c>
      <c r="AM809" s="7" t="n">
        <v>10</v>
      </c>
      <c r="AN809" s="7" t="n">
        <v>1</v>
      </c>
      <c r="AO809" s="7" t="n">
        <v>1</v>
      </c>
      <c r="AP809" s="7" t="n">
        <v>1</v>
      </c>
      <c r="AQ809" s="7" t="n">
        <v>1</v>
      </c>
      <c r="AR809" s="6" t="s">
        <v>63</v>
      </c>
      <c r="AS809" s="6" t="s">
        <v>57</v>
      </c>
      <c r="AT809" s="25" t="str">
        <f aca="false">HYPERLINK("http://catalog.hathitrust.org/Record/000632763","HathiTrust Record")</f>
        <v>HathiTrust Record</v>
      </c>
      <c r="AU809" s="25" t="str">
        <f aca="false">HYPERLINK("https://creighton-primo.hosted.exlibrisgroup.com/primo-explore/search?tab=default_tab&amp;search_scope=EVERYTHING&amp;vid=01CRU&amp;lang=en_US&amp;offset=0&amp;query=any,contains,991000731099702656","Catalog Record")</f>
        <v>Catalog Record</v>
      </c>
      <c r="AV809" s="25" t="str">
        <f aca="false">HYPERLINK("http://www.worldcat.org/oclc/12724455","WorldCat Record")</f>
        <v>WorldCat Record</v>
      </c>
      <c r="AW809" s="6" t="s">
        <v>3879</v>
      </c>
      <c r="AX809" s="6" t="s">
        <v>3880</v>
      </c>
      <c r="AY809" s="6" t="s">
        <v>3881</v>
      </c>
      <c r="AZ809" s="6" t="s">
        <v>3881</v>
      </c>
      <c r="BA809" s="6" t="s">
        <v>3882</v>
      </c>
      <c r="BB809" s="6" t="s">
        <v>3883</v>
      </c>
      <c r="BC809" s="6" t="s">
        <v>3884</v>
      </c>
      <c r="BE809" s="15" t="s">
        <v>2145</v>
      </c>
      <c r="BF809" s="6" t="s">
        <v>3885</v>
      </c>
    </row>
    <row r="810" customFormat="false" ht="117" hidden="false" customHeight="false" outlineLevel="0" collapsed="false">
      <c r="A810" s="4" t="s">
        <v>63</v>
      </c>
      <c r="B810" s="5" t="s">
        <v>2129</v>
      </c>
      <c r="C810" s="5" t="s">
        <v>2130</v>
      </c>
      <c r="D810" s="5" t="s">
        <v>3886</v>
      </c>
      <c r="E810" s="5" t="s">
        <v>3887</v>
      </c>
      <c r="F810" s="5" t="s">
        <v>3888</v>
      </c>
      <c r="H810" s="6" t="s">
        <v>63</v>
      </c>
      <c r="I810" s="6" t="s">
        <v>62</v>
      </c>
      <c r="J810" s="6" t="s">
        <v>63</v>
      </c>
      <c r="K810" s="6" t="s">
        <v>63</v>
      </c>
      <c r="L810" s="6" t="s">
        <v>64</v>
      </c>
      <c r="M810" s="5" t="s">
        <v>3889</v>
      </c>
      <c r="N810" s="5" t="s">
        <v>3890</v>
      </c>
      <c r="O810" s="6" t="s">
        <v>66</v>
      </c>
      <c r="Q810" s="6" t="s">
        <v>67</v>
      </c>
      <c r="R810" s="6" t="s">
        <v>1108</v>
      </c>
      <c r="S810" s="5" t="s">
        <v>3891</v>
      </c>
      <c r="T810" s="6" t="s">
        <v>2137</v>
      </c>
      <c r="U810" s="7" t="n">
        <v>1</v>
      </c>
      <c r="V810" s="7" t="n">
        <v>1</v>
      </c>
      <c r="W810" s="8" t="s">
        <v>3892</v>
      </c>
      <c r="X810" s="8" t="s">
        <v>3892</v>
      </c>
      <c r="Y810" s="8" t="s">
        <v>3892</v>
      </c>
      <c r="Z810" s="8" t="s">
        <v>3892</v>
      </c>
      <c r="AA810" s="7" t="n">
        <v>152</v>
      </c>
      <c r="AB810" s="7" t="n">
        <v>131</v>
      </c>
      <c r="AC810" s="7" t="n">
        <v>132</v>
      </c>
      <c r="AD810" s="7" t="n">
        <v>1</v>
      </c>
      <c r="AE810" s="7" t="n">
        <v>1</v>
      </c>
      <c r="AF810" s="7" t="n">
        <v>10</v>
      </c>
      <c r="AG810" s="7" t="n">
        <v>10</v>
      </c>
      <c r="AH810" s="7" t="n">
        <v>2</v>
      </c>
      <c r="AI810" s="7" t="n">
        <v>2</v>
      </c>
      <c r="AJ810" s="7" t="n">
        <v>4</v>
      </c>
      <c r="AK810" s="7" t="n">
        <v>4</v>
      </c>
      <c r="AL810" s="7" t="n">
        <v>8</v>
      </c>
      <c r="AM810" s="7" t="n">
        <v>8</v>
      </c>
      <c r="AN810" s="7" t="n">
        <v>0</v>
      </c>
      <c r="AO810" s="7" t="n">
        <v>0</v>
      </c>
      <c r="AP810" s="7" t="n">
        <v>0</v>
      </c>
      <c r="AQ810" s="7" t="n">
        <v>0</v>
      </c>
      <c r="AR810" s="6" t="s">
        <v>63</v>
      </c>
      <c r="AS810" s="6" t="s">
        <v>63</v>
      </c>
      <c r="AU810" s="25" t="str">
        <f aca="false">HYPERLINK("https://creighton-primo.hosted.exlibrisgroup.com/primo-explore/search?tab=default_tab&amp;search_scope=EVERYTHING&amp;vid=01CRU&amp;lang=en_US&amp;offset=0&amp;query=any,contains,991004671989702656","Catalog Record")</f>
        <v>Catalog Record</v>
      </c>
      <c r="AV810" s="25" t="str">
        <f aca="false">HYPERLINK("http://www.worldcat.org/oclc/25708222","WorldCat Record")</f>
        <v>WorldCat Record</v>
      </c>
      <c r="AW810" s="6" t="s">
        <v>3893</v>
      </c>
      <c r="AX810" s="6" t="s">
        <v>3894</v>
      </c>
      <c r="AY810" s="6" t="s">
        <v>3895</v>
      </c>
      <c r="AZ810" s="6" t="s">
        <v>3895</v>
      </c>
      <c r="BA810" s="6" t="s">
        <v>3896</v>
      </c>
      <c r="BB810" s="6" t="s">
        <v>3897</v>
      </c>
      <c r="BC810" s="6" t="s">
        <v>3898</v>
      </c>
      <c r="BE810" s="15" t="s">
        <v>2145</v>
      </c>
      <c r="BF810" s="6" t="s">
        <v>3899</v>
      </c>
    </row>
    <row r="811" customFormat="false" ht="59.5" hidden="false" customHeight="false" outlineLevel="0" collapsed="false">
      <c r="A811" s="4" t="s">
        <v>63</v>
      </c>
      <c r="B811" s="5" t="s">
        <v>2129</v>
      </c>
      <c r="C811" s="5" t="s">
        <v>2130</v>
      </c>
      <c r="D811" s="5" t="s">
        <v>3900</v>
      </c>
      <c r="E811" s="5" t="s">
        <v>3901</v>
      </c>
      <c r="F811" s="5" t="s">
        <v>3902</v>
      </c>
      <c r="H811" s="6" t="s">
        <v>63</v>
      </c>
      <c r="I811" s="6" t="s">
        <v>62</v>
      </c>
      <c r="J811" s="6" t="s">
        <v>63</v>
      </c>
      <c r="K811" s="6" t="s">
        <v>63</v>
      </c>
      <c r="L811" s="6" t="s">
        <v>64</v>
      </c>
      <c r="M811" s="5" t="s">
        <v>3903</v>
      </c>
      <c r="N811" s="5" t="s">
        <v>3904</v>
      </c>
      <c r="O811" s="6" t="s">
        <v>246</v>
      </c>
      <c r="Q811" s="6" t="s">
        <v>67</v>
      </c>
      <c r="R811" s="6" t="s">
        <v>1059</v>
      </c>
      <c r="T811" s="6" t="s">
        <v>2137</v>
      </c>
      <c r="U811" s="7" t="n">
        <v>3</v>
      </c>
      <c r="V811" s="7" t="n">
        <v>3</v>
      </c>
      <c r="W811" s="8" t="s">
        <v>3905</v>
      </c>
      <c r="X811" s="8" t="s">
        <v>3905</v>
      </c>
      <c r="Y811" s="8" t="s">
        <v>3906</v>
      </c>
      <c r="Z811" s="8" t="s">
        <v>3906</v>
      </c>
      <c r="AA811" s="7" t="n">
        <v>515</v>
      </c>
      <c r="AB811" s="7" t="n">
        <v>473</v>
      </c>
      <c r="AC811" s="7" t="n">
        <v>479</v>
      </c>
      <c r="AD811" s="7" t="n">
        <v>2</v>
      </c>
      <c r="AE811" s="7" t="n">
        <v>2</v>
      </c>
      <c r="AF811" s="7" t="n">
        <v>23</v>
      </c>
      <c r="AG811" s="7" t="n">
        <v>23</v>
      </c>
      <c r="AH811" s="7" t="n">
        <v>6</v>
      </c>
      <c r="AI811" s="7" t="n">
        <v>6</v>
      </c>
      <c r="AJ811" s="7" t="n">
        <v>5</v>
      </c>
      <c r="AK811" s="7" t="n">
        <v>5</v>
      </c>
      <c r="AL811" s="7" t="n">
        <v>14</v>
      </c>
      <c r="AM811" s="7" t="n">
        <v>14</v>
      </c>
      <c r="AN811" s="7" t="n">
        <v>1</v>
      </c>
      <c r="AO811" s="7" t="n">
        <v>1</v>
      </c>
      <c r="AP811" s="7" t="n">
        <v>2</v>
      </c>
      <c r="AQ811" s="7" t="n">
        <v>2</v>
      </c>
      <c r="AR811" s="6" t="s">
        <v>63</v>
      </c>
      <c r="AS811" s="6" t="s">
        <v>57</v>
      </c>
      <c r="AT811" s="25" t="str">
        <f aca="false">HYPERLINK("http://catalog.hathitrust.org/Record/000031574","HathiTrust Record")</f>
        <v>HathiTrust Record</v>
      </c>
      <c r="AU811" s="25" t="str">
        <f aca="false">HYPERLINK("https://creighton-primo.hosted.exlibrisgroup.com/primo-explore/search?tab=default_tab&amp;search_scope=EVERYTHING&amp;vid=01CRU&amp;lang=en_US&amp;offset=0&amp;query=any,contains,991004694259702656","Catalog Record")</f>
        <v>Catalog Record</v>
      </c>
      <c r="AV811" s="25" t="str">
        <f aca="false">HYPERLINK("http://www.worldcat.org/oclc/4638274","WorldCat Record")</f>
        <v>WorldCat Record</v>
      </c>
      <c r="AW811" s="6" t="s">
        <v>3907</v>
      </c>
      <c r="AX811" s="6" t="s">
        <v>3908</v>
      </c>
      <c r="AY811" s="6" t="s">
        <v>3909</v>
      </c>
      <c r="AZ811" s="6" t="s">
        <v>3909</v>
      </c>
      <c r="BA811" s="6" t="s">
        <v>3910</v>
      </c>
      <c r="BB811" s="6" t="s">
        <v>3911</v>
      </c>
      <c r="BC811" s="6" t="s">
        <v>3912</v>
      </c>
      <c r="BE811" s="15" t="s">
        <v>2145</v>
      </c>
      <c r="BF811" s="6" t="s">
        <v>3913</v>
      </c>
    </row>
    <row r="812" customFormat="false" ht="105.5" hidden="false" customHeight="false" outlineLevel="0" collapsed="false">
      <c r="A812" s="4" t="s">
        <v>63</v>
      </c>
      <c r="B812" s="5" t="s">
        <v>2129</v>
      </c>
      <c r="C812" s="5" t="s">
        <v>2130</v>
      </c>
      <c r="D812" s="5" t="s">
        <v>3914</v>
      </c>
      <c r="E812" s="5" t="s">
        <v>3915</v>
      </c>
      <c r="F812" s="5" t="s">
        <v>3916</v>
      </c>
      <c r="H812" s="6" t="s">
        <v>63</v>
      </c>
      <c r="I812" s="6" t="s">
        <v>62</v>
      </c>
      <c r="J812" s="6" t="s">
        <v>63</v>
      </c>
      <c r="K812" s="6" t="s">
        <v>63</v>
      </c>
      <c r="L812" s="6" t="s">
        <v>64</v>
      </c>
      <c r="M812" s="5" t="s">
        <v>3917</v>
      </c>
      <c r="N812" s="5" t="s">
        <v>3918</v>
      </c>
      <c r="O812" s="6" t="s">
        <v>3919</v>
      </c>
      <c r="Q812" s="6" t="s">
        <v>67</v>
      </c>
      <c r="R812" s="6" t="s">
        <v>1108</v>
      </c>
      <c r="S812" s="5" t="s">
        <v>3920</v>
      </c>
      <c r="T812" s="6" t="s">
        <v>2137</v>
      </c>
      <c r="U812" s="7" t="n">
        <v>7</v>
      </c>
      <c r="V812" s="7" t="n">
        <v>7</v>
      </c>
      <c r="W812" s="8" t="s">
        <v>3921</v>
      </c>
      <c r="X812" s="8" t="s">
        <v>3921</v>
      </c>
      <c r="Y812" s="8" t="s">
        <v>3922</v>
      </c>
      <c r="Z812" s="8" t="s">
        <v>3922</v>
      </c>
      <c r="AA812" s="7" t="n">
        <v>963</v>
      </c>
      <c r="AB812" s="7" t="n">
        <v>802</v>
      </c>
      <c r="AC812" s="7" t="n">
        <v>812</v>
      </c>
      <c r="AD812" s="7" t="n">
        <v>4</v>
      </c>
      <c r="AE812" s="7" t="n">
        <v>4</v>
      </c>
      <c r="AF812" s="7" t="n">
        <v>31</v>
      </c>
      <c r="AG812" s="7" t="n">
        <v>31</v>
      </c>
      <c r="AH812" s="7" t="n">
        <v>12</v>
      </c>
      <c r="AI812" s="7" t="n">
        <v>12</v>
      </c>
      <c r="AJ812" s="7" t="n">
        <v>8</v>
      </c>
      <c r="AK812" s="7" t="n">
        <v>8</v>
      </c>
      <c r="AL812" s="7" t="n">
        <v>15</v>
      </c>
      <c r="AM812" s="7" t="n">
        <v>15</v>
      </c>
      <c r="AN812" s="7" t="n">
        <v>3</v>
      </c>
      <c r="AO812" s="7" t="n">
        <v>3</v>
      </c>
      <c r="AP812" s="7" t="n">
        <v>0</v>
      </c>
      <c r="AQ812" s="7" t="n">
        <v>0</v>
      </c>
      <c r="AR812" s="6" t="s">
        <v>57</v>
      </c>
      <c r="AS812" s="6" t="s">
        <v>63</v>
      </c>
      <c r="AT812" s="25" t="str">
        <f aca="false">HYPERLINK("http://catalog.hathitrust.org/Record/001389572","HathiTrust Record")</f>
        <v>HathiTrust Record</v>
      </c>
      <c r="AU812" s="25" t="str">
        <f aca="false">HYPERLINK("https://creighton-primo.hosted.exlibrisgroup.com/primo-explore/search?tab=default_tab&amp;search_scope=EVERYTHING&amp;vid=01CRU&amp;lang=en_US&amp;offset=0&amp;query=any,contains,991003175599702656","Catalog Record")</f>
        <v>Catalog Record</v>
      </c>
      <c r="AV812" s="25" t="str">
        <f aca="false">HYPERLINK("http://www.worldcat.org/oclc/710678","WorldCat Record")</f>
        <v>WorldCat Record</v>
      </c>
      <c r="AW812" s="6" t="s">
        <v>3923</v>
      </c>
      <c r="AX812" s="6" t="s">
        <v>3924</v>
      </c>
      <c r="AY812" s="6" t="s">
        <v>3925</v>
      </c>
      <c r="AZ812" s="6" t="s">
        <v>3925</v>
      </c>
      <c r="BA812" s="6" t="s">
        <v>3926</v>
      </c>
      <c r="BC812" s="6" t="s">
        <v>3927</v>
      </c>
      <c r="BE812" s="15" t="s">
        <v>2145</v>
      </c>
      <c r="BF812" s="6" t="s">
        <v>3928</v>
      </c>
    </row>
    <row r="813" customFormat="false" ht="232" hidden="false" customHeight="false" outlineLevel="0" collapsed="false">
      <c r="A813" s="4" t="s">
        <v>63</v>
      </c>
      <c r="B813" s="5" t="s">
        <v>2129</v>
      </c>
      <c r="C813" s="5" t="s">
        <v>2130</v>
      </c>
      <c r="D813" s="5" t="s">
        <v>3929</v>
      </c>
      <c r="E813" s="5" t="s">
        <v>3930</v>
      </c>
      <c r="F813" s="5" t="s">
        <v>3931</v>
      </c>
      <c r="H813" s="6" t="s">
        <v>63</v>
      </c>
      <c r="I813" s="6" t="s">
        <v>62</v>
      </c>
      <c r="J813" s="6" t="s">
        <v>63</v>
      </c>
      <c r="K813" s="6" t="s">
        <v>63</v>
      </c>
      <c r="L813" s="6" t="s">
        <v>64</v>
      </c>
      <c r="M813" s="5" t="s">
        <v>3932</v>
      </c>
      <c r="N813" s="5" t="s">
        <v>3933</v>
      </c>
      <c r="O813" s="6" t="s">
        <v>3934</v>
      </c>
      <c r="Q813" s="6" t="s">
        <v>67</v>
      </c>
      <c r="R813" s="6" t="s">
        <v>802</v>
      </c>
      <c r="S813" s="5" t="s">
        <v>3935</v>
      </c>
      <c r="T813" s="6" t="s">
        <v>2137</v>
      </c>
      <c r="U813" s="7" t="n">
        <v>1</v>
      </c>
      <c r="V813" s="7" t="n">
        <v>1</v>
      </c>
      <c r="W813" s="8" t="s">
        <v>3936</v>
      </c>
      <c r="X813" s="8" t="s">
        <v>3936</v>
      </c>
      <c r="Y813" s="8" t="s">
        <v>3937</v>
      </c>
      <c r="Z813" s="8" t="s">
        <v>3937</v>
      </c>
      <c r="AA813" s="7" t="n">
        <v>66</v>
      </c>
      <c r="AB813" s="7" t="n">
        <v>49</v>
      </c>
      <c r="AC813" s="7" t="n">
        <v>49</v>
      </c>
      <c r="AD813" s="7" t="n">
        <v>2</v>
      </c>
      <c r="AE813" s="7" t="n">
        <v>2</v>
      </c>
      <c r="AF813" s="7" t="n">
        <v>5</v>
      </c>
      <c r="AG813" s="7" t="n">
        <v>5</v>
      </c>
      <c r="AH813" s="7" t="n">
        <v>0</v>
      </c>
      <c r="AI813" s="7" t="n">
        <v>0</v>
      </c>
      <c r="AJ813" s="7" t="n">
        <v>2</v>
      </c>
      <c r="AK813" s="7" t="n">
        <v>2</v>
      </c>
      <c r="AL813" s="7" t="n">
        <v>2</v>
      </c>
      <c r="AM813" s="7" t="n">
        <v>2</v>
      </c>
      <c r="AN813" s="7" t="n">
        <v>1</v>
      </c>
      <c r="AO813" s="7" t="n">
        <v>1</v>
      </c>
      <c r="AP813" s="7" t="n">
        <v>0</v>
      </c>
      <c r="AQ813" s="7" t="n">
        <v>0</v>
      </c>
      <c r="AR813" s="6" t="s">
        <v>63</v>
      </c>
      <c r="AS813" s="6" t="s">
        <v>63</v>
      </c>
      <c r="AU813" s="25" t="str">
        <f aca="false">HYPERLINK("https://creighton-primo.hosted.exlibrisgroup.com/primo-explore/search?tab=default_tab&amp;search_scope=EVERYTHING&amp;vid=01CRU&amp;lang=en_US&amp;offset=0&amp;query=any,contains,991002639939702656","Catalog Record")</f>
        <v>Catalog Record</v>
      </c>
      <c r="AV813" s="25" t="str">
        <f aca="false">HYPERLINK("http://www.worldcat.org/oclc/34563740","WorldCat Record")</f>
        <v>WorldCat Record</v>
      </c>
      <c r="AW813" s="6" t="s">
        <v>3938</v>
      </c>
      <c r="AX813" s="6" t="s">
        <v>3939</v>
      </c>
      <c r="AY813" s="6" t="s">
        <v>3940</v>
      </c>
      <c r="AZ813" s="6" t="s">
        <v>3940</v>
      </c>
      <c r="BA813" s="6" t="s">
        <v>3941</v>
      </c>
      <c r="BB813" s="6" t="s">
        <v>3942</v>
      </c>
      <c r="BC813" s="6" t="s">
        <v>3943</v>
      </c>
      <c r="BE813" s="15" t="s">
        <v>2145</v>
      </c>
      <c r="BF813" s="6" t="s">
        <v>3944</v>
      </c>
    </row>
    <row r="814" customFormat="false" ht="82.5" hidden="false" customHeight="false" outlineLevel="0" collapsed="false">
      <c r="A814" s="4" t="s">
        <v>63</v>
      </c>
      <c r="B814" s="5" t="s">
        <v>2129</v>
      </c>
      <c r="C814" s="5" t="s">
        <v>2130</v>
      </c>
      <c r="D814" s="5" t="s">
        <v>3945</v>
      </c>
      <c r="E814" s="5" t="s">
        <v>3946</v>
      </c>
      <c r="F814" s="5" t="s">
        <v>3947</v>
      </c>
      <c r="H814" s="6" t="s">
        <v>63</v>
      </c>
      <c r="I814" s="6" t="s">
        <v>62</v>
      </c>
      <c r="J814" s="6" t="s">
        <v>63</v>
      </c>
      <c r="K814" s="6" t="s">
        <v>63</v>
      </c>
      <c r="L814" s="6" t="s">
        <v>64</v>
      </c>
      <c r="M814" s="5" t="s">
        <v>3948</v>
      </c>
      <c r="N814" s="5" t="s">
        <v>3949</v>
      </c>
      <c r="O814" s="6" t="s">
        <v>2329</v>
      </c>
      <c r="Q814" s="6" t="s">
        <v>67</v>
      </c>
      <c r="R814" s="6" t="s">
        <v>500</v>
      </c>
      <c r="T814" s="6" t="s">
        <v>2137</v>
      </c>
      <c r="U814" s="7" t="n">
        <v>3</v>
      </c>
      <c r="V814" s="7" t="n">
        <v>3</v>
      </c>
      <c r="W814" s="8" t="s">
        <v>3950</v>
      </c>
      <c r="X814" s="8" t="s">
        <v>3950</v>
      </c>
      <c r="Y814" s="8" t="s">
        <v>3743</v>
      </c>
      <c r="Z814" s="8" t="s">
        <v>3743</v>
      </c>
      <c r="AA814" s="7" t="n">
        <v>996</v>
      </c>
      <c r="AB814" s="7" t="n">
        <v>896</v>
      </c>
      <c r="AC814" s="7" t="n">
        <v>1001</v>
      </c>
      <c r="AD814" s="7" t="n">
        <v>6</v>
      </c>
      <c r="AE814" s="7" t="n">
        <v>6</v>
      </c>
      <c r="AF814" s="7" t="n">
        <v>50</v>
      </c>
      <c r="AG814" s="7" t="n">
        <v>53</v>
      </c>
      <c r="AH814" s="7" t="n">
        <v>22</v>
      </c>
      <c r="AI814" s="7" t="n">
        <v>24</v>
      </c>
      <c r="AJ814" s="7" t="n">
        <v>10</v>
      </c>
      <c r="AK814" s="7" t="n">
        <v>10</v>
      </c>
      <c r="AL814" s="7" t="n">
        <v>26</v>
      </c>
      <c r="AM814" s="7" t="n">
        <v>26</v>
      </c>
      <c r="AN814" s="7" t="n">
        <v>4</v>
      </c>
      <c r="AO814" s="7" t="n">
        <v>4</v>
      </c>
      <c r="AP814" s="7" t="n">
        <v>1</v>
      </c>
      <c r="AQ814" s="7" t="n">
        <v>2</v>
      </c>
      <c r="AR814" s="6" t="s">
        <v>63</v>
      </c>
      <c r="AS814" s="6" t="s">
        <v>57</v>
      </c>
      <c r="AT814" s="25" t="str">
        <f aca="false">HYPERLINK("http://catalog.hathitrust.org/Record/000005273","HathiTrust Record")</f>
        <v>HathiTrust Record</v>
      </c>
      <c r="AU814" s="25" t="str">
        <f aca="false">HYPERLINK("https://creighton-primo.hosted.exlibrisgroup.com/primo-explore/search?tab=default_tab&amp;search_scope=EVERYTHING&amp;vid=01CRU&amp;lang=en_US&amp;offset=0&amp;query=any,contains,991002583699702656","Catalog Record")</f>
        <v>Catalog Record</v>
      </c>
      <c r="AV814" s="25" t="str">
        <f aca="false">HYPERLINK("http://www.worldcat.org/oclc/375273","WorldCat Record")</f>
        <v>WorldCat Record</v>
      </c>
      <c r="AW814" s="6" t="s">
        <v>3951</v>
      </c>
      <c r="AX814" s="6" t="s">
        <v>3952</v>
      </c>
      <c r="AY814" s="6" t="s">
        <v>3953</v>
      </c>
      <c r="AZ814" s="6" t="s">
        <v>3953</v>
      </c>
      <c r="BA814" s="6" t="s">
        <v>3954</v>
      </c>
      <c r="BC814" s="6" t="s">
        <v>3955</v>
      </c>
      <c r="BE814" s="15" t="s">
        <v>2145</v>
      </c>
      <c r="BF814" s="6" t="s">
        <v>3956</v>
      </c>
    </row>
    <row r="815" customFormat="false" ht="82.5" hidden="false" customHeight="false" outlineLevel="0" collapsed="false">
      <c r="A815" s="4" t="s">
        <v>63</v>
      </c>
      <c r="B815" s="5" t="s">
        <v>2129</v>
      </c>
      <c r="C815" s="5" t="s">
        <v>2130</v>
      </c>
      <c r="D815" s="5" t="s">
        <v>3957</v>
      </c>
      <c r="E815" s="5" t="s">
        <v>3958</v>
      </c>
      <c r="F815" s="5" t="s">
        <v>3959</v>
      </c>
      <c r="H815" s="6" t="s">
        <v>63</v>
      </c>
      <c r="I815" s="6" t="s">
        <v>62</v>
      </c>
      <c r="J815" s="6" t="s">
        <v>63</v>
      </c>
      <c r="K815" s="6" t="s">
        <v>63</v>
      </c>
      <c r="L815" s="6" t="s">
        <v>64</v>
      </c>
      <c r="M815" s="5" t="s">
        <v>3960</v>
      </c>
      <c r="N815" s="5" t="s">
        <v>3961</v>
      </c>
      <c r="O815" s="6" t="s">
        <v>2329</v>
      </c>
      <c r="Q815" s="6" t="s">
        <v>67</v>
      </c>
      <c r="R815" s="6" t="s">
        <v>384</v>
      </c>
      <c r="T815" s="6" t="s">
        <v>2137</v>
      </c>
      <c r="U815" s="7" t="n">
        <v>3</v>
      </c>
      <c r="V815" s="7" t="n">
        <v>3</v>
      </c>
      <c r="W815" s="8" t="s">
        <v>2840</v>
      </c>
      <c r="X815" s="8" t="s">
        <v>2840</v>
      </c>
      <c r="Y815" s="8" t="s">
        <v>3962</v>
      </c>
      <c r="Z815" s="8" t="s">
        <v>3962</v>
      </c>
      <c r="AA815" s="7" t="n">
        <v>446</v>
      </c>
      <c r="AB815" s="7" t="n">
        <v>328</v>
      </c>
      <c r="AC815" s="7" t="n">
        <v>397</v>
      </c>
      <c r="AD815" s="7" t="n">
        <v>1</v>
      </c>
      <c r="AE815" s="7" t="n">
        <v>1</v>
      </c>
      <c r="AF815" s="7" t="n">
        <v>20</v>
      </c>
      <c r="AG815" s="7" t="n">
        <v>21</v>
      </c>
      <c r="AH815" s="7" t="n">
        <v>7</v>
      </c>
      <c r="AI815" s="7" t="n">
        <v>7</v>
      </c>
      <c r="AJ815" s="7" t="n">
        <v>6</v>
      </c>
      <c r="AK815" s="7" t="n">
        <v>7</v>
      </c>
      <c r="AL815" s="7" t="n">
        <v>14</v>
      </c>
      <c r="AM815" s="7" t="n">
        <v>15</v>
      </c>
      <c r="AN815" s="7" t="n">
        <v>0</v>
      </c>
      <c r="AO815" s="7" t="n">
        <v>0</v>
      </c>
      <c r="AP815" s="7" t="n">
        <v>0</v>
      </c>
      <c r="AQ815" s="7" t="n">
        <v>0</v>
      </c>
      <c r="AR815" s="6" t="s">
        <v>63</v>
      </c>
      <c r="AS815" s="6" t="s">
        <v>63</v>
      </c>
      <c r="AU815" s="25" t="str">
        <f aca="false">HYPERLINK("https://creighton-primo.hosted.exlibrisgroup.com/primo-explore/search?tab=default_tab&amp;search_scope=EVERYTHING&amp;vid=01CRU&amp;lang=en_US&amp;offset=0&amp;query=any,contains,991002163979702656","Catalog Record")</f>
        <v>Catalog Record</v>
      </c>
      <c r="AV815" s="25" t="str">
        <f aca="false">HYPERLINK("http://www.worldcat.org/oclc/274563","WorldCat Record")</f>
        <v>WorldCat Record</v>
      </c>
      <c r="AW815" s="6" t="s">
        <v>3963</v>
      </c>
      <c r="AX815" s="6" t="s">
        <v>3964</v>
      </c>
      <c r="AY815" s="6" t="s">
        <v>3965</v>
      </c>
      <c r="AZ815" s="6" t="s">
        <v>3965</v>
      </c>
      <c r="BA815" s="6" t="s">
        <v>3966</v>
      </c>
      <c r="BC815" s="6" t="s">
        <v>3967</v>
      </c>
      <c r="BE815" s="15" t="s">
        <v>2145</v>
      </c>
      <c r="BF815" s="6" t="s">
        <v>3968</v>
      </c>
    </row>
    <row r="816" customFormat="false" ht="71" hidden="false" customHeight="false" outlineLevel="0" collapsed="false">
      <c r="A816" s="4" t="s">
        <v>63</v>
      </c>
      <c r="B816" s="5" t="s">
        <v>2129</v>
      </c>
      <c r="C816" s="5" t="s">
        <v>2130</v>
      </c>
      <c r="D816" s="5" t="s">
        <v>3969</v>
      </c>
      <c r="E816" s="5" t="s">
        <v>3970</v>
      </c>
      <c r="F816" s="5" t="s">
        <v>3971</v>
      </c>
      <c r="H816" s="6" t="s">
        <v>63</v>
      </c>
      <c r="I816" s="6" t="s">
        <v>62</v>
      </c>
      <c r="J816" s="6" t="s">
        <v>63</v>
      </c>
      <c r="K816" s="6" t="s">
        <v>63</v>
      </c>
      <c r="L816" s="6" t="s">
        <v>64</v>
      </c>
      <c r="M816" s="5" t="s">
        <v>3972</v>
      </c>
      <c r="N816" s="5" t="s">
        <v>3973</v>
      </c>
      <c r="O816" s="6" t="s">
        <v>264</v>
      </c>
      <c r="P816" s="5" t="s">
        <v>255</v>
      </c>
      <c r="Q816" s="6" t="s">
        <v>67</v>
      </c>
      <c r="R816" s="6" t="s">
        <v>68</v>
      </c>
      <c r="S816" s="5" t="s">
        <v>3974</v>
      </c>
      <c r="T816" s="6" t="s">
        <v>2137</v>
      </c>
      <c r="U816" s="7" t="n">
        <v>5</v>
      </c>
      <c r="V816" s="7" t="n">
        <v>5</v>
      </c>
      <c r="W816" s="8" t="s">
        <v>2370</v>
      </c>
      <c r="X816" s="8" t="s">
        <v>2370</v>
      </c>
      <c r="Y816" s="8" t="s">
        <v>3743</v>
      </c>
      <c r="Z816" s="8" t="s">
        <v>3743</v>
      </c>
      <c r="AA816" s="7" t="n">
        <v>488</v>
      </c>
      <c r="AB816" s="7" t="n">
        <v>452</v>
      </c>
      <c r="AC816" s="7" t="n">
        <v>637</v>
      </c>
      <c r="AD816" s="7" t="n">
        <v>3</v>
      </c>
      <c r="AE816" s="7" t="n">
        <v>4</v>
      </c>
      <c r="AF816" s="7" t="n">
        <v>18</v>
      </c>
      <c r="AG816" s="7" t="n">
        <v>28</v>
      </c>
      <c r="AH816" s="7" t="n">
        <v>6</v>
      </c>
      <c r="AI816" s="7" t="n">
        <v>9</v>
      </c>
      <c r="AJ816" s="7" t="n">
        <v>4</v>
      </c>
      <c r="AK816" s="7" t="n">
        <v>8</v>
      </c>
      <c r="AL816" s="7" t="n">
        <v>11</v>
      </c>
      <c r="AM816" s="7" t="n">
        <v>18</v>
      </c>
      <c r="AN816" s="7" t="n">
        <v>2</v>
      </c>
      <c r="AO816" s="7" t="n">
        <v>3</v>
      </c>
      <c r="AP816" s="7" t="n">
        <v>0</v>
      </c>
      <c r="AQ816" s="7" t="n">
        <v>0</v>
      </c>
      <c r="AR816" s="6" t="s">
        <v>63</v>
      </c>
      <c r="AS816" s="6" t="s">
        <v>63</v>
      </c>
      <c r="AU816" s="25" t="str">
        <f aca="false">HYPERLINK("https://creighton-primo.hosted.exlibrisgroup.com/primo-explore/search?tab=default_tab&amp;search_scope=EVERYTHING&amp;vid=01CRU&amp;lang=en_US&amp;offset=0&amp;query=any,contains,991000548389702656","Catalog Record")</f>
        <v>Catalog Record</v>
      </c>
      <c r="AV816" s="25" t="str">
        <f aca="false">HYPERLINK("http://www.worldcat.org/oclc/92024","WorldCat Record")</f>
        <v>WorldCat Record</v>
      </c>
      <c r="AW816" s="6" t="s">
        <v>3975</v>
      </c>
      <c r="AX816" s="6" t="s">
        <v>3976</v>
      </c>
      <c r="AY816" s="6" t="s">
        <v>3977</v>
      </c>
      <c r="AZ816" s="6" t="s">
        <v>3977</v>
      </c>
      <c r="BA816" s="6" t="s">
        <v>3978</v>
      </c>
      <c r="BC816" s="6" t="s">
        <v>3979</v>
      </c>
      <c r="BE816" s="15" t="s">
        <v>2145</v>
      </c>
      <c r="BF816" s="6" t="s">
        <v>3980</v>
      </c>
    </row>
    <row r="817" customFormat="false" ht="117" hidden="false" customHeight="false" outlineLevel="0" collapsed="false">
      <c r="A817" s="4" t="s">
        <v>63</v>
      </c>
      <c r="B817" s="5" t="s">
        <v>2129</v>
      </c>
      <c r="C817" s="5" t="s">
        <v>2130</v>
      </c>
      <c r="D817" s="5" t="s">
        <v>3981</v>
      </c>
      <c r="E817" s="5" t="s">
        <v>3982</v>
      </c>
      <c r="F817" s="5" t="s">
        <v>3983</v>
      </c>
      <c r="H817" s="6" t="s">
        <v>63</v>
      </c>
      <c r="I817" s="6" t="s">
        <v>62</v>
      </c>
      <c r="J817" s="6" t="s">
        <v>63</v>
      </c>
      <c r="K817" s="6" t="s">
        <v>63</v>
      </c>
      <c r="L817" s="6" t="s">
        <v>64</v>
      </c>
      <c r="M817" s="5" t="s">
        <v>3984</v>
      </c>
      <c r="N817" s="5" t="s">
        <v>3985</v>
      </c>
      <c r="O817" s="6" t="s">
        <v>2975</v>
      </c>
      <c r="Q817" s="6" t="s">
        <v>67</v>
      </c>
      <c r="R817" s="6" t="s">
        <v>68</v>
      </c>
      <c r="T817" s="6" t="s">
        <v>2137</v>
      </c>
      <c r="U817" s="7" t="n">
        <v>4</v>
      </c>
      <c r="V817" s="7" t="n">
        <v>4</v>
      </c>
      <c r="W817" s="8" t="s">
        <v>3986</v>
      </c>
      <c r="X817" s="8" t="s">
        <v>3986</v>
      </c>
      <c r="Y817" s="8" t="s">
        <v>2399</v>
      </c>
      <c r="Z817" s="8" t="s">
        <v>2399</v>
      </c>
      <c r="AA817" s="7" t="n">
        <v>499</v>
      </c>
      <c r="AB817" s="7" t="n">
        <v>432</v>
      </c>
      <c r="AC817" s="7" t="n">
        <v>432</v>
      </c>
      <c r="AD817" s="7" t="n">
        <v>4</v>
      </c>
      <c r="AE817" s="7" t="n">
        <v>4</v>
      </c>
      <c r="AF817" s="7" t="n">
        <v>31</v>
      </c>
      <c r="AG817" s="7" t="n">
        <v>31</v>
      </c>
      <c r="AH817" s="7" t="n">
        <v>11</v>
      </c>
      <c r="AI817" s="7" t="n">
        <v>11</v>
      </c>
      <c r="AJ817" s="7" t="n">
        <v>5</v>
      </c>
      <c r="AK817" s="7" t="n">
        <v>5</v>
      </c>
      <c r="AL817" s="7" t="n">
        <v>22</v>
      </c>
      <c r="AM817" s="7" t="n">
        <v>22</v>
      </c>
      <c r="AN817" s="7" t="n">
        <v>2</v>
      </c>
      <c r="AO817" s="7" t="n">
        <v>2</v>
      </c>
      <c r="AP817" s="7" t="n">
        <v>1</v>
      </c>
      <c r="AQ817" s="7" t="n">
        <v>1</v>
      </c>
      <c r="AR817" s="6" t="s">
        <v>63</v>
      </c>
      <c r="AS817" s="6" t="s">
        <v>63</v>
      </c>
      <c r="AU817" s="25" t="str">
        <f aca="false">HYPERLINK("https://creighton-primo.hosted.exlibrisgroup.com/primo-explore/search?tab=default_tab&amp;search_scope=EVERYTHING&amp;vid=01CRU&amp;lang=en_US&amp;offset=0&amp;query=any,contains,991000003719702656","Catalog Record")</f>
        <v>Catalog Record</v>
      </c>
      <c r="AV817" s="25" t="str">
        <f aca="false">HYPERLINK("http://www.worldcat.org/oclc/12295","WorldCat Record")</f>
        <v>WorldCat Record</v>
      </c>
      <c r="AW817" s="6" t="s">
        <v>3987</v>
      </c>
      <c r="AX817" s="6" t="s">
        <v>3988</v>
      </c>
      <c r="AY817" s="6" t="s">
        <v>3989</v>
      </c>
      <c r="AZ817" s="6" t="s">
        <v>3989</v>
      </c>
      <c r="BA817" s="6" t="s">
        <v>3990</v>
      </c>
      <c r="BC817" s="6" t="s">
        <v>3991</v>
      </c>
      <c r="BE817" s="15" t="s">
        <v>2145</v>
      </c>
      <c r="BF817" s="6" t="s">
        <v>3992</v>
      </c>
    </row>
    <row r="818" customFormat="false" ht="82.5" hidden="false" customHeight="false" outlineLevel="0" collapsed="false">
      <c r="A818" s="4" t="s">
        <v>63</v>
      </c>
      <c r="B818" s="5" t="s">
        <v>2129</v>
      </c>
      <c r="C818" s="5" t="s">
        <v>2130</v>
      </c>
      <c r="D818" s="5" t="s">
        <v>3993</v>
      </c>
      <c r="E818" s="5" t="s">
        <v>3994</v>
      </c>
      <c r="F818" s="5" t="s">
        <v>3995</v>
      </c>
      <c r="H818" s="6" t="s">
        <v>63</v>
      </c>
      <c r="I818" s="6" t="s">
        <v>62</v>
      </c>
      <c r="J818" s="6" t="s">
        <v>63</v>
      </c>
      <c r="K818" s="6" t="s">
        <v>63</v>
      </c>
      <c r="L818" s="6" t="s">
        <v>64</v>
      </c>
      <c r="M818" s="5" t="s">
        <v>3996</v>
      </c>
      <c r="N818" s="5" t="s">
        <v>3997</v>
      </c>
      <c r="O818" s="6" t="s">
        <v>233</v>
      </c>
      <c r="Q818" s="6" t="s">
        <v>67</v>
      </c>
      <c r="R818" s="6" t="s">
        <v>3998</v>
      </c>
      <c r="S818" s="5" t="s">
        <v>3999</v>
      </c>
      <c r="T818" s="6" t="s">
        <v>2137</v>
      </c>
      <c r="U818" s="7" t="n">
        <v>2</v>
      </c>
      <c r="V818" s="7" t="n">
        <v>2</v>
      </c>
      <c r="W818" s="8" t="s">
        <v>4000</v>
      </c>
      <c r="X818" s="8" t="s">
        <v>4000</v>
      </c>
      <c r="Y818" s="8" t="s">
        <v>2139</v>
      </c>
      <c r="Z818" s="8" t="s">
        <v>2139</v>
      </c>
      <c r="AA818" s="7" t="n">
        <v>186</v>
      </c>
      <c r="AB818" s="7" t="n">
        <v>132</v>
      </c>
      <c r="AC818" s="7" t="n">
        <v>1025</v>
      </c>
      <c r="AD818" s="7" t="n">
        <v>1</v>
      </c>
      <c r="AE818" s="7" t="n">
        <v>8</v>
      </c>
      <c r="AF818" s="7" t="n">
        <v>6</v>
      </c>
      <c r="AG818" s="7" t="n">
        <v>50</v>
      </c>
      <c r="AH818" s="7" t="n">
        <v>0</v>
      </c>
      <c r="AI818" s="7" t="n">
        <v>19</v>
      </c>
      <c r="AJ818" s="7" t="n">
        <v>2</v>
      </c>
      <c r="AK818" s="7" t="n">
        <v>9</v>
      </c>
      <c r="AL818" s="7" t="n">
        <v>5</v>
      </c>
      <c r="AM818" s="7" t="n">
        <v>25</v>
      </c>
      <c r="AN818" s="7" t="n">
        <v>0</v>
      </c>
      <c r="AO818" s="7" t="n">
        <v>6</v>
      </c>
      <c r="AP818" s="7" t="n">
        <v>0</v>
      </c>
      <c r="AQ818" s="7" t="n">
        <v>2</v>
      </c>
      <c r="AR818" s="6" t="s">
        <v>63</v>
      </c>
      <c r="AS818" s="6" t="s">
        <v>63</v>
      </c>
      <c r="AU818" s="25" t="str">
        <f aca="false">HYPERLINK("https://creighton-primo.hosted.exlibrisgroup.com/primo-explore/search?tab=default_tab&amp;search_scope=EVERYTHING&amp;vid=01CRU&amp;lang=en_US&amp;offset=0&amp;query=any,contains,991004709349702656","Catalog Record")</f>
        <v>Catalog Record</v>
      </c>
      <c r="AV818" s="25" t="str">
        <f aca="false">HYPERLINK("http://www.worldcat.org/oclc/4747323","WorldCat Record")</f>
        <v>WorldCat Record</v>
      </c>
      <c r="AW818" s="6" t="s">
        <v>4001</v>
      </c>
      <c r="AX818" s="6" t="s">
        <v>4002</v>
      </c>
      <c r="AY818" s="6" t="s">
        <v>4003</v>
      </c>
      <c r="AZ818" s="6" t="s">
        <v>4003</v>
      </c>
      <c r="BA818" s="6" t="s">
        <v>4004</v>
      </c>
      <c r="BC818" s="6" t="s">
        <v>4005</v>
      </c>
      <c r="BE818" s="15" t="s">
        <v>2145</v>
      </c>
      <c r="BF818" s="6" t="s">
        <v>4006</v>
      </c>
    </row>
    <row r="819" customFormat="false" ht="117" hidden="false" customHeight="false" outlineLevel="0" collapsed="false">
      <c r="A819" s="4" t="s">
        <v>57</v>
      </c>
      <c r="B819" s="5" t="s">
        <v>2129</v>
      </c>
      <c r="C819" s="5" t="s">
        <v>2130</v>
      </c>
      <c r="D819" s="5" t="s">
        <v>4007</v>
      </c>
      <c r="E819" s="5" t="s">
        <v>4008</v>
      </c>
      <c r="F819" s="5" t="s">
        <v>4009</v>
      </c>
      <c r="H819" s="6" t="s">
        <v>63</v>
      </c>
      <c r="I819" s="6" t="s">
        <v>62</v>
      </c>
      <c r="J819" s="6" t="s">
        <v>63</v>
      </c>
      <c r="K819" s="6" t="s">
        <v>63</v>
      </c>
      <c r="L819" s="6" t="s">
        <v>64</v>
      </c>
      <c r="M819" s="5" t="s">
        <v>4010</v>
      </c>
      <c r="N819" s="5" t="s">
        <v>4011</v>
      </c>
      <c r="O819" s="6" t="s">
        <v>233</v>
      </c>
      <c r="Q819" s="6" t="s">
        <v>67</v>
      </c>
      <c r="R819" s="6" t="s">
        <v>123</v>
      </c>
      <c r="T819" s="6" t="s">
        <v>2137</v>
      </c>
      <c r="U819" s="7" t="n">
        <v>3</v>
      </c>
      <c r="V819" s="7" t="n">
        <v>3</v>
      </c>
      <c r="W819" s="8" t="s">
        <v>4012</v>
      </c>
      <c r="X819" s="8" t="s">
        <v>4012</v>
      </c>
      <c r="Y819" s="8" t="s">
        <v>4013</v>
      </c>
      <c r="Z819" s="8" t="s">
        <v>4013</v>
      </c>
      <c r="AA819" s="7" t="n">
        <v>196</v>
      </c>
      <c r="AB819" s="7" t="n">
        <v>136</v>
      </c>
      <c r="AC819" s="7" t="n">
        <v>1004</v>
      </c>
      <c r="AD819" s="7" t="n">
        <v>1</v>
      </c>
      <c r="AE819" s="7" t="n">
        <v>8</v>
      </c>
      <c r="AF819" s="7" t="n">
        <v>6</v>
      </c>
      <c r="AG819" s="7" t="n">
        <v>50</v>
      </c>
      <c r="AH819" s="7" t="n">
        <v>3</v>
      </c>
      <c r="AI819" s="7" t="n">
        <v>20</v>
      </c>
      <c r="AJ819" s="7" t="n">
        <v>1</v>
      </c>
      <c r="AK819" s="7" t="n">
        <v>9</v>
      </c>
      <c r="AL819" s="7" t="n">
        <v>5</v>
      </c>
      <c r="AM819" s="7" t="n">
        <v>27</v>
      </c>
      <c r="AN819" s="7" t="n">
        <v>0</v>
      </c>
      <c r="AO819" s="7" t="n">
        <v>6</v>
      </c>
      <c r="AP819" s="7" t="n">
        <v>0</v>
      </c>
      <c r="AQ819" s="7" t="n">
        <v>1</v>
      </c>
      <c r="AR819" s="6" t="s">
        <v>63</v>
      </c>
      <c r="AS819" s="6" t="s">
        <v>63</v>
      </c>
      <c r="AU819" s="25" t="str">
        <f aca="false">HYPERLINK("https://creighton-primo.hosted.exlibrisgroup.com/primo-explore/search?tab=default_tab&amp;search_scope=EVERYTHING&amp;vid=01CRU&amp;lang=en_US&amp;offset=0&amp;query=any,contains,991003727129702656","Catalog Record")</f>
        <v>Catalog Record</v>
      </c>
      <c r="AV819" s="25" t="str">
        <f aca="false">HYPERLINK("http://www.worldcat.org/oclc/1375518","WorldCat Record")</f>
        <v>WorldCat Record</v>
      </c>
      <c r="AW819" s="6" t="s">
        <v>4014</v>
      </c>
      <c r="AX819" s="6" t="s">
        <v>4015</v>
      </c>
      <c r="AY819" s="6" t="s">
        <v>4016</v>
      </c>
      <c r="AZ819" s="6" t="s">
        <v>4016</v>
      </c>
      <c r="BA819" s="6" t="s">
        <v>4017</v>
      </c>
      <c r="BC819" s="6" t="s">
        <v>4018</v>
      </c>
      <c r="BE819" s="15" t="s">
        <v>2145</v>
      </c>
      <c r="BF819" s="6" t="s">
        <v>4019</v>
      </c>
    </row>
    <row r="820" customFormat="false" ht="71" hidden="false" customHeight="false" outlineLevel="0" collapsed="false">
      <c r="A820" s="4" t="s">
        <v>63</v>
      </c>
      <c r="B820" s="5" t="s">
        <v>2129</v>
      </c>
      <c r="C820" s="5" t="s">
        <v>2130</v>
      </c>
      <c r="D820" s="5" t="s">
        <v>4020</v>
      </c>
      <c r="E820" s="5" t="s">
        <v>4021</v>
      </c>
      <c r="F820" s="5" t="s">
        <v>4022</v>
      </c>
      <c r="H820" s="6" t="s">
        <v>63</v>
      </c>
      <c r="I820" s="6" t="s">
        <v>62</v>
      </c>
      <c r="J820" s="6" t="s">
        <v>63</v>
      </c>
      <c r="K820" s="6" t="s">
        <v>63</v>
      </c>
      <c r="L820" s="6" t="s">
        <v>64</v>
      </c>
      <c r="M820" s="5" t="s">
        <v>4023</v>
      </c>
      <c r="N820" s="5" t="s">
        <v>4024</v>
      </c>
      <c r="O820" s="6" t="s">
        <v>4025</v>
      </c>
      <c r="Q820" s="6" t="s">
        <v>67</v>
      </c>
      <c r="R820" s="6" t="s">
        <v>68</v>
      </c>
      <c r="T820" s="6" t="s">
        <v>2137</v>
      </c>
      <c r="U820" s="7" t="n">
        <v>5</v>
      </c>
      <c r="V820" s="7" t="n">
        <v>5</v>
      </c>
      <c r="W820" s="8" t="s">
        <v>4026</v>
      </c>
      <c r="X820" s="8" t="s">
        <v>4026</v>
      </c>
      <c r="Y820" s="8" t="s">
        <v>4027</v>
      </c>
      <c r="Z820" s="8" t="s">
        <v>4027</v>
      </c>
      <c r="AA820" s="7" t="n">
        <v>418</v>
      </c>
      <c r="AB820" s="7" t="n">
        <v>322</v>
      </c>
      <c r="AC820" s="7" t="n">
        <v>341</v>
      </c>
      <c r="AD820" s="7" t="n">
        <v>3</v>
      </c>
      <c r="AE820" s="7" t="n">
        <v>3</v>
      </c>
      <c r="AF820" s="7" t="n">
        <v>21</v>
      </c>
      <c r="AG820" s="7" t="n">
        <v>21</v>
      </c>
      <c r="AH820" s="7" t="n">
        <v>8</v>
      </c>
      <c r="AI820" s="7" t="n">
        <v>8</v>
      </c>
      <c r="AJ820" s="7" t="n">
        <v>5</v>
      </c>
      <c r="AK820" s="7" t="n">
        <v>5</v>
      </c>
      <c r="AL820" s="7" t="n">
        <v>13</v>
      </c>
      <c r="AM820" s="7" t="n">
        <v>13</v>
      </c>
      <c r="AN820" s="7" t="n">
        <v>2</v>
      </c>
      <c r="AO820" s="7" t="n">
        <v>2</v>
      </c>
      <c r="AP820" s="7" t="n">
        <v>0</v>
      </c>
      <c r="AQ820" s="7" t="n">
        <v>0</v>
      </c>
      <c r="AR820" s="6" t="s">
        <v>63</v>
      </c>
      <c r="AS820" s="6" t="s">
        <v>63</v>
      </c>
      <c r="AU820" s="25" t="str">
        <f aca="false">HYPERLINK("https://creighton-primo.hosted.exlibrisgroup.com/primo-explore/search?tab=default_tab&amp;search_scope=EVERYTHING&amp;vid=01CRU&amp;lang=en_US&amp;offset=0&amp;query=any,contains,991001818589702656","Catalog Record")</f>
        <v>Catalog Record</v>
      </c>
      <c r="AV820" s="25" t="str">
        <f aca="false">HYPERLINK("http://www.worldcat.org/oclc/22862075","WorldCat Record")</f>
        <v>WorldCat Record</v>
      </c>
      <c r="AW820" s="6" t="s">
        <v>4028</v>
      </c>
      <c r="AX820" s="6" t="s">
        <v>4029</v>
      </c>
      <c r="AY820" s="6" t="s">
        <v>4030</v>
      </c>
      <c r="AZ820" s="6" t="s">
        <v>4030</v>
      </c>
      <c r="BA820" s="6" t="s">
        <v>4031</v>
      </c>
      <c r="BB820" s="6" t="s">
        <v>4032</v>
      </c>
      <c r="BC820" s="6" t="s">
        <v>4033</v>
      </c>
      <c r="BE820" s="15" t="s">
        <v>2145</v>
      </c>
      <c r="BF820" s="6" t="s">
        <v>4034</v>
      </c>
    </row>
    <row r="821" customFormat="false" ht="94" hidden="false" customHeight="false" outlineLevel="0" collapsed="false">
      <c r="A821" s="4" t="s">
        <v>63</v>
      </c>
      <c r="B821" s="5" t="s">
        <v>2129</v>
      </c>
      <c r="C821" s="5" t="s">
        <v>2130</v>
      </c>
      <c r="D821" s="5" t="s">
        <v>4035</v>
      </c>
      <c r="E821" s="5" t="s">
        <v>4036</v>
      </c>
      <c r="F821" s="5" t="s">
        <v>4037</v>
      </c>
      <c r="H821" s="6" t="s">
        <v>63</v>
      </c>
      <c r="I821" s="6" t="s">
        <v>62</v>
      </c>
      <c r="J821" s="6" t="s">
        <v>63</v>
      </c>
      <c r="K821" s="6" t="s">
        <v>63</v>
      </c>
      <c r="L821" s="6" t="s">
        <v>64</v>
      </c>
      <c r="M821" s="5" t="s">
        <v>4038</v>
      </c>
      <c r="N821" s="5" t="s">
        <v>4039</v>
      </c>
      <c r="O821" s="6" t="s">
        <v>3340</v>
      </c>
      <c r="Q821" s="6" t="s">
        <v>67</v>
      </c>
      <c r="R821" s="6" t="s">
        <v>318</v>
      </c>
      <c r="T821" s="6" t="s">
        <v>2137</v>
      </c>
      <c r="U821" s="7" t="n">
        <v>7</v>
      </c>
      <c r="V821" s="7" t="n">
        <v>7</v>
      </c>
      <c r="W821" s="8" t="s">
        <v>4040</v>
      </c>
      <c r="X821" s="8" t="s">
        <v>4040</v>
      </c>
      <c r="Y821" s="8" t="s">
        <v>3715</v>
      </c>
      <c r="Z821" s="8" t="s">
        <v>3715</v>
      </c>
      <c r="AA821" s="7" t="n">
        <v>356</v>
      </c>
      <c r="AB821" s="7" t="n">
        <v>306</v>
      </c>
      <c r="AC821" s="7" t="n">
        <v>307</v>
      </c>
      <c r="AD821" s="7" t="n">
        <v>4</v>
      </c>
      <c r="AE821" s="7" t="n">
        <v>4</v>
      </c>
      <c r="AF821" s="7" t="n">
        <v>19</v>
      </c>
      <c r="AG821" s="7" t="n">
        <v>19</v>
      </c>
      <c r="AH821" s="7" t="n">
        <v>5</v>
      </c>
      <c r="AI821" s="7" t="n">
        <v>5</v>
      </c>
      <c r="AJ821" s="7" t="n">
        <v>4</v>
      </c>
      <c r="AK821" s="7" t="n">
        <v>4</v>
      </c>
      <c r="AL821" s="7" t="n">
        <v>9</v>
      </c>
      <c r="AM821" s="7" t="n">
        <v>9</v>
      </c>
      <c r="AN821" s="7" t="n">
        <v>3</v>
      </c>
      <c r="AO821" s="7" t="n">
        <v>3</v>
      </c>
      <c r="AP821" s="7" t="n">
        <v>1</v>
      </c>
      <c r="AQ821" s="7" t="n">
        <v>1</v>
      </c>
      <c r="AR821" s="6" t="s">
        <v>63</v>
      </c>
      <c r="AS821" s="6" t="s">
        <v>57</v>
      </c>
      <c r="AT821" s="25" t="str">
        <f aca="false">HYPERLINK("http://catalog.hathitrust.org/Record/004506383","HathiTrust Record")</f>
        <v>HathiTrust Record</v>
      </c>
      <c r="AU821" s="25" t="str">
        <f aca="false">HYPERLINK("https://creighton-primo.hosted.exlibrisgroup.com/primo-explore/search?tab=default_tab&amp;search_scope=EVERYTHING&amp;vid=01CRU&amp;lang=en_US&amp;offset=0&amp;query=any,contains,991004259109702656","Catalog Record")</f>
        <v>Catalog Record</v>
      </c>
      <c r="AV821" s="25" t="str">
        <f aca="false">HYPERLINK("http://www.worldcat.org/oclc/2836977","WorldCat Record")</f>
        <v>WorldCat Record</v>
      </c>
      <c r="AW821" s="6" t="s">
        <v>4041</v>
      </c>
      <c r="AX821" s="6" t="s">
        <v>4042</v>
      </c>
      <c r="AY821" s="6" t="s">
        <v>4043</v>
      </c>
      <c r="AZ821" s="6" t="s">
        <v>4043</v>
      </c>
      <c r="BA821" s="6" t="s">
        <v>4044</v>
      </c>
      <c r="BB821" s="6" t="s">
        <v>4045</v>
      </c>
      <c r="BC821" s="6" t="s">
        <v>4046</v>
      </c>
      <c r="BE821" s="15" t="s">
        <v>2145</v>
      </c>
      <c r="BF821" s="6" t="s">
        <v>4047</v>
      </c>
    </row>
    <row r="822" customFormat="false" ht="71" hidden="false" customHeight="false" outlineLevel="0" collapsed="false">
      <c r="A822" s="4" t="s">
        <v>63</v>
      </c>
      <c r="B822" s="5" t="s">
        <v>2129</v>
      </c>
      <c r="C822" s="5" t="s">
        <v>2130</v>
      </c>
      <c r="D822" s="5" t="s">
        <v>4048</v>
      </c>
      <c r="E822" s="5" t="s">
        <v>4049</v>
      </c>
      <c r="F822" s="5" t="s">
        <v>4050</v>
      </c>
      <c r="H822" s="6" t="s">
        <v>63</v>
      </c>
      <c r="I822" s="6" t="s">
        <v>62</v>
      </c>
      <c r="J822" s="6" t="s">
        <v>63</v>
      </c>
      <c r="K822" s="6" t="s">
        <v>63</v>
      </c>
      <c r="L822" s="6" t="s">
        <v>64</v>
      </c>
      <c r="M822" s="5" t="s">
        <v>4051</v>
      </c>
      <c r="N822" s="5" t="s">
        <v>4052</v>
      </c>
      <c r="O822" s="6" t="s">
        <v>4053</v>
      </c>
      <c r="Q822" s="6" t="s">
        <v>67</v>
      </c>
      <c r="R822" s="6" t="s">
        <v>68</v>
      </c>
      <c r="T822" s="6" t="s">
        <v>2137</v>
      </c>
      <c r="U822" s="7" t="n">
        <v>5</v>
      </c>
      <c r="V822" s="7" t="n">
        <v>5</v>
      </c>
      <c r="W822" s="8" t="s">
        <v>4054</v>
      </c>
      <c r="X822" s="8" t="s">
        <v>4054</v>
      </c>
      <c r="Y822" s="8" t="s">
        <v>2139</v>
      </c>
      <c r="Z822" s="8" t="s">
        <v>2139</v>
      </c>
      <c r="AA822" s="7" t="n">
        <v>1262</v>
      </c>
      <c r="AB822" s="7" t="n">
        <v>1170</v>
      </c>
      <c r="AC822" s="7" t="n">
        <v>1733</v>
      </c>
      <c r="AD822" s="7" t="n">
        <v>9</v>
      </c>
      <c r="AE822" s="7" t="n">
        <v>12</v>
      </c>
      <c r="AF822" s="7" t="n">
        <v>43</v>
      </c>
      <c r="AG822" s="7" t="n">
        <v>57</v>
      </c>
      <c r="AH822" s="7" t="n">
        <v>16</v>
      </c>
      <c r="AI822" s="7" t="n">
        <v>23</v>
      </c>
      <c r="AJ822" s="7" t="n">
        <v>10</v>
      </c>
      <c r="AK822" s="7" t="n">
        <v>11</v>
      </c>
      <c r="AL822" s="7" t="n">
        <v>19</v>
      </c>
      <c r="AM822" s="7" t="n">
        <v>27</v>
      </c>
      <c r="AN822" s="7" t="n">
        <v>7</v>
      </c>
      <c r="AO822" s="7" t="n">
        <v>9</v>
      </c>
      <c r="AP822" s="7" t="n">
        <v>1</v>
      </c>
      <c r="AQ822" s="7" t="n">
        <v>1</v>
      </c>
      <c r="AR822" s="6" t="s">
        <v>63</v>
      </c>
      <c r="AS822" s="6" t="s">
        <v>57</v>
      </c>
      <c r="AT822" s="25" t="str">
        <f aca="false">HYPERLINK("http://catalog.hathitrust.org/Record/001389876","HathiTrust Record")</f>
        <v>HathiTrust Record</v>
      </c>
      <c r="AU822" s="25" t="str">
        <f aca="false">HYPERLINK("https://creighton-primo.hosted.exlibrisgroup.com/primo-explore/search?tab=default_tab&amp;search_scope=EVERYTHING&amp;vid=01CRU&amp;lang=en_US&amp;offset=0&amp;query=any,contains,991002592779702656","Catalog Record")</f>
        <v>Catalog Record</v>
      </c>
      <c r="AV822" s="25" t="str">
        <f aca="false">HYPERLINK("http://www.worldcat.org/oclc/376369","WorldCat Record")</f>
        <v>WorldCat Record</v>
      </c>
      <c r="AW822" s="6" t="s">
        <v>4055</v>
      </c>
      <c r="AX822" s="6" t="s">
        <v>4056</v>
      </c>
      <c r="AY822" s="6" t="s">
        <v>4057</v>
      </c>
      <c r="AZ822" s="6" t="s">
        <v>4057</v>
      </c>
      <c r="BA822" s="6" t="s">
        <v>4058</v>
      </c>
      <c r="BC822" s="6" t="s">
        <v>4059</v>
      </c>
      <c r="BE822" s="15" t="s">
        <v>2145</v>
      </c>
      <c r="BF822" s="6" t="s">
        <v>4060</v>
      </c>
    </row>
    <row r="823" customFormat="false" ht="151.5" hidden="false" customHeight="false" outlineLevel="0" collapsed="false">
      <c r="A823" s="4" t="s">
        <v>63</v>
      </c>
      <c r="B823" s="5" t="s">
        <v>2129</v>
      </c>
      <c r="C823" s="5" t="s">
        <v>2130</v>
      </c>
      <c r="D823" s="5" t="s">
        <v>4061</v>
      </c>
      <c r="E823" s="5" t="s">
        <v>4062</v>
      </c>
      <c r="F823" s="5" t="s">
        <v>4063</v>
      </c>
      <c r="H823" s="6" t="s">
        <v>63</v>
      </c>
      <c r="I823" s="6" t="s">
        <v>62</v>
      </c>
      <c r="J823" s="6" t="s">
        <v>63</v>
      </c>
      <c r="K823" s="6" t="s">
        <v>63</v>
      </c>
      <c r="L823" s="6" t="s">
        <v>64</v>
      </c>
      <c r="M823" s="5" t="s">
        <v>4064</v>
      </c>
      <c r="N823" s="5" t="s">
        <v>4065</v>
      </c>
      <c r="O823" s="6" t="s">
        <v>137</v>
      </c>
      <c r="Q823" s="6" t="s">
        <v>67</v>
      </c>
      <c r="R823" s="6" t="s">
        <v>222</v>
      </c>
      <c r="T823" s="6" t="s">
        <v>2137</v>
      </c>
      <c r="U823" s="7" t="n">
        <v>1</v>
      </c>
      <c r="V823" s="7" t="n">
        <v>1</v>
      </c>
      <c r="W823" s="8" t="s">
        <v>4066</v>
      </c>
      <c r="X823" s="8" t="s">
        <v>4066</v>
      </c>
      <c r="Y823" s="8" t="s">
        <v>4067</v>
      </c>
      <c r="Z823" s="8" t="s">
        <v>4067</v>
      </c>
      <c r="AA823" s="7" t="n">
        <v>427</v>
      </c>
      <c r="AB823" s="7" t="n">
        <v>328</v>
      </c>
      <c r="AC823" s="7" t="n">
        <v>336</v>
      </c>
      <c r="AD823" s="7" t="n">
        <v>3</v>
      </c>
      <c r="AE823" s="7" t="n">
        <v>3</v>
      </c>
      <c r="AF823" s="7" t="n">
        <v>18</v>
      </c>
      <c r="AG823" s="7" t="n">
        <v>18</v>
      </c>
      <c r="AH823" s="7" t="n">
        <v>3</v>
      </c>
      <c r="AI823" s="7" t="n">
        <v>3</v>
      </c>
      <c r="AJ823" s="7" t="n">
        <v>7</v>
      </c>
      <c r="AK823" s="7" t="n">
        <v>7</v>
      </c>
      <c r="AL823" s="7" t="n">
        <v>10</v>
      </c>
      <c r="AM823" s="7" t="n">
        <v>10</v>
      </c>
      <c r="AN823" s="7" t="n">
        <v>2</v>
      </c>
      <c r="AO823" s="7" t="n">
        <v>2</v>
      </c>
      <c r="AP823" s="7" t="n">
        <v>1</v>
      </c>
      <c r="AQ823" s="7" t="n">
        <v>1</v>
      </c>
      <c r="AR823" s="6" t="s">
        <v>63</v>
      </c>
      <c r="AS823" s="6" t="s">
        <v>57</v>
      </c>
      <c r="AT823" s="25" t="str">
        <f aca="false">HYPERLINK("http://catalog.hathitrust.org/Record/003950518","HathiTrust Record")</f>
        <v>HathiTrust Record</v>
      </c>
      <c r="AU823" s="25" t="str">
        <f aca="false">HYPERLINK("https://creighton-primo.hosted.exlibrisgroup.com/primo-explore/search?tab=default_tab&amp;search_scope=EVERYTHING&amp;vid=01CRU&amp;lang=en_US&amp;offset=0&amp;query=any,contains,991002788249702656","Catalog Record")</f>
        <v>Catalog Record</v>
      </c>
      <c r="AV823" s="25" t="str">
        <f aca="false">HYPERLINK("http://www.worldcat.org/oclc/36621927","WorldCat Record")</f>
        <v>WorldCat Record</v>
      </c>
      <c r="AW823" s="6" t="s">
        <v>4068</v>
      </c>
      <c r="AX823" s="6" t="s">
        <v>4069</v>
      </c>
      <c r="AY823" s="6" t="s">
        <v>4070</v>
      </c>
      <c r="AZ823" s="6" t="s">
        <v>4070</v>
      </c>
      <c r="BA823" s="6" t="s">
        <v>4071</v>
      </c>
      <c r="BB823" s="6" t="s">
        <v>4072</v>
      </c>
      <c r="BC823" s="6" t="s">
        <v>4073</v>
      </c>
      <c r="BE823" s="15" t="s">
        <v>2145</v>
      </c>
      <c r="BF823" s="6" t="s">
        <v>4074</v>
      </c>
    </row>
    <row r="824" customFormat="false" ht="140" hidden="false" customHeight="false" outlineLevel="0" collapsed="false">
      <c r="A824" s="4" t="s">
        <v>63</v>
      </c>
      <c r="B824" s="5" t="s">
        <v>2129</v>
      </c>
      <c r="C824" s="5" t="s">
        <v>2130</v>
      </c>
      <c r="D824" s="5" t="s">
        <v>4075</v>
      </c>
      <c r="E824" s="5" t="s">
        <v>4076</v>
      </c>
      <c r="F824" s="5" t="s">
        <v>4077</v>
      </c>
      <c r="H824" s="6" t="s">
        <v>63</v>
      </c>
      <c r="I824" s="6" t="s">
        <v>62</v>
      </c>
      <c r="J824" s="6" t="s">
        <v>63</v>
      </c>
      <c r="K824" s="6" t="s">
        <v>63</v>
      </c>
      <c r="L824" s="6" t="s">
        <v>64</v>
      </c>
      <c r="M824" s="5" t="s">
        <v>4078</v>
      </c>
      <c r="N824" s="5" t="s">
        <v>4079</v>
      </c>
      <c r="O824" s="6" t="s">
        <v>66</v>
      </c>
      <c r="Q824" s="6" t="s">
        <v>67</v>
      </c>
      <c r="R824" s="6" t="s">
        <v>272</v>
      </c>
      <c r="S824" s="5" t="s">
        <v>4080</v>
      </c>
      <c r="T824" s="6" t="s">
        <v>2137</v>
      </c>
      <c r="U824" s="7" t="n">
        <v>3</v>
      </c>
      <c r="V824" s="7" t="n">
        <v>3</v>
      </c>
      <c r="W824" s="8" t="s">
        <v>4081</v>
      </c>
      <c r="X824" s="8" t="s">
        <v>4081</v>
      </c>
      <c r="Y824" s="8" t="s">
        <v>4082</v>
      </c>
      <c r="Z824" s="8" t="s">
        <v>4082</v>
      </c>
      <c r="AA824" s="7" t="n">
        <v>373</v>
      </c>
      <c r="AB824" s="7" t="n">
        <v>288</v>
      </c>
      <c r="AC824" s="7" t="n">
        <v>350</v>
      </c>
      <c r="AD824" s="7" t="n">
        <v>4</v>
      </c>
      <c r="AE824" s="7" t="n">
        <v>4</v>
      </c>
      <c r="AF824" s="7" t="n">
        <v>17</v>
      </c>
      <c r="AG824" s="7" t="n">
        <v>23</v>
      </c>
      <c r="AH824" s="7" t="n">
        <v>6</v>
      </c>
      <c r="AI824" s="7" t="n">
        <v>10</v>
      </c>
      <c r="AJ824" s="7" t="n">
        <v>4</v>
      </c>
      <c r="AK824" s="7" t="n">
        <v>7</v>
      </c>
      <c r="AL824" s="7" t="n">
        <v>11</v>
      </c>
      <c r="AM824" s="7" t="n">
        <v>12</v>
      </c>
      <c r="AN824" s="7" t="n">
        <v>3</v>
      </c>
      <c r="AO824" s="7" t="n">
        <v>3</v>
      </c>
      <c r="AP824" s="7" t="n">
        <v>0</v>
      </c>
      <c r="AQ824" s="7" t="n">
        <v>0</v>
      </c>
      <c r="AR824" s="6" t="s">
        <v>63</v>
      </c>
      <c r="AS824" s="6" t="s">
        <v>57</v>
      </c>
      <c r="AT824" s="25" t="str">
        <f aca="false">HYPERLINK("http://catalog.hathitrust.org/Record/002728041","HathiTrust Record")</f>
        <v>HathiTrust Record</v>
      </c>
      <c r="AU824" s="25" t="str">
        <f aca="false">HYPERLINK("https://creighton-primo.hosted.exlibrisgroup.com/primo-explore/search?tab=default_tab&amp;search_scope=EVERYTHING&amp;vid=01CRU&amp;lang=en_US&amp;offset=0&amp;query=any,contains,991002121779702656","Catalog Record")</f>
        <v>Catalog Record</v>
      </c>
      <c r="AV824" s="25" t="str">
        <f aca="false">HYPERLINK("http://www.worldcat.org/oclc/27186380","WorldCat Record")</f>
        <v>WorldCat Record</v>
      </c>
      <c r="AW824" s="6" t="s">
        <v>4083</v>
      </c>
      <c r="AX824" s="6" t="s">
        <v>4084</v>
      </c>
      <c r="AY824" s="6" t="s">
        <v>4085</v>
      </c>
      <c r="AZ824" s="6" t="s">
        <v>4085</v>
      </c>
      <c r="BA824" s="6" t="s">
        <v>4086</v>
      </c>
      <c r="BB824" s="6" t="s">
        <v>4087</v>
      </c>
      <c r="BC824" s="6" t="s">
        <v>4088</v>
      </c>
      <c r="BE824" s="15" t="s">
        <v>2145</v>
      </c>
      <c r="BF824" s="6" t="s">
        <v>4089</v>
      </c>
    </row>
    <row r="825" customFormat="false" ht="105.5" hidden="false" customHeight="false" outlineLevel="0" collapsed="false">
      <c r="A825" s="4" t="s">
        <v>63</v>
      </c>
      <c r="B825" s="5" t="s">
        <v>2129</v>
      </c>
      <c r="C825" s="5" t="s">
        <v>2130</v>
      </c>
      <c r="D825" s="5" t="s">
        <v>4090</v>
      </c>
      <c r="E825" s="5" t="s">
        <v>4091</v>
      </c>
      <c r="F825" s="5" t="s">
        <v>4092</v>
      </c>
      <c r="H825" s="6" t="s">
        <v>63</v>
      </c>
      <c r="I825" s="6" t="s">
        <v>62</v>
      </c>
      <c r="J825" s="6" t="s">
        <v>57</v>
      </c>
      <c r="K825" s="6" t="s">
        <v>63</v>
      </c>
      <c r="L825" s="6" t="s">
        <v>64</v>
      </c>
      <c r="M825" s="5" t="s">
        <v>4093</v>
      </c>
      <c r="N825" s="5" t="s">
        <v>4094</v>
      </c>
      <c r="O825" s="6" t="s">
        <v>246</v>
      </c>
      <c r="Q825" s="6" t="s">
        <v>67</v>
      </c>
      <c r="R825" s="6" t="s">
        <v>384</v>
      </c>
      <c r="T825" s="6" t="s">
        <v>2137</v>
      </c>
      <c r="U825" s="7" t="n">
        <v>3</v>
      </c>
      <c r="V825" s="7" t="n">
        <v>5</v>
      </c>
      <c r="W825" s="8" t="s">
        <v>4095</v>
      </c>
      <c r="X825" s="8" t="s">
        <v>4096</v>
      </c>
      <c r="Y825" s="8" t="s">
        <v>3715</v>
      </c>
      <c r="Z825" s="8" t="s">
        <v>4097</v>
      </c>
      <c r="AA825" s="7" t="n">
        <v>715</v>
      </c>
      <c r="AB825" s="7" t="n">
        <v>510</v>
      </c>
      <c r="AC825" s="7" t="n">
        <v>620</v>
      </c>
      <c r="AD825" s="7" t="n">
        <v>4</v>
      </c>
      <c r="AE825" s="7" t="n">
        <v>4</v>
      </c>
      <c r="AF825" s="7" t="n">
        <v>49</v>
      </c>
      <c r="AG825" s="7" t="n">
        <v>53</v>
      </c>
      <c r="AH825" s="7" t="n">
        <v>9</v>
      </c>
      <c r="AI825" s="7" t="n">
        <v>11</v>
      </c>
      <c r="AJ825" s="7" t="n">
        <v>7</v>
      </c>
      <c r="AK825" s="7" t="n">
        <v>8</v>
      </c>
      <c r="AL825" s="7" t="n">
        <v>20</v>
      </c>
      <c r="AM825" s="7" t="n">
        <v>20</v>
      </c>
      <c r="AN825" s="7" t="n">
        <v>2</v>
      </c>
      <c r="AO825" s="7" t="n">
        <v>2</v>
      </c>
      <c r="AP825" s="7" t="n">
        <v>22</v>
      </c>
      <c r="AQ825" s="7" t="n">
        <v>23</v>
      </c>
      <c r="AR825" s="6" t="s">
        <v>63</v>
      </c>
      <c r="AS825" s="6" t="s">
        <v>57</v>
      </c>
      <c r="AT825" s="25" t="str">
        <f aca="false">HYPERLINK("http://catalog.hathitrust.org/Record/000303361","HathiTrust Record")</f>
        <v>HathiTrust Record</v>
      </c>
      <c r="AU825" s="25" t="str">
        <f aca="false">HYPERLINK("https://creighton-primo.hosted.exlibrisgroup.com/primo-explore/search?tab=default_tab&amp;search_scope=EVERYTHING&amp;vid=01CRU&amp;lang=en_US&amp;offset=0&amp;query=any,contains,991001805009702656","Catalog Record")</f>
        <v>Catalog Record</v>
      </c>
      <c r="AV825" s="25" t="str">
        <f aca="false">HYPERLINK("http://www.worldcat.org/oclc/5100968","WorldCat Record")</f>
        <v>WorldCat Record</v>
      </c>
      <c r="AW825" s="6" t="s">
        <v>4098</v>
      </c>
      <c r="AX825" s="6" t="s">
        <v>4099</v>
      </c>
      <c r="AY825" s="6" t="s">
        <v>4100</v>
      </c>
      <c r="AZ825" s="6" t="s">
        <v>4100</v>
      </c>
      <c r="BA825" s="6" t="s">
        <v>4101</v>
      </c>
      <c r="BB825" s="6" t="s">
        <v>4102</v>
      </c>
      <c r="BC825" s="6" t="s">
        <v>4103</v>
      </c>
      <c r="BE825" s="15" t="s">
        <v>2145</v>
      </c>
      <c r="BF825" s="6" t="s">
        <v>4104</v>
      </c>
    </row>
    <row r="826" customFormat="false" ht="71" hidden="false" customHeight="false" outlineLevel="0" collapsed="false">
      <c r="A826" s="4" t="s">
        <v>63</v>
      </c>
      <c r="B826" s="5" t="s">
        <v>2129</v>
      </c>
      <c r="C826" s="5" t="s">
        <v>2130</v>
      </c>
      <c r="D826" s="5" t="s">
        <v>4105</v>
      </c>
      <c r="E826" s="5" t="s">
        <v>4106</v>
      </c>
      <c r="F826" s="5" t="s">
        <v>4107</v>
      </c>
      <c r="H826" s="6" t="s">
        <v>63</v>
      </c>
      <c r="I826" s="6" t="s">
        <v>62</v>
      </c>
      <c r="J826" s="6" t="s">
        <v>63</v>
      </c>
      <c r="K826" s="6" t="s">
        <v>63</v>
      </c>
      <c r="L826" s="6" t="s">
        <v>64</v>
      </c>
      <c r="M826" s="5" t="s">
        <v>4108</v>
      </c>
      <c r="N826" s="5" t="s">
        <v>4109</v>
      </c>
      <c r="O826" s="6" t="s">
        <v>122</v>
      </c>
      <c r="Q826" s="6" t="s">
        <v>67</v>
      </c>
      <c r="R826" s="6" t="s">
        <v>928</v>
      </c>
      <c r="T826" s="6" t="s">
        <v>2137</v>
      </c>
      <c r="U826" s="7" t="n">
        <v>2</v>
      </c>
      <c r="V826" s="7" t="n">
        <v>2</v>
      </c>
      <c r="W826" s="8" t="s">
        <v>4067</v>
      </c>
      <c r="X826" s="8" t="s">
        <v>4067</v>
      </c>
      <c r="Y826" s="8" t="s">
        <v>2139</v>
      </c>
      <c r="Z826" s="8" t="s">
        <v>2139</v>
      </c>
      <c r="AA826" s="7" t="n">
        <v>701</v>
      </c>
      <c r="AB826" s="7" t="n">
        <v>624</v>
      </c>
      <c r="AC826" s="7" t="n">
        <v>640</v>
      </c>
      <c r="AD826" s="7" t="n">
        <v>6</v>
      </c>
      <c r="AE826" s="7" t="n">
        <v>6</v>
      </c>
      <c r="AF826" s="7" t="n">
        <v>50</v>
      </c>
      <c r="AG826" s="7" t="n">
        <v>51</v>
      </c>
      <c r="AH826" s="7" t="n">
        <v>12</v>
      </c>
      <c r="AI826" s="7" t="n">
        <v>12</v>
      </c>
      <c r="AJ826" s="7" t="n">
        <v>7</v>
      </c>
      <c r="AK826" s="7" t="n">
        <v>7</v>
      </c>
      <c r="AL826" s="7" t="n">
        <v>21</v>
      </c>
      <c r="AM826" s="7" t="n">
        <v>22</v>
      </c>
      <c r="AN826" s="7" t="n">
        <v>4</v>
      </c>
      <c r="AO826" s="7" t="n">
        <v>4</v>
      </c>
      <c r="AP826" s="7" t="n">
        <v>17</v>
      </c>
      <c r="AQ826" s="7" t="n">
        <v>17</v>
      </c>
      <c r="AR826" s="6" t="s">
        <v>63</v>
      </c>
      <c r="AS826" s="6" t="s">
        <v>57</v>
      </c>
      <c r="AT826" s="25" t="str">
        <f aca="false">HYPERLINK("http://catalog.hathitrust.org/Record/001624603","HathiTrust Record")</f>
        <v>HathiTrust Record</v>
      </c>
      <c r="AU826" s="25" t="str">
        <f aca="false">HYPERLINK("https://creighton-primo.hosted.exlibrisgroup.com/primo-explore/search?tab=default_tab&amp;search_scope=EVERYTHING&amp;vid=01CRU&amp;lang=en_US&amp;offset=0&amp;query=any,contains,991002265999702656","Catalog Record")</f>
        <v>Catalog Record</v>
      </c>
      <c r="AV826" s="25" t="str">
        <f aca="false">HYPERLINK("http://www.worldcat.org/oclc/306991","WorldCat Record")</f>
        <v>WorldCat Record</v>
      </c>
      <c r="AW826" s="6" t="s">
        <v>4110</v>
      </c>
      <c r="AX826" s="6" t="s">
        <v>4111</v>
      </c>
      <c r="AY826" s="6" t="s">
        <v>4112</v>
      </c>
      <c r="AZ826" s="6" t="s">
        <v>4112</v>
      </c>
      <c r="BA826" s="6" t="s">
        <v>4113</v>
      </c>
      <c r="BC826" s="6" t="s">
        <v>4114</v>
      </c>
      <c r="BE826" s="15" t="s">
        <v>2145</v>
      </c>
      <c r="BF826" s="6" t="s">
        <v>4115</v>
      </c>
    </row>
    <row r="827" customFormat="false" ht="82.5" hidden="false" customHeight="false" outlineLevel="0" collapsed="false">
      <c r="A827" s="4" t="s">
        <v>57</v>
      </c>
      <c r="B827" s="5" t="s">
        <v>2129</v>
      </c>
      <c r="C827" s="5" t="s">
        <v>2130</v>
      </c>
      <c r="D827" s="5" t="s">
        <v>4116</v>
      </c>
      <c r="E827" s="5" t="s">
        <v>4117</v>
      </c>
      <c r="F827" s="5" t="s">
        <v>4118</v>
      </c>
      <c r="H827" s="6" t="s">
        <v>63</v>
      </c>
      <c r="I827" s="6" t="s">
        <v>62</v>
      </c>
      <c r="J827" s="6" t="s">
        <v>57</v>
      </c>
      <c r="K827" s="6" t="s">
        <v>63</v>
      </c>
      <c r="L827" s="6" t="s">
        <v>64</v>
      </c>
      <c r="M827" s="5" t="s">
        <v>2380</v>
      </c>
      <c r="N827" s="5" t="s">
        <v>4119</v>
      </c>
      <c r="O827" s="6" t="s">
        <v>3697</v>
      </c>
      <c r="Q827" s="6" t="s">
        <v>67</v>
      </c>
      <c r="R827" s="6" t="s">
        <v>222</v>
      </c>
      <c r="T827" s="6" t="s">
        <v>2137</v>
      </c>
      <c r="U827" s="7" t="n">
        <v>2</v>
      </c>
      <c r="V827" s="7" t="n">
        <v>3</v>
      </c>
      <c r="W827" s="8" t="s">
        <v>4120</v>
      </c>
      <c r="X827" s="8" t="s">
        <v>4120</v>
      </c>
      <c r="Y827" s="8" t="s">
        <v>4121</v>
      </c>
      <c r="Z827" s="8" t="s">
        <v>3771</v>
      </c>
      <c r="AA827" s="7" t="n">
        <v>874</v>
      </c>
      <c r="AB827" s="7" t="n">
        <v>705</v>
      </c>
      <c r="AC827" s="7" t="n">
        <v>713</v>
      </c>
      <c r="AD827" s="7" t="n">
        <v>8</v>
      </c>
      <c r="AE827" s="7" t="n">
        <v>8</v>
      </c>
      <c r="AF827" s="7" t="n">
        <v>59</v>
      </c>
      <c r="AG827" s="7" t="n">
        <v>59</v>
      </c>
      <c r="AH827" s="7" t="n">
        <v>14</v>
      </c>
      <c r="AI827" s="7" t="n">
        <v>14</v>
      </c>
      <c r="AJ827" s="7" t="n">
        <v>9</v>
      </c>
      <c r="AK827" s="7" t="n">
        <v>9</v>
      </c>
      <c r="AL827" s="7" t="n">
        <v>21</v>
      </c>
      <c r="AM827" s="7" t="n">
        <v>21</v>
      </c>
      <c r="AN827" s="7" t="n">
        <v>5</v>
      </c>
      <c r="AO827" s="7" t="n">
        <v>5</v>
      </c>
      <c r="AP827" s="7" t="n">
        <v>21</v>
      </c>
      <c r="AQ827" s="7" t="n">
        <v>21</v>
      </c>
      <c r="AR827" s="6" t="s">
        <v>63</v>
      </c>
      <c r="AS827" s="6" t="s">
        <v>57</v>
      </c>
      <c r="AT827" s="25" t="str">
        <f aca="false">HYPERLINK("http://catalog.hathitrust.org/Record/002228297","HathiTrust Record")</f>
        <v>HathiTrust Record</v>
      </c>
      <c r="AU827" s="25" t="str">
        <f aca="false">HYPERLINK("https://creighton-primo.hosted.exlibrisgroup.com/primo-explore/search?tab=default_tab&amp;search_scope=EVERYTHING&amp;vid=01CRU&amp;lang=en_US&amp;offset=0&amp;query=any,contains,991001644419702656","Catalog Record")</f>
        <v>Catalog Record</v>
      </c>
      <c r="AV827" s="25" t="str">
        <f aca="false">HYPERLINK("http://www.worldcat.org/oclc/21080172","WorldCat Record")</f>
        <v>WorldCat Record</v>
      </c>
      <c r="AW827" s="6" t="s">
        <v>4122</v>
      </c>
      <c r="AX827" s="6" t="s">
        <v>4123</v>
      </c>
      <c r="AY827" s="6" t="s">
        <v>4124</v>
      </c>
      <c r="AZ827" s="6" t="s">
        <v>4124</v>
      </c>
      <c r="BA827" s="6" t="s">
        <v>4125</v>
      </c>
      <c r="BB827" s="6" t="s">
        <v>4126</v>
      </c>
      <c r="BC827" s="6" t="s">
        <v>4127</v>
      </c>
      <c r="BE827" s="15" t="s">
        <v>2145</v>
      </c>
      <c r="BF827" s="6" t="s">
        <v>4128</v>
      </c>
    </row>
    <row r="828" customFormat="false" ht="163" hidden="false" customHeight="false" outlineLevel="0" collapsed="false">
      <c r="A828" s="4" t="s">
        <v>63</v>
      </c>
      <c r="B828" s="5" t="s">
        <v>2129</v>
      </c>
      <c r="C828" s="5" t="s">
        <v>2130</v>
      </c>
      <c r="D828" s="5" t="s">
        <v>4129</v>
      </c>
      <c r="E828" s="5" t="s">
        <v>4130</v>
      </c>
      <c r="F828" s="5" t="s">
        <v>4131</v>
      </c>
      <c r="H828" s="6" t="s">
        <v>63</v>
      </c>
      <c r="I828" s="6" t="s">
        <v>62</v>
      </c>
      <c r="J828" s="6" t="s">
        <v>57</v>
      </c>
      <c r="K828" s="6" t="s">
        <v>63</v>
      </c>
      <c r="L828" s="6" t="s">
        <v>64</v>
      </c>
      <c r="N828" s="5" t="s">
        <v>4132</v>
      </c>
      <c r="O828" s="6" t="s">
        <v>108</v>
      </c>
      <c r="Q828" s="6" t="s">
        <v>67</v>
      </c>
      <c r="R828" s="6" t="s">
        <v>68</v>
      </c>
      <c r="S828" s="5" t="s">
        <v>4133</v>
      </c>
      <c r="T828" s="6" t="s">
        <v>2137</v>
      </c>
      <c r="U828" s="7" t="n">
        <v>2</v>
      </c>
      <c r="V828" s="7" t="n">
        <v>10</v>
      </c>
      <c r="W828" s="8" t="s">
        <v>2193</v>
      </c>
      <c r="X828" s="8" t="s">
        <v>2193</v>
      </c>
      <c r="Y828" s="8" t="s">
        <v>3715</v>
      </c>
      <c r="Z828" s="8" t="s">
        <v>3715</v>
      </c>
      <c r="AA828" s="7" t="n">
        <v>587</v>
      </c>
      <c r="AB828" s="7" t="n">
        <v>511</v>
      </c>
      <c r="AC828" s="7" t="n">
        <v>517</v>
      </c>
      <c r="AD828" s="7" t="n">
        <v>4</v>
      </c>
      <c r="AE828" s="7" t="n">
        <v>4</v>
      </c>
      <c r="AF828" s="7" t="n">
        <v>35</v>
      </c>
      <c r="AG828" s="7" t="n">
        <v>35</v>
      </c>
      <c r="AH828" s="7" t="n">
        <v>16</v>
      </c>
      <c r="AI828" s="7" t="n">
        <v>16</v>
      </c>
      <c r="AJ828" s="7" t="n">
        <v>7</v>
      </c>
      <c r="AK828" s="7" t="n">
        <v>7</v>
      </c>
      <c r="AL828" s="7" t="n">
        <v>18</v>
      </c>
      <c r="AM828" s="7" t="n">
        <v>18</v>
      </c>
      <c r="AN828" s="7" t="n">
        <v>2</v>
      </c>
      <c r="AO828" s="7" t="n">
        <v>2</v>
      </c>
      <c r="AP828" s="7" t="n">
        <v>3</v>
      </c>
      <c r="AQ828" s="7" t="n">
        <v>3</v>
      </c>
      <c r="AR828" s="6" t="s">
        <v>63</v>
      </c>
      <c r="AS828" s="6" t="s">
        <v>57</v>
      </c>
      <c r="AT828" s="25" t="str">
        <f aca="false">HYPERLINK("http://catalog.hathitrust.org/Record/000043117","HathiTrust Record")</f>
        <v>HathiTrust Record</v>
      </c>
      <c r="AU828" s="25" t="str">
        <f aca="false">HYPERLINK("https://creighton-primo.hosted.exlibrisgroup.com/primo-explore/search?tab=default_tab&amp;search_scope=EVERYTHING&amp;vid=01CRU&amp;lang=en_US&amp;offset=0&amp;query=any,contains,991001762879702656","Catalog Record")</f>
        <v>Catalog Record</v>
      </c>
      <c r="AV828" s="25" t="str">
        <f aca="false">HYPERLINK("http://www.worldcat.org/oclc/4135661","WorldCat Record")</f>
        <v>WorldCat Record</v>
      </c>
      <c r="AW828" s="6" t="s">
        <v>4134</v>
      </c>
      <c r="AX828" s="6" t="s">
        <v>4135</v>
      </c>
      <c r="AY828" s="6" t="s">
        <v>4136</v>
      </c>
      <c r="AZ828" s="6" t="s">
        <v>4136</v>
      </c>
      <c r="BA828" s="6" t="s">
        <v>4137</v>
      </c>
      <c r="BB828" s="6" t="s">
        <v>4138</v>
      </c>
      <c r="BC828" s="6" t="s">
        <v>4139</v>
      </c>
      <c r="BE828" s="15" t="s">
        <v>2145</v>
      </c>
      <c r="BF828" s="6" t="s">
        <v>4140</v>
      </c>
    </row>
    <row r="829" customFormat="false" ht="82.5" hidden="false" customHeight="false" outlineLevel="0" collapsed="false">
      <c r="A829" s="4" t="s">
        <v>63</v>
      </c>
      <c r="B829" s="5" t="s">
        <v>2129</v>
      </c>
      <c r="C829" s="5" t="s">
        <v>2130</v>
      </c>
      <c r="D829" s="5" t="s">
        <v>4141</v>
      </c>
      <c r="E829" s="5" t="s">
        <v>4142</v>
      </c>
      <c r="F829" s="5" t="s">
        <v>4143</v>
      </c>
      <c r="H829" s="6" t="s">
        <v>63</v>
      </c>
      <c r="I829" s="6" t="s">
        <v>62</v>
      </c>
      <c r="J829" s="6" t="s">
        <v>63</v>
      </c>
      <c r="K829" s="6" t="s">
        <v>63</v>
      </c>
      <c r="L829" s="6" t="s">
        <v>64</v>
      </c>
      <c r="M829" s="5" t="s">
        <v>4144</v>
      </c>
      <c r="N829" s="5" t="s">
        <v>4145</v>
      </c>
      <c r="O829" s="6" t="s">
        <v>2811</v>
      </c>
      <c r="P829" s="5" t="s">
        <v>4146</v>
      </c>
      <c r="Q829" s="6" t="s">
        <v>67</v>
      </c>
      <c r="R829" s="6" t="s">
        <v>1059</v>
      </c>
      <c r="T829" s="6" t="s">
        <v>2137</v>
      </c>
      <c r="U829" s="7" t="n">
        <v>1</v>
      </c>
      <c r="V829" s="7" t="n">
        <v>1</v>
      </c>
      <c r="W829" s="8" t="s">
        <v>4147</v>
      </c>
      <c r="X829" s="8" t="s">
        <v>4147</v>
      </c>
      <c r="Y829" s="8" t="s">
        <v>2139</v>
      </c>
      <c r="Z829" s="8" t="s">
        <v>2139</v>
      </c>
      <c r="AA829" s="7" t="n">
        <v>345</v>
      </c>
      <c r="AB829" s="7" t="n">
        <v>297</v>
      </c>
      <c r="AC829" s="7" t="n">
        <v>299</v>
      </c>
      <c r="AD829" s="7" t="n">
        <v>3</v>
      </c>
      <c r="AE829" s="7" t="n">
        <v>3</v>
      </c>
      <c r="AF829" s="7" t="n">
        <v>16</v>
      </c>
      <c r="AG829" s="7" t="n">
        <v>16</v>
      </c>
      <c r="AH829" s="7" t="n">
        <v>4</v>
      </c>
      <c r="AI829" s="7" t="n">
        <v>4</v>
      </c>
      <c r="AJ829" s="7" t="n">
        <v>2</v>
      </c>
      <c r="AK829" s="7" t="n">
        <v>2</v>
      </c>
      <c r="AL829" s="7" t="n">
        <v>9</v>
      </c>
      <c r="AM829" s="7" t="n">
        <v>9</v>
      </c>
      <c r="AN829" s="7" t="n">
        <v>2</v>
      </c>
      <c r="AO829" s="7" t="n">
        <v>2</v>
      </c>
      <c r="AP829" s="7" t="n">
        <v>1</v>
      </c>
      <c r="AQ829" s="7" t="n">
        <v>1</v>
      </c>
      <c r="AR829" s="6" t="s">
        <v>63</v>
      </c>
      <c r="AS829" s="6" t="s">
        <v>63</v>
      </c>
      <c r="AU829" s="25" t="str">
        <f aca="false">HYPERLINK("https://creighton-primo.hosted.exlibrisgroup.com/primo-explore/search?tab=default_tab&amp;search_scope=EVERYTHING&amp;vid=01CRU&amp;lang=en_US&amp;offset=0&amp;query=any,contains,991000742179702656","Catalog Record")</f>
        <v>Catalog Record</v>
      </c>
      <c r="AV829" s="25" t="str">
        <f aca="false">HYPERLINK("http://www.worldcat.org/oclc/129606","WorldCat Record")</f>
        <v>WorldCat Record</v>
      </c>
      <c r="AW829" s="6" t="s">
        <v>4148</v>
      </c>
      <c r="AX829" s="6" t="s">
        <v>4149</v>
      </c>
      <c r="AY829" s="6" t="s">
        <v>4150</v>
      </c>
      <c r="AZ829" s="6" t="s">
        <v>4150</v>
      </c>
      <c r="BA829" s="6" t="s">
        <v>4151</v>
      </c>
      <c r="BC829" s="6" t="s">
        <v>4152</v>
      </c>
      <c r="BE829" s="15" t="s">
        <v>2145</v>
      </c>
      <c r="BF829" s="6" t="s">
        <v>4153</v>
      </c>
    </row>
    <row r="830" customFormat="false" ht="117" hidden="false" customHeight="false" outlineLevel="0" collapsed="false">
      <c r="A830" s="4" t="s">
        <v>63</v>
      </c>
      <c r="B830" s="5" t="s">
        <v>2129</v>
      </c>
      <c r="C830" s="5" t="s">
        <v>2130</v>
      </c>
      <c r="D830" s="5" t="s">
        <v>4154</v>
      </c>
      <c r="E830" s="5" t="s">
        <v>4155</v>
      </c>
      <c r="F830" s="5" t="s">
        <v>4156</v>
      </c>
      <c r="H830" s="6" t="s">
        <v>63</v>
      </c>
      <c r="I830" s="6" t="s">
        <v>62</v>
      </c>
      <c r="J830" s="6" t="s">
        <v>63</v>
      </c>
      <c r="K830" s="6" t="s">
        <v>63</v>
      </c>
      <c r="L830" s="6" t="s">
        <v>64</v>
      </c>
      <c r="N830" s="5" t="s">
        <v>4157</v>
      </c>
      <c r="O830" s="6" t="s">
        <v>208</v>
      </c>
      <c r="Q830" s="6" t="s">
        <v>67</v>
      </c>
      <c r="R830" s="6" t="s">
        <v>68</v>
      </c>
      <c r="T830" s="6" t="s">
        <v>2137</v>
      </c>
      <c r="U830" s="7" t="n">
        <v>2</v>
      </c>
      <c r="V830" s="7" t="n">
        <v>2</v>
      </c>
      <c r="W830" s="8" t="s">
        <v>4158</v>
      </c>
      <c r="X830" s="8" t="s">
        <v>4158</v>
      </c>
      <c r="Y830" s="8" t="s">
        <v>4159</v>
      </c>
      <c r="Z830" s="8" t="s">
        <v>4159</v>
      </c>
      <c r="AA830" s="7" t="n">
        <v>513</v>
      </c>
      <c r="AB830" s="7" t="n">
        <v>401</v>
      </c>
      <c r="AC830" s="7" t="n">
        <v>408</v>
      </c>
      <c r="AD830" s="7" t="n">
        <v>4</v>
      </c>
      <c r="AE830" s="7" t="n">
        <v>4</v>
      </c>
      <c r="AF830" s="7" t="n">
        <v>30</v>
      </c>
      <c r="AG830" s="7" t="n">
        <v>30</v>
      </c>
      <c r="AH830" s="7" t="n">
        <v>14</v>
      </c>
      <c r="AI830" s="7" t="n">
        <v>14</v>
      </c>
      <c r="AJ830" s="7" t="n">
        <v>3</v>
      </c>
      <c r="AK830" s="7" t="n">
        <v>3</v>
      </c>
      <c r="AL830" s="7" t="n">
        <v>18</v>
      </c>
      <c r="AM830" s="7" t="n">
        <v>18</v>
      </c>
      <c r="AN830" s="7" t="n">
        <v>3</v>
      </c>
      <c r="AO830" s="7" t="n">
        <v>3</v>
      </c>
      <c r="AP830" s="7" t="n">
        <v>0</v>
      </c>
      <c r="AQ830" s="7" t="n">
        <v>0</v>
      </c>
      <c r="AR830" s="6" t="s">
        <v>63</v>
      </c>
      <c r="AS830" s="6" t="s">
        <v>57</v>
      </c>
      <c r="AT830" s="25" t="str">
        <f aca="false">HYPERLINK("http://catalog.hathitrust.org/Record/000818030","HathiTrust Record")</f>
        <v>HathiTrust Record</v>
      </c>
      <c r="AU830" s="25" t="str">
        <f aca="false">HYPERLINK("https://creighton-primo.hosted.exlibrisgroup.com/primo-explore/search?tab=default_tab&amp;search_scope=EVERYTHING&amp;vid=01CRU&amp;lang=en_US&amp;offset=0&amp;query=any,contains,991000822779702656","Catalog Record")</f>
        <v>Catalog Record</v>
      </c>
      <c r="AV830" s="25" t="str">
        <f aca="false">HYPERLINK("http://www.worldcat.org/oclc/13396186","WorldCat Record")</f>
        <v>WorldCat Record</v>
      </c>
      <c r="AW830" s="6" t="s">
        <v>4160</v>
      </c>
      <c r="AX830" s="6" t="s">
        <v>4161</v>
      </c>
      <c r="AY830" s="6" t="s">
        <v>4162</v>
      </c>
      <c r="AZ830" s="6" t="s">
        <v>4162</v>
      </c>
      <c r="BA830" s="6" t="s">
        <v>4163</v>
      </c>
      <c r="BB830" s="6" t="s">
        <v>4164</v>
      </c>
      <c r="BC830" s="6" t="s">
        <v>4165</v>
      </c>
      <c r="BE830" s="15" t="s">
        <v>2145</v>
      </c>
      <c r="BF830" s="6" t="s">
        <v>4166</v>
      </c>
    </row>
    <row r="831" customFormat="false" ht="117" hidden="false" customHeight="false" outlineLevel="0" collapsed="false">
      <c r="A831" s="4" t="s">
        <v>63</v>
      </c>
      <c r="B831" s="5" t="s">
        <v>2129</v>
      </c>
      <c r="C831" s="5" t="s">
        <v>2130</v>
      </c>
      <c r="D831" s="5" t="s">
        <v>4167</v>
      </c>
      <c r="E831" s="5" t="s">
        <v>4168</v>
      </c>
      <c r="F831" s="5" t="s">
        <v>4169</v>
      </c>
      <c r="H831" s="6" t="s">
        <v>63</v>
      </c>
      <c r="I831" s="6" t="s">
        <v>62</v>
      </c>
      <c r="J831" s="6" t="s">
        <v>63</v>
      </c>
      <c r="K831" s="6" t="s">
        <v>63</v>
      </c>
      <c r="L831" s="6" t="s">
        <v>64</v>
      </c>
      <c r="N831" s="5" t="s">
        <v>4170</v>
      </c>
      <c r="O831" s="6" t="s">
        <v>2623</v>
      </c>
      <c r="Q831" s="6" t="s">
        <v>67</v>
      </c>
      <c r="R831" s="6" t="s">
        <v>68</v>
      </c>
      <c r="S831" s="5" t="s">
        <v>4171</v>
      </c>
      <c r="T831" s="6" t="s">
        <v>2137</v>
      </c>
      <c r="U831" s="7" t="n">
        <v>8</v>
      </c>
      <c r="V831" s="7" t="n">
        <v>8</v>
      </c>
      <c r="W831" s="8" t="s">
        <v>4172</v>
      </c>
      <c r="X831" s="8" t="s">
        <v>4172</v>
      </c>
      <c r="Y831" s="8" t="s">
        <v>3715</v>
      </c>
      <c r="Z831" s="8" t="s">
        <v>3715</v>
      </c>
      <c r="AA831" s="7" t="n">
        <v>935</v>
      </c>
      <c r="AB831" s="7" t="n">
        <v>807</v>
      </c>
      <c r="AC831" s="7" t="n">
        <v>820</v>
      </c>
      <c r="AD831" s="7" t="n">
        <v>5</v>
      </c>
      <c r="AE831" s="7" t="n">
        <v>5</v>
      </c>
      <c r="AF831" s="7" t="n">
        <v>49</v>
      </c>
      <c r="AG831" s="7" t="n">
        <v>49</v>
      </c>
      <c r="AH831" s="7" t="n">
        <v>18</v>
      </c>
      <c r="AI831" s="7" t="n">
        <v>18</v>
      </c>
      <c r="AJ831" s="7" t="n">
        <v>9</v>
      </c>
      <c r="AK831" s="7" t="n">
        <v>9</v>
      </c>
      <c r="AL831" s="7" t="n">
        <v>23</v>
      </c>
      <c r="AM831" s="7" t="n">
        <v>23</v>
      </c>
      <c r="AN831" s="7" t="n">
        <v>3</v>
      </c>
      <c r="AO831" s="7" t="n">
        <v>3</v>
      </c>
      <c r="AP831" s="7" t="n">
        <v>8</v>
      </c>
      <c r="AQ831" s="7" t="n">
        <v>8</v>
      </c>
      <c r="AR831" s="6" t="s">
        <v>63</v>
      </c>
      <c r="AS831" s="6" t="s">
        <v>57</v>
      </c>
      <c r="AT831" s="25" t="str">
        <f aca="false">HYPERLINK("http://catalog.hathitrust.org/Record/000732553","HathiTrust Record")</f>
        <v>HathiTrust Record</v>
      </c>
      <c r="AU831" s="25" t="str">
        <f aca="false">HYPERLINK("https://creighton-primo.hosted.exlibrisgroup.com/primo-explore/search?tab=default_tab&amp;search_scope=EVERYTHING&amp;vid=01CRU&amp;lang=en_US&amp;offset=0&amp;query=any,contains,991005010949702656","Catalog Record")</f>
        <v>Catalog Record</v>
      </c>
      <c r="AV831" s="25" t="str">
        <f aca="false">HYPERLINK("http://www.worldcat.org/oclc/6602806","WorldCat Record")</f>
        <v>WorldCat Record</v>
      </c>
      <c r="AW831" s="6" t="s">
        <v>4173</v>
      </c>
      <c r="AX831" s="6" t="s">
        <v>4174</v>
      </c>
      <c r="AY831" s="6" t="s">
        <v>4175</v>
      </c>
      <c r="AZ831" s="6" t="s">
        <v>4175</v>
      </c>
      <c r="BA831" s="6" t="s">
        <v>4176</v>
      </c>
      <c r="BB831" s="6" t="s">
        <v>4177</v>
      </c>
      <c r="BC831" s="6" t="s">
        <v>4178</v>
      </c>
      <c r="BE831" s="15" t="s">
        <v>2145</v>
      </c>
      <c r="BF831" s="6" t="s">
        <v>4179</v>
      </c>
    </row>
    <row r="832" customFormat="false" ht="163" hidden="false" customHeight="false" outlineLevel="0" collapsed="false">
      <c r="A832" s="4" t="s">
        <v>63</v>
      </c>
      <c r="B832" s="5" t="s">
        <v>2129</v>
      </c>
      <c r="C832" s="5" t="s">
        <v>2130</v>
      </c>
      <c r="D832" s="5" t="s">
        <v>4180</v>
      </c>
      <c r="E832" s="5" t="s">
        <v>4181</v>
      </c>
      <c r="F832" s="5" t="s">
        <v>4182</v>
      </c>
      <c r="H832" s="6" t="s">
        <v>63</v>
      </c>
      <c r="I832" s="6" t="s">
        <v>62</v>
      </c>
      <c r="J832" s="6" t="s">
        <v>63</v>
      </c>
      <c r="K832" s="6" t="s">
        <v>63</v>
      </c>
      <c r="L832" s="6" t="s">
        <v>64</v>
      </c>
      <c r="M832" s="5" t="s">
        <v>4183</v>
      </c>
      <c r="N832" s="5" t="s">
        <v>4184</v>
      </c>
      <c r="O832" s="6" t="s">
        <v>2623</v>
      </c>
      <c r="Q832" s="6" t="s">
        <v>67</v>
      </c>
      <c r="R832" s="6" t="s">
        <v>68</v>
      </c>
      <c r="S832" s="5" t="s">
        <v>4185</v>
      </c>
      <c r="T832" s="6" t="s">
        <v>2137</v>
      </c>
      <c r="U832" s="7" t="n">
        <v>3</v>
      </c>
      <c r="V832" s="7" t="n">
        <v>3</v>
      </c>
      <c r="W832" s="8" t="s">
        <v>4172</v>
      </c>
      <c r="X832" s="8" t="s">
        <v>4172</v>
      </c>
      <c r="Y832" s="8" t="s">
        <v>3715</v>
      </c>
      <c r="Z832" s="8" t="s">
        <v>3715</v>
      </c>
      <c r="AA832" s="7" t="n">
        <v>564</v>
      </c>
      <c r="AB832" s="7" t="n">
        <v>520</v>
      </c>
      <c r="AC832" s="7" t="n">
        <v>525</v>
      </c>
      <c r="AD832" s="7" t="n">
        <v>4</v>
      </c>
      <c r="AE832" s="7" t="n">
        <v>4</v>
      </c>
      <c r="AF832" s="7" t="n">
        <v>38</v>
      </c>
      <c r="AG832" s="7" t="n">
        <v>38</v>
      </c>
      <c r="AH832" s="7" t="n">
        <v>12</v>
      </c>
      <c r="AI832" s="7" t="n">
        <v>12</v>
      </c>
      <c r="AJ832" s="7" t="n">
        <v>6</v>
      </c>
      <c r="AK832" s="7" t="n">
        <v>6</v>
      </c>
      <c r="AL832" s="7" t="n">
        <v>21</v>
      </c>
      <c r="AM832" s="7" t="n">
        <v>21</v>
      </c>
      <c r="AN832" s="7" t="n">
        <v>3</v>
      </c>
      <c r="AO832" s="7" t="n">
        <v>3</v>
      </c>
      <c r="AP832" s="7" t="n">
        <v>5</v>
      </c>
      <c r="AQ832" s="7" t="n">
        <v>5</v>
      </c>
      <c r="AR832" s="6" t="s">
        <v>63</v>
      </c>
      <c r="AS832" s="6" t="s">
        <v>57</v>
      </c>
      <c r="AT832" s="25" t="str">
        <f aca="false">HYPERLINK("http://catalog.hathitrust.org/Record/000700407","HathiTrust Record")</f>
        <v>HathiTrust Record</v>
      </c>
      <c r="AU832" s="25" t="str">
        <f aca="false">HYPERLINK("https://creighton-primo.hosted.exlibrisgroup.com/primo-explore/search?tab=default_tab&amp;search_scope=EVERYTHING&amp;vid=01CRU&amp;lang=en_US&amp;offset=0&amp;query=any,contains,991004929489702656","Catalog Record")</f>
        <v>Catalog Record</v>
      </c>
      <c r="AV832" s="25" t="str">
        <f aca="false">HYPERLINK("http://www.worldcat.org/oclc/6092002","WorldCat Record")</f>
        <v>WorldCat Record</v>
      </c>
      <c r="AW832" s="6" t="s">
        <v>4186</v>
      </c>
      <c r="AX832" s="6" t="s">
        <v>4187</v>
      </c>
      <c r="AY832" s="6" t="s">
        <v>4188</v>
      </c>
      <c r="AZ832" s="6" t="s">
        <v>4188</v>
      </c>
      <c r="BA832" s="6" t="s">
        <v>4189</v>
      </c>
      <c r="BB832" s="6" t="s">
        <v>4190</v>
      </c>
      <c r="BC832" s="6" t="s">
        <v>4191</v>
      </c>
      <c r="BE832" s="15" t="s">
        <v>2145</v>
      </c>
      <c r="BF832" s="6" t="s">
        <v>4192</v>
      </c>
    </row>
    <row r="833" customFormat="false" ht="117" hidden="false" customHeight="false" outlineLevel="0" collapsed="false">
      <c r="A833" s="4" t="s">
        <v>63</v>
      </c>
      <c r="B833" s="5" t="s">
        <v>2129</v>
      </c>
      <c r="C833" s="5" t="s">
        <v>2130</v>
      </c>
      <c r="D833" s="5" t="s">
        <v>4193</v>
      </c>
      <c r="E833" s="5" t="s">
        <v>4194</v>
      </c>
      <c r="F833" s="5" t="s">
        <v>4195</v>
      </c>
      <c r="H833" s="6" t="s">
        <v>63</v>
      </c>
      <c r="I833" s="6" t="s">
        <v>62</v>
      </c>
      <c r="J833" s="6" t="s">
        <v>63</v>
      </c>
      <c r="K833" s="6" t="s">
        <v>63</v>
      </c>
      <c r="L833" s="6" t="s">
        <v>64</v>
      </c>
      <c r="M833" s="5" t="s">
        <v>4196</v>
      </c>
      <c r="N833" s="5" t="s">
        <v>4197</v>
      </c>
      <c r="O833" s="6" t="s">
        <v>2623</v>
      </c>
      <c r="Q833" s="6" t="s">
        <v>67</v>
      </c>
      <c r="R833" s="6" t="s">
        <v>68</v>
      </c>
      <c r="S833" s="5" t="s">
        <v>4198</v>
      </c>
      <c r="T833" s="6" t="s">
        <v>2137</v>
      </c>
      <c r="U833" s="7" t="n">
        <v>2</v>
      </c>
      <c r="V833" s="7" t="n">
        <v>2</v>
      </c>
      <c r="W833" s="8" t="s">
        <v>4147</v>
      </c>
      <c r="X833" s="8" t="s">
        <v>4147</v>
      </c>
      <c r="Y833" s="8" t="s">
        <v>3715</v>
      </c>
      <c r="Z833" s="8" t="s">
        <v>3715</v>
      </c>
      <c r="AA833" s="7" t="n">
        <v>434</v>
      </c>
      <c r="AB833" s="7" t="n">
        <v>403</v>
      </c>
      <c r="AC833" s="7" t="n">
        <v>422</v>
      </c>
      <c r="AD833" s="7" t="n">
        <v>5</v>
      </c>
      <c r="AE833" s="7" t="n">
        <v>5</v>
      </c>
      <c r="AF833" s="7" t="n">
        <v>33</v>
      </c>
      <c r="AG833" s="7" t="n">
        <v>33</v>
      </c>
      <c r="AH833" s="7" t="n">
        <v>11</v>
      </c>
      <c r="AI833" s="7" t="n">
        <v>11</v>
      </c>
      <c r="AJ833" s="7" t="n">
        <v>6</v>
      </c>
      <c r="AK833" s="7" t="n">
        <v>6</v>
      </c>
      <c r="AL833" s="7" t="n">
        <v>20</v>
      </c>
      <c r="AM833" s="7" t="n">
        <v>20</v>
      </c>
      <c r="AN833" s="7" t="n">
        <v>4</v>
      </c>
      <c r="AO833" s="7" t="n">
        <v>4</v>
      </c>
      <c r="AP833" s="7" t="n">
        <v>1</v>
      </c>
      <c r="AQ833" s="7" t="n">
        <v>1</v>
      </c>
      <c r="AR833" s="6" t="s">
        <v>63</v>
      </c>
      <c r="AS833" s="6" t="s">
        <v>57</v>
      </c>
      <c r="AT833" s="25" t="str">
        <f aca="false">HYPERLINK("http://catalog.hathitrust.org/Record/000700377","HathiTrust Record")</f>
        <v>HathiTrust Record</v>
      </c>
      <c r="AU833" s="25" t="str">
        <f aca="false">HYPERLINK("https://creighton-primo.hosted.exlibrisgroup.com/primo-explore/search?tab=default_tab&amp;search_scope=EVERYTHING&amp;vid=01CRU&amp;lang=en_US&amp;offset=0&amp;query=any,contains,991004928279702656","Catalog Record")</f>
        <v>Catalog Record</v>
      </c>
      <c r="AV833" s="25" t="str">
        <f aca="false">HYPERLINK("http://www.worldcat.org/oclc/6087789","WorldCat Record")</f>
        <v>WorldCat Record</v>
      </c>
      <c r="AW833" s="6" t="s">
        <v>4199</v>
      </c>
      <c r="AX833" s="6" t="s">
        <v>4200</v>
      </c>
      <c r="AY833" s="6" t="s">
        <v>4201</v>
      </c>
      <c r="AZ833" s="6" t="s">
        <v>4201</v>
      </c>
      <c r="BA833" s="6" t="s">
        <v>4202</v>
      </c>
      <c r="BB833" s="6" t="s">
        <v>4203</v>
      </c>
      <c r="BC833" s="6" t="s">
        <v>4204</v>
      </c>
      <c r="BE833" s="15" t="s">
        <v>2145</v>
      </c>
      <c r="BF833" s="6" t="s">
        <v>4205</v>
      </c>
    </row>
    <row r="834" customFormat="false" ht="105.5" hidden="false" customHeight="false" outlineLevel="0" collapsed="false">
      <c r="A834" s="4" t="s">
        <v>63</v>
      </c>
      <c r="B834" s="5" t="s">
        <v>2129</v>
      </c>
      <c r="C834" s="5" t="s">
        <v>2130</v>
      </c>
      <c r="D834" s="5" t="s">
        <v>4206</v>
      </c>
      <c r="E834" s="5" t="s">
        <v>4207</v>
      </c>
      <c r="F834" s="5" t="s">
        <v>4208</v>
      </c>
      <c r="H834" s="6" t="s">
        <v>63</v>
      </c>
      <c r="I834" s="6" t="s">
        <v>62</v>
      </c>
      <c r="J834" s="6" t="s">
        <v>63</v>
      </c>
      <c r="K834" s="6" t="s">
        <v>63</v>
      </c>
      <c r="L834" s="6" t="s">
        <v>64</v>
      </c>
      <c r="M834" s="5" t="s">
        <v>4209</v>
      </c>
      <c r="N834" s="5" t="s">
        <v>4210</v>
      </c>
      <c r="O834" s="6" t="s">
        <v>3029</v>
      </c>
      <c r="Q834" s="6" t="s">
        <v>67</v>
      </c>
      <c r="R834" s="6" t="s">
        <v>1224</v>
      </c>
      <c r="T834" s="6" t="s">
        <v>2137</v>
      </c>
      <c r="U834" s="7" t="n">
        <v>2</v>
      </c>
      <c r="V834" s="7" t="n">
        <v>2</v>
      </c>
      <c r="W834" s="8" t="s">
        <v>4211</v>
      </c>
      <c r="X834" s="8" t="s">
        <v>4211</v>
      </c>
      <c r="Y834" s="8" t="s">
        <v>2139</v>
      </c>
      <c r="Z834" s="8" t="s">
        <v>2139</v>
      </c>
      <c r="AA834" s="7" t="n">
        <v>730</v>
      </c>
      <c r="AB834" s="7" t="n">
        <v>581</v>
      </c>
      <c r="AC834" s="7" t="n">
        <v>696</v>
      </c>
      <c r="AD834" s="7" t="n">
        <v>4</v>
      </c>
      <c r="AE834" s="7" t="n">
        <v>6</v>
      </c>
      <c r="AF834" s="7" t="n">
        <v>33</v>
      </c>
      <c r="AG834" s="7" t="n">
        <v>38</v>
      </c>
      <c r="AH834" s="7" t="n">
        <v>13</v>
      </c>
      <c r="AI834" s="7" t="n">
        <v>16</v>
      </c>
      <c r="AJ834" s="7" t="n">
        <v>7</v>
      </c>
      <c r="AK834" s="7" t="n">
        <v>8</v>
      </c>
      <c r="AL834" s="7" t="n">
        <v>22</v>
      </c>
      <c r="AM834" s="7" t="n">
        <v>22</v>
      </c>
      <c r="AN834" s="7" t="n">
        <v>2</v>
      </c>
      <c r="AO834" s="7" t="n">
        <v>4</v>
      </c>
      <c r="AP834" s="7" t="n">
        <v>0</v>
      </c>
      <c r="AQ834" s="7" t="n">
        <v>0</v>
      </c>
      <c r="AR834" s="6" t="s">
        <v>63</v>
      </c>
      <c r="AS834" s="6" t="s">
        <v>63</v>
      </c>
      <c r="AT834" s="25" t="str">
        <f aca="false">HYPERLINK("http://catalog.hathitrust.org/Record/001389802","HathiTrust Record")</f>
        <v>HathiTrust Record</v>
      </c>
      <c r="AU834" s="25" t="str">
        <f aca="false">HYPERLINK("https://creighton-primo.hosted.exlibrisgroup.com/primo-explore/search?tab=default_tab&amp;search_scope=EVERYTHING&amp;vid=01CRU&amp;lang=en_US&amp;offset=0&amp;query=any,contains,991002595939702656","Catalog Record")</f>
        <v>Catalog Record</v>
      </c>
      <c r="AV834" s="25" t="str">
        <f aca="false">HYPERLINK("http://www.worldcat.org/oclc/376677","WorldCat Record")</f>
        <v>WorldCat Record</v>
      </c>
      <c r="AW834" s="6" t="s">
        <v>4212</v>
      </c>
      <c r="AX834" s="6" t="s">
        <v>4213</v>
      </c>
      <c r="AY834" s="6" t="s">
        <v>4214</v>
      </c>
      <c r="AZ834" s="6" t="s">
        <v>4214</v>
      </c>
      <c r="BA834" s="6" t="s">
        <v>4215</v>
      </c>
      <c r="BC834" s="6" t="s">
        <v>4216</v>
      </c>
      <c r="BE834" s="15" t="s">
        <v>2145</v>
      </c>
      <c r="BF834" s="6" t="s">
        <v>4217</v>
      </c>
    </row>
    <row r="835" customFormat="false" ht="94" hidden="false" customHeight="false" outlineLevel="0" collapsed="false">
      <c r="A835" s="26" t="s">
        <v>63</v>
      </c>
      <c r="B835" s="27" t="s">
        <v>2129</v>
      </c>
      <c r="C835" s="27" t="s">
        <v>2130</v>
      </c>
      <c r="D835" s="27" t="s">
        <v>4218</v>
      </c>
      <c r="E835" s="27" t="s">
        <v>4219</v>
      </c>
      <c r="F835" s="27" t="s">
        <v>4220</v>
      </c>
      <c r="G835" s="28"/>
      <c r="H835" s="6" t="s">
        <v>63</v>
      </c>
      <c r="I835" s="6" t="s">
        <v>62</v>
      </c>
      <c r="J835" s="6" t="s">
        <v>63</v>
      </c>
      <c r="K835" s="6" t="s">
        <v>63</v>
      </c>
      <c r="L835" s="6" t="s">
        <v>64</v>
      </c>
      <c r="M835" s="27" t="s">
        <v>4221</v>
      </c>
      <c r="N835" s="27" t="s">
        <v>4222</v>
      </c>
      <c r="O835" s="6" t="s">
        <v>4223</v>
      </c>
      <c r="P835" s="27" t="s">
        <v>4224</v>
      </c>
      <c r="Q835" s="6" t="s">
        <v>67</v>
      </c>
      <c r="R835" s="6" t="s">
        <v>384</v>
      </c>
      <c r="S835" s="28"/>
      <c r="T835" s="6" t="s">
        <v>4225</v>
      </c>
      <c r="U835" s="7" t="n">
        <v>2</v>
      </c>
      <c r="V835" s="7" t="n">
        <v>2</v>
      </c>
      <c r="W835" s="8" t="s">
        <v>4226</v>
      </c>
      <c r="X835" s="8" t="s">
        <v>4226</v>
      </c>
      <c r="Y835" s="8" t="s">
        <v>4227</v>
      </c>
      <c r="Z835" s="8" t="s">
        <v>4227</v>
      </c>
      <c r="AA835" s="7" t="n">
        <v>50</v>
      </c>
      <c r="AB835" s="7" t="n">
        <v>44</v>
      </c>
      <c r="AC835" s="7" t="n">
        <v>1072</v>
      </c>
      <c r="AD835" s="7" t="n">
        <v>1</v>
      </c>
      <c r="AE835" s="7" t="n">
        <v>9</v>
      </c>
      <c r="AF835" s="7" t="n">
        <v>2</v>
      </c>
      <c r="AG835" s="7" t="n">
        <v>57</v>
      </c>
      <c r="AH835" s="7" t="n">
        <v>2</v>
      </c>
      <c r="AI835" s="7" t="n">
        <v>25</v>
      </c>
      <c r="AJ835" s="7" t="n">
        <v>0</v>
      </c>
      <c r="AK835" s="7" t="n">
        <v>11</v>
      </c>
      <c r="AL835" s="7" t="n">
        <v>0</v>
      </c>
      <c r="AM835" s="7" t="n">
        <v>28</v>
      </c>
      <c r="AN835" s="7" t="n">
        <v>0</v>
      </c>
      <c r="AO835" s="7" t="n">
        <v>7</v>
      </c>
      <c r="AP835" s="7" t="n">
        <v>0</v>
      </c>
      <c r="AQ835" s="7" t="n">
        <v>0</v>
      </c>
      <c r="AR835" s="6" t="s">
        <v>63</v>
      </c>
      <c r="AS835" s="6" t="s">
        <v>57</v>
      </c>
      <c r="AT835" s="9" t="str">
        <f aca="false">HYPERLINK("http://catalog.hathitrust.org/Record/009906617","HathiTrust Record")</f>
        <v>HathiTrust Record</v>
      </c>
      <c r="AU835" s="9" t="str">
        <f aca="false">HYPERLINK("https://creighton-primo.hosted.exlibrisgroup.com/primo-explore/search?tab=default_tab&amp;search_scope=EVERYTHING&amp;vid=01CRU&amp;lang=en_US&amp;offset=0&amp;query=any,contains,991003278979702656","Catalog Record")</f>
        <v>Catalog Record</v>
      </c>
      <c r="AV835" s="9" t="str">
        <f aca="false">HYPERLINK("http://www.worldcat.org/oclc/801899","WorldCat Record")</f>
        <v>WorldCat Record</v>
      </c>
      <c r="AW835" s="6" t="s">
        <v>4228</v>
      </c>
      <c r="AX835" s="6" t="s">
        <v>4229</v>
      </c>
      <c r="AY835" s="6" t="s">
        <v>4230</v>
      </c>
      <c r="AZ835" s="6" t="s">
        <v>4230</v>
      </c>
      <c r="BA835" s="6" t="s">
        <v>4231</v>
      </c>
      <c r="BB835" s="28"/>
      <c r="BC835" s="6" t="s">
        <v>4232</v>
      </c>
      <c r="BE835" s="15" t="s">
        <v>2145</v>
      </c>
      <c r="BF835" s="6" t="s">
        <v>4233</v>
      </c>
    </row>
    <row r="836" customFormat="false" ht="82.5" hidden="false" customHeight="false" outlineLevel="0" collapsed="false">
      <c r="A836" s="26" t="s">
        <v>63</v>
      </c>
      <c r="B836" s="27" t="s">
        <v>2129</v>
      </c>
      <c r="C836" s="27" t="s">
        <v>2130</v>
      </c>
      <c r="D836" s="27" t="s">
        <v>4234</v>
      </c>
      <c r="E836" s="27" t="s">
        <v>4235</v>
      </c>
      <c r="F836" s="27" t="s">
        <v>4236</v>
      </c>
      <c r="G836" s="28"/>
      <c r="H836" s="6" t="s">
        <v>63</v>
      </c>
      <c r="I836" s="6" t="s">
        <v>62</v>
      </c>
      <c r="J836" s="6" t="s">
        <v>63</v>
      </c>
      <c r="K836" s="6" t="s">
        <v>63</v>
      </c>
      <c r="L836" s="6" t="s">
        <v>64</v>
      </c>
      <c r="M836" s="27" t="s">
        <v>4237</v>
      </c>
      <c r="N836" s="27" t="s">
        <v>4238</v>
      </c>
      <c r="O836" s="6" t="s">
        <v>3697</v>
      </c>
      <c r="P836" s="28"/>
      <c r="Q836" s="6" t="s">
        <v>67</v>
      </c>
      <c r="R836" s="6" t="s">
        <v>68</v>
      </c>
      <c r="S836" s="27" t="s">
        <v>3783</v>
      </c>
      <c r="T836" s="6" t="s">
        <v>4225</v>
      </c>
      <c r="U836" s="7" t="n">
        <v>1</v>
      </c>
      <c r="V836" s="7" t="n">
        <v>1</v>
      </c>
      <c r="W836" s="8" t="s">
        <v>4239</v>
      </c>
      <c r="X836" s="8" t="s">
        <v>4239</v>
      </c>
      <c r="Y836" s="8" t="s">
        <v>4239</v>
      </c>
      <c r="Z836" s="8" t="s">
        <v>4239</v>
      </c>
      <c r="AA836" s="7" t="n">
        <v>178</v>
      </c>
      <c r="AB836" s="7" t="n">
        <v>128</v>
      </c>
      <c r="AC836" s="7" t="n">
        <v>241</v>
      </c>
      <c r="AD836" s="7" t="n">
        <v>3</v>
      </c>
      <c r="AE836" s="7" t="n">
        <v>3</v>
      </c>
      <c r="AF836" s="7" t="n">
        <v>6</v>
      </c>
      <c r="AG836" s="7" t="n">
        <v>13</v>
      </c>
      <c r="AH836" s="7" t="n">
        <v>0</v>
      </c>
      <c r="AI836" s="7" t="n">
        <v>1</v>
      </c>
      <c r="AJ836" s="7" t="n">
        <v>1</v>
      </c>
      <c r="AK836" s="7" t="n">
        <v>4</v>
      </c>
      <c r="AL836" s="7" t="n">
        <v>4</v>
      </c>
      <c r="AM836" s="7" t="n">
        <v>8</v>
      </c>
      <c r="AN836" s="7" t="n">
        <v>2</v>
      </c>
      <c r="AO836" s="7" t="n">
        <v>2</v>
      </c>
      <c r="AP836" s="7" t="n">
        <v>0</v>
      </c>
      <c r="AQ836" s="7" t="n">
        <v>0</v>
      </c>
      <c r="AR836" s="6" t="s">
        <v>63</v>
      </c>
      <c r="AS836" s="6" t="s">
        <v>57</v>
      </c>
      <c r="AT836" s="9" t="str">
        <f aca="false">HYPERLINK("http://catalog.hathitrust.org/Record/004599639","HathiTrust Record")</f>
        <v>HathiTrust Record</v>
      </c>
      <c r="AU836" s="9" t="str">
        <f aca="false">HYPERLINK("https://creighton-primo.hosted.exlibrisgroup.com/primo-explore/search?tab=default_tab&amp;search_scope=EVERYTHING&amp;vid=01CRU&amp;lang=en_US&amp;offset=0&amp;query=any,contains,991005282129702656","Catalog Record")</f>
        <v>Catalog Record</v>
      </c>
      <c r="AV836" s="9" t="str">
        <f aca="false">HYPERLINK("http://www.worldcat.org/oclc/18988146","WorldCat Record")</f>
        <v>WorldCat Record</v>
      </c>
      <c r="AW836" s="6" t="s">
        <v>4240</v>
      </c>
      <c r="AX836" s="6" t="s">
        <v>4241</v>
      </c>
      <c r="AY836" s="6" t="s">
        <v>4242</v>
      </c>
      <c r="AZ836" s="6" t="s">
        <v>4242</v>
      </c>
      <c r="BA836" s="6" t="s">
        <v>4243</v>
      </c>
      <c r="BB836" s="6" t="s">
        <v>4244</v>
      </c>
      <c r="BC836" s="6" t="s">
        <v>4245</v>
      </c>
      <c r="BE836" s="15" t="s">
        <v>2145</v>
      </c>
      <c r="BF836" s="6" t="s">
        <v>4246</v>
      </c>
    </row>
    <row r="837" customFormat="false" ht="82.5" hidden="false" customHeight="false" outlineLevel="0" collapsed="false">
      <c r="A837" s="26" t="s">
        <v>63</v>
      </c>
      <c r="B837" s="27" t="s">
        <v>2129</v>
      </c>
      <c r="C837" s="27" t="s">
        <v>2130</v>
      </c>
      <c r="D837" s="27" t="s">
        <v>4247</v>
      </c>
      <c r="E837" s="27" t="s">
        <v>4248</v>
      </c>
      <c r="F837" s="27" t="s">
        <v>4249</v>
      </c>
      <c r="G837" s="28"/>
      <c r="H837" s="6" t="s">
        <v>63</v>
      </c>
      <c r="I837" s="6" t="s">
        <v>62</v>
      </c>
      <c r="J837" s="6" t="s">
        <v>63</v>
      </c>
      <c r="K837" s="6" t="s">
        <v>63</v>
      </c>
      <c r="L837" s="6" t="s">
        <v>64</v>
      </c>
      <c r="M837" s="27" t="s">
        <v>4250</v>
      </c>
      <c r="N837" s="27" t="s">
        <v>4251</v>
      </c>
      <c r="O837" s="6" t="s">
        <v>2396</v>
      </c>
      <c r="P837" s="28"/>
      <c r="Q837" s="6" t="s">
        <v>67</v>
      </c>
      <c r="R837" s="6" t="s">
        <v>367</v>
      </c>
      <c r="S837" s="27" t="s">
        <v>4252</v>
      </c>
      <c r="T837" s="6" t="s">
        <v>4225</v>
      </c>
      <c r="U837" s="7" t="n">
        <v>2</v>
      </c>
      <c r="V837" s="7" t="n">
        <v>2</v>
      </c>
      <c r="W837" s="8" t="s">
        <v>3354</v>
      </c>
      <c r="X837" s="8" t="s">
        <v>3354</v>
      </c>
      <c r="Y837" s="8" t="s">
        <v>4227</v>
      </c>
      <c r="Z837" s="8" t="s">
        <v>4227</v>
      </c>
      <c r="AA837" s="7" t="n">
        <v>345</v>
      </c>
      <c r="AB837" s="7" t="n">
        <v>290</v>
      </c>
      <c r="AC837" s="7" t="n">
        <v>490</v>
      </c>
      <c r="AD837" s="7" t="n">
        <v>2</v>
      </c>
      <c r="AE837" s="7" t="n">
        <v>3</v>
      </c>
      <c r="AF837" s="7" t="n">
        <v>30</v>
      </c>
      <c r="AG837" s="7" t="n">
        <v>32</v>
      </c>
      <c r="AH837" s="7" t="n">
        <v>10</v>
      </c>
      <c r="AI837" s="7" t="n">
        <v>11</v>
      </c>
      <c r="AJ837" s="7" t="n">
        <v>8</v>
      </c>
      <c r="AK837" s="7" t="n">
        <v>9</v>
      </c>
      <c r="AL837" s="7" t="n">
        <v>22</v>
      </c>
      <c r="AM837" s="7" t="n">
        <v>23</v>
      </c>
      <c r="AN837" s="7" t="n">
        <v>1</v>
      </c>
      <c r="AO837" s="7" t="n">
        <v>1</v>
      </c>
      <c r="AP837" s="7" t="n">
        <v>0</v>
      </c>
      <c r="AQ837" s="7" t="n">
        <v>0</v>
      </c>
      <c r="AR837" s="6" t="s">
        <v>63</v>
      </c>
      <c r="AS837" s="6" t="s">
        <v>63</v>
      </c>
      <c r="AT837" s="28"/>
      <c r="AU837" s="9" t="str">
        <f aca="false">HYPERLINK("https://creighton-primo.hosted.exlibrisgroup.com/primo-explore/search?tab=default_tab&amp;search_scope=EVERYTHING&amp;vid=01CRU&amp;lang=en_US&amp;offset=0&amp;query=any,contains,991000991699702656","Catalog Record")</f>
        <v>Catalog Record</v>
      </c>
      <c r="AV837" s="9" t="str">
        <f aca="false">HYPERLINK("http://www.worldcat.org/oclc/171214","WorldCat Record")</f>
        <v>WorldCat Record</v>
      </c>
      <c r="AW837" s="6" t="s">
        <v>4253</v>
      </c>
      <c r="AX837" s="6" t="s">
        <v>4254</v>
      </c>
      <c r="AY837" s="6" t="s">
        <v>4255</v>
      </c>
      <c r="AZ837" s="6" t="s">
        <v>4255</v>
      </c>
      <c r="BA837" s="6" t="s">
        <v>4256</v>
      </c>
      <c r="BB837" s="28"/>
      <c r="BC837" s="6" t="s">
        <v>4257</v>
      </c>
      <c r="BE837" s="15" t="s">
        <v>2145</v>
      </c>
      <c r="BF837" s="6" t="s">
        <v>4258</v>
      </c>
    </row>
    <row r="838" customFormat="false" ht="82.5" hidden="false" customHeight="false" outlineLevel="0" collapsed="false">
      <c r="A838" s="26" t="s">
        <v>63</v>
      </c>
      <c r="B838" s="27" t="s">
        <v>2129</v>
      </c>
      <c r="C838" s="27" t="s">
        <v>2130</v>
      </c>
      <c r="D838" s="27" t="s">
        <v>4259</v>
      </c>
      <c r="E838" s="27" t="s">
        <v>4260</v>
      </c>
      <c r="F838" s="27" t="s">
        <v>4261</v>
      </c>
      <c r="G838" s="28"/>
      <c r="H838" s="6" t="s">
        <v>63</v>
      </c>
      <c r="I838" s="6" t="s">
        <v>62</v>
      </c>
      <c r="J838" s="6" t="s">
        <v>63</v>
      </c>
      <c r="K838" s="6" t="s">
        <v>63</v>
      </c>
      <c r="L838" s="6" t="s">
        <v>64</v>
      </c>
      <c r="M838" s="27" t="s">
        <v>4262</v>
      </c>
      <c r="N838" s="27" t="s">
        <v>4263</v>
      </c>
      <c r="O838" s="6" t="s">
        <v>180</v>
      </c>
      <c r="P838" s="28"/>
      <c r="Q838" s="6" t="s">
        <v>67</v>
      </c>
      <c r="R838" s="6" t="s">
        <v>409</v>
      </c>
      <c r="S838" s="28"/>
      <c r="T838" s="6" t="s">
        <v>4225</v>
      </c>
      <c r="U838" s="7" t="n">
        <v>6</v>
      </c>
      <c r="V838" s="7" t="n">
        <v>6</v>
      </c>
      <c r="W838" s="8" t="s">
        <v>4264</v>
      </c>
      <c r="X838" s="8" t="s">
        <v>4264</v>
      </c>
      <c r="Y838" s="8" t="s">
        <v>4265</v>
      </c>
      <c r="Z838" s="8" t="s">
        <v>4265</v>
      </c>
      <c r="AA838" s="7" t="n">
        <v>226</v>
      </c>
      <c r="AB838" s="7" t="n">
        <v>197</v>
      </c>
      <c r="AC838" s="7" t="n">
        <v>207</v>
      </c>
      <c r="AD838" s="7" t="n">
        <v>3</v>
      </c>
      <c r="AE838" s="7" t="n">
        <v>3</v>
      </c>
      <c r="AF838" s="7" t="n">
        <v>23</v>
      </c>
      <c r="AG838" s="7" t="n">
        <v>23</v>
      </c>
      <c r="AH838" s="7" t="n">
        <v>7</v>
      </c>
      <c r="AI838" s="7" t="n">
        <v>7</v>
      </c>
      <c r="AJ838" s="7" t="n">
        <v>4</v>
      </c>
      <c r="AK838" s="7" t="n">
        <v>4</v>
      </c>
      <c r="AL838" s="7" t="n">
        <v>20</v>
      </c>
      <c r="AM838" s="7" t="n">
        <v>20</v>
      </c>
      <c r="AN838" s="7" t="n">
        <v>0</v>
      </c>
      <c r="AO838" s="7" t="n">
        <v>0</v>
      </c>
      <c r="AP838" s="7" t="n">
        <v>0</v>
      </c>
      <c r="AQ838" s="7" t="n">
        <v>0</v>
      </c>
      <c r="AR838" s="6" t="s">
        <v>63</v>
      </c>
      <c r="AS838" s="6" t="s">
        <v>63</v>
      </c>
      <c r="AT838" s="28"/>
      <c r="AU838" s="9" t="str">
        <f aca="false">HYPERLINK("https://creighton-primo.hosted.exlibrisgroup.com/primo-explore/search?tab=default_tab&amp;search_scope=EVERYTHING&amp;vid=01CRU&amp;lang=en_US&amp;offset=0&amp;query=any,contains,991003452149702656","Catalog Record")</f>
        <v>Catalog Record</v>
      </c>
      <c r="AV838" s="9" t="str">
        <f aca="false">HYPERLINK("http://www.worldcat.org/oclc/990851","WorldCat Record")</f>
        <v>WorldCat Record</v>
      </c>
      <c r="AW838" s="6" t="s">
        <v>4266</v>
      </c>
      <c r="AX838" s="6" t="s">
        <v>4267</v>
      </c>
      <c r="AY838" s="6" t="s">
        <v>4268</v>
      </c>
      <c r="AZ838" s="6" t="s">
        <v>4268</v>
      </c>
      <c r="BA838" s="6" t="s">
        <v>4269</v>
      </c>
      <c r="BB838" s="28"/>
      <c r="BC838" s="6" t="s">
        <v>4270</v>
      </c>
      <c r="BE838" s="15" t="s">
        <v>2145</v>
      </c>
      <c r="BF838" s="6" t="s">
        <v>4271</v>
      </c>
    </row>
    <row r="839" customFormat="false" ht="128.5" hidden="false" customHeight="false" outlineLevel="0" collapsed="false">
      <c r="A839" s="26" t="s">
        <v>57</v>
      </c>
      <c r="B839" s="27" t="s">
        <v>2129</v>
      </c>
      <c r="C839" s="27" t="s">
        <v>2130</v>
      </c>
      <c r="D839" s="27" t="s">
        <v>4272</v>
      </c>
      <c r="E839" s="27" t="s">
        <v>4273</v>
      </c>
      <c r="F839" s="27" t="s">
        <v>4274</v>
      </c>
      <c r="G839" s="28"/>
      <c r="H839" s="6" t="s">
        <v>63</v>
      </c>
      <c r="I839" s="6" t="s">
        <v>62</v>
      </c>
      <c r="J839" s="6" t="s">
        <v>63</v>
      </c>
      <c r="K839" s="6" t="s">
        <v>63</v>
      </c>
      <c r="L839" s="6" t="s">
        <v>64</v>
      </c>
      <c r="M839" s="28"/>
      <c r="N839" s="27" t="s">
        <v>4275</v>
      </c>
      <c r="O839" s="6" t="s">
        <v>2893</v>
      </c>
      <c r="P839" s="28"/>
      <c r="Q839" s="6" t="s">
        <v>67</v>
      </c>
      <c r="R839" s="6" t="s">
        <v>802</v>
      </c>
      <c r="S839" s="27" t="s">
        <v>4276</v>
      </c>
      <c r="T839" s="6" t="s">
        <v>4225</v>
      </c>
      <c r="U839" s="7" t="n">
        <v>2</v>
      </c>
      <c r="V839" s="7" t="n">
        <v>2</v>
      </c>
      <c r="W839" s="8" t="s">
        <v>4277</v>
      </c>
      <c r="X839" s="8" t="s">
        <v>4277</v>
      </c>
      <c r="Y839" s="8" t="s">
        <v>4265</v>
      </c>
      <c r="Z839" s="8" t="s">
        <v>4265</v>
      </c>
      <c r="AA839" s="7" t="n">
        <v>396</v>
      </c>
      <c r="AB839" s="7" t="n">
        <v>266</v>
      </c>
      <c r="AC839" s="7" t="n">
        <v>273</v>
      </c>
      <c r="AD839" s="7" t="n">
        <v>4</v>
      </c>
      <c r="AE839" s="7" t="n">
        <v>4</v>
      </c>
      <c r="AF839" s="7" t="n">
        <v>16</v>
      </c>
      <c r="AG839" s="7" t="n">
        <v>16</v>
      </c>
      <c r="AH839" s="7" t="n">
        <v>1</v>
      </c>
      <c r="AI839" s="7" t="n">
        <v>1</v>
      </c>
      <c r="AJ839" s="7" t="n">
        <v>6</v>
      </c>
      <c r="AK839" s="7" t="n">
        <v>6</v>
      </c>
      <c r="AL839" s="7" t="n">
        <v>10</v>
      </c>
      <c r="AM839" s="7" t="n">
        <v>10</v>
      </c>
      <c r="AN839" s="7" t="n">
        <v>3</v>
      </c>
      <c r="AO839" s="7" t="n">
        <v>3</v>
      </c>
      <c r="AP839" s="7" t="n">
        <v>0</v>
      </c>
      <c r="AQ839" s="7" t="n">
        <v>0</v>
      </c>
      <c r="AR839" s="6" t="s">
        <v>63</v>
      </c>
      <c r="AS839" s="6" t="s">
        <v>57</v>
      </c>
      <c r="AT839" s="9" t="str">
        <f aca="false">HYPERLINK("http://catalog.hathitrust.org/Record/000025558","HathiTrust Record")</f>
        <v>HathiTrust Record</v>
      </c>
      <c r="AU839" s="9" t="str">
        <f aca="false">HYPERLINK("https://creighton-primo.hosted.exlibrisgroup.com/primo-explore/search?tab=default_tab&amp;search_scope=EVERYTHING&amp;vid=01CRU&amp;lang=en_US&amp;offset=0&amp;query=any,contains,991003651069702656","Catalog Record")</f>
        <v>Catalog Record</v>
      </c>
      <c r="AV839" s="9" t="str">
        <f aca="false">HYPERLINK("http://www.worldcat.org/oclc/1254917","WorldCat Record")</f>
        <v>WorldCat Record</v>
      </c>
      <c r="AW839" s="6" t="s">
        <v>4278</v>
      </c>
      <c r="AX839" s="6" t="s">
        <v>4279</v>
      </c>
      <c r="AY839" s="6" t="s">
        <v>4280</v>
      </c>
      <c r="AZ839" s="6" t="s">
        <v>4280</v>
      </c>
      <c r="BA839" s="6" t="s">
        <v>4281</v>
      </c>
      <c r="BB839" s="6" t="s">
        <v>4282</v>
      </c>
      <c r="BC839" s="6" t="s">
        <v>4283</v>
      </c>
      <c r="BE839" s="15" t="s">
        <v>2145</v>
      </c>
      <c r="BF839" s="6" t="s">
        <v>4284</v>
      </c>
    </row>
    <row r="840" customFormat="false" ht="82.5" hidden="false" customHeight="false" outlineLevel="0" collapsed="false">
      <c r="A840" s="26" t="s">
        <v>57</v>
      </c>
      <c r="B840" s="27" t="s">
        <v>2129</v>
      </c>
      <c r="C840" s="27" t="s">
        <v>2130</v>
      </c>
      <c r="D840" s="27" t="s">
        <v>4285</v>
      </c>
      <c r="E840" s="27" t="s">
        <v>4286</v>
      </c>
      <c r="F840" s="27" t="s">
        <v>4287</v>
      </c>
      <c r="G840" s="28"/>
      <c r="H840" s="6" t="s">
        <v>63</v>
      </c>
      <c r="I840" s="6" t="s">
        <v>62</v>
      </c>
      <c r="J840" s="6" t="s">
        <v>63</v>
      </c>
      <c r="K840" s="6" t="s">
        <v>63</v>
      </c>
      <c r="L840" s="6" t="s">
        <v>64</v>
      </c>
      <c r="M840" s="27" t="s">
        <v>4288</v>
      </c>
      <c r="N840" s="27" t="s">
        <v>4289</v>
      </c>
      <c r="O840" s="6" t="s">
        <v>254</v>
      </c>
      <c r="P840" s="28"/>
      <c r="Q840" s="6" t="s">
        <v>67</v>
      </c>
      <c r="R840" s="6" t="s">
        <v>384</v>
      </c>
      <c r="S840" s="28"/>
      <c r="T840" s="6" t="s">
        <v>4225</v>
      </c>
      <c r="U840" s="7" t="n">
        <v>4</v>
      </c>
      <c r="V840" s="7" t="n">
        <v>4</v>
      </c>
      <c r="W840" s="8" t="s">
        <v>4290</v>
      </c>
      <c r="X840" s="8" t="s">
        <v>4290</v>
      </c>
      <c r="Y840" s="8" t="s">
        <v>4265</v>
      </c>
      <c r="Z840" s="8" t="s">
        <v>4265</v>
      </c>
      <c r="AA840" s="7" t="n">
        <v>762</v>
      </c>
      <c r="AB840" s="7" t="n">
        <v>573</v>
      </c>
      <c r="AC840" s="7" t="n">
        <v>584</v>
      </c>
      <c r="AD840" s="7" t="n">
        <v>4</v>
      </c>
      <c r="AE840" s="7" t="n">
        <v>4</v>
      </c>
      <c r="AF840" s="7" t="n">
        <v>27</v>
      </c>
      <c r="AG840" s="7" t="n">
        <v>27</v>
      </c>
      <c r="AH840" s="7" t="n">
        <v>6</v>
      </c>
      <c r="AI840" s="7" t="n">
        <v>6</v>
      </c>
      <c r="AJ840" s="7" t="n">
        <v>9</v>
      </c>
      <c r="AK840" s="7" t="n">
        <v>9</v>
      </c>
      <c r="AL840" s="7" t="n">
        <v>15</v>
      </c>
      <c r="AM840" s="7" t="n">
        <v>15</v>
      </c>
      <c r="AN840" s="7" t="n">
        <v>3</v>
      </c>
      <c r="AO840" s="7" t="n">
        <v>3</v>
      </c>
      <c r="AP840" s="7" t="n">
        <v>0</v>
      </c>
      <c r="AQ840" s="7" t="n">
        <v>0</v>
      </c>
      <c r="AR840" s="6" t="s">
        <v>63</v>
      </c>
      <c r="AS840" s="6" t="s">
        <v>63</v>
      </c>
      <c r="AT840" s="28"/>
      <c r="AU840" s="9" t="str">
        <f aca="false">HYPERLINK("https://creighton-primo.hosted.exlibrisgroup.com/primo-explore/search?tab=default_tab&amp;search_scope=EVERYTHING&amp;vid=01CRU&amp;lang=en_US&amp;offset=0&amp;query=any,contains,991003060599702656","Catalog Record")</f>
        <v>Catalog Record</v>
      </c>
      <c r="AV840" s="9" t="str">
        <f aca="false">HYPERLINK("http://www.worldcat.org/oclc/617958","WorldCat Record")</f>
        <v>WorldCat Record</v>
      </c>
      <c r="AW840" s="6" t="s">
        <v>4291</v>
      </c>
      <c r="AX840" s="6" t="s">
        <v>4292</v>
      </c>
      <c r="AY840" s="6" t="s">
        <v>4293</v>
      </c>
      <c r="AZ840" s="6" t="s">
        <v>4293</v>
      </c>
      <c r="BA840" s="6" t="s">
        <v>4294</v>
      </c>
      <c r="BB840" s="6" t="s">
        <v>4295</v>
      </c>
      <c r="BC840" s="6" t="s">
        <v>4296</v>
      </c>
      <c r="BE840" s="15" t="s">
        <v>2145</v>
      </c>
      <c r="BF840" s="6" t="s">
        <v>4297</v>
      </c>
    </row>
    <row r="841" customFormat="false" ht="105.5" hidden="false" customHeight="false" outlineLevel="0" collapsed="false">
      <c r="A841" s="26" t="s">
        <v>63</v>
      </c>
      <c r="B841" s="27" t="s">
        <v>2129</v>
      </c>
      <c r="C841" s="27" t="s">
        <v>2130</v>
      </c>
      <c r="D841" s="27" t="s">
        <v>4298</v>
      </c>
      <c r="E841" s="27" t="s">
        <v>4299</v>
      </c>
      <c r="F841" s="27" t="s">
        <v>4300</v>
      </c>
      <c r="G841" s="28"/>
      <c r="H841" s="6" t="s">
        <v>63</v>
      </c>
      <c r="I841" s="6" t="s">
        <v>62</v>
      </c>
      <c r="J841" s="6" t="s">
        <v>63</v>
      </c>
      <c r="K841" s="6" t="s">
        <v>63</v>
      </c>
      <c r="L841" s="6" t="s">
        <v>64</v>
      </c>
      <c r="M841" s="27" t="s">
        <v>4301</v>
      </c>
      <c r="N841" s="27" t="s">
        <v>4302</v>
      </c>
      <c r="O841" s="6" t="s">
        <v>264</v>
      </c>
      <c r="P841" s="28"/>
      <c r="Q841" s="6" t="s">
        <v>67</v>
      </c>
      <c r="R841" s="6" t="s">
        <v>1059</v>
      </c>
      <c r="S841" s="27" t="s">
        <v>4303</v>
      </c>
      <c r="T841" s="6" t="s">
        <v>4225</v>
      </c>
      <c r="U841" s="7" t="n">
        <v>2</v>
      </c>
      <c r="V841" s="7" t="n">
        <v>2</v>
      </c>
      <c r="W841" s="8" t="s">
        <v>4304</v>
      </c>
      <c r="X841" s="8" t="s">
        <v>4304</v>
      </c>
      <c r="Y841" s="8" t="s">
        <v>4265</v>
      </c>
      <c r="Z841" s="8" t="s">
        <v>4265</v>
      </c>
      <c r="AA841" s="7" t="n">
        <v>631</v>
      </c>
      <c r="AB841" s="7" t="n">
        <v>543</v>
      </c>
      <c r="AC841" s="7" t="n">
        <v>546</v>
      </c>
      <c r="AD841" s="7" t="n">
        <v>5</v>
      </c>
      <c r="AE841" s="7" t="n">
        <v>5</v>
      </c>
      <c r="AF841" s="7" t="n">
        <v>38</v>
      </c>
      <c r="AG841" s="7" t="n">
        <v>38</v>
      </c>
      <c r="AH841" s="7" t="n">
        <v>14</v>
      </c>
      <c r="AI841" s="7" t="n">
        <v>14</v>
      </c>
      <c r="AJ841" s="7" t="n">
        <v>9</v>
      </c>
      <c r="AK841" s="7" t="n">
        <v>9</v>
      </c>
      <c r="AL841" s="7" t="n">
        <v>22</v>
      </c>
      <c r="AM841" s="7" t="n">
        <v>22</v>
      </c>
      <c r="AN841" s="7" t="n">
        <v>4</v>
      </c>
      <c r="AO841" s="7" t="n">
        <v>4</v>
      </c>
      <c r="AP841" s="7" t="n">
        <v>0</v>
      </c>
      <c r="AQ841" s="7" t="n">
        <v>0</v>
      </c>
      <c r="AR841" s="6" t="s">
        <v>63</v>
      </c>
      <c r="AS841" s="6" t="s">
        <v>57</v>
      </c>
      <c r="AT841" s="9" t="str">
        <f aca="false">HYPERLINK("http://catalog.hathitrust.org/Record/001387981","HathiTrust Record")</f>
        <v>HathiTrust Record</v>
      </c>
      <c r="AU841" s="9" t="str">
        <f aca="false">HYPERLINK("https://creighton-primo.hosted.exlibrisgroup.com/primo-explore/search?tab=default_tab&amp;search_scope=EVERYTHING&amp;vid=01CRU&amp;lang=en_US&amp;offset=0&amp;query=any,contains,991005353279702656","Catalog Record")</f>
        <v>Catalog Record</v>
      </c>
      <c r="AV841" s="9" t="str">
        <f aca="false">HYPERLINK("http://www.worldcat.org/oclc/109702","WorldCat Record")</f>
        <v>WorldCat Record</v>
      </c>
      <c r="AW841" s="6" t="s">
        <v>4305</v>
      </c>
      <c r="AX841" s="6" t="s">
        <v>4306</v>
      </c>
      <c r="AY841" s="6" t="s">
        <v>4307</v>
      </c>
      <c r="AZ841" s="6" t="s">
        <v>4307</v>
      </c>
      <c r="BA841" s="6" t="s">
        <v>4308</v>
      </c>
      <c r="BB841" s="6" t="s">
        <v>4309</v>
      </c>
      <c r="BC841" s="6" t="s">
        <v>4310</v>
      </c>
      <c r="BE841" s="15" t="s">
        <v>2145</v>
      </c>
      <c r="BF841" s="6" t="s">
        <v>4311</v>
      </c>
    </row>
    <row r="842" customFormat="false" ht="71" hidden="false" customHeight="false" outlineLevel="0" collapsed="false">
      <c r="A842" s="26" t="s">
        <v>63</v>
      </c>
      <c r="B842" s="27" t="s">
        <v>2129</v>
      </c>
      <c r="C842" s="27" t="s">
        <v>2130</v>
      </c>
      <c r="D842" s="27" t="s">
        <v>4312</v>
      </c>
      <c r="E842" s="27" t="s">
        <v>4313</v>
      </c>
      <c r="F842" s="27" t="s">
        <v>4314</v>
      </c>
      <c r="G842" s="28"/>
      <c r="H842" s="6" t="s">
        <v>63</v>
      </c>
      <c r="I842" s="6" t="s">
        <v>62</v>
      </c>
      <c r="J842" s="6" t="s">
        <v>63</v>
      </c>
      <c r="K842" s="6" t="s">
        <v>63</v>
      </c>
      <c r="L842" s="6" t="s">
        <v>64</v>
      </c>
      <c r="M842" s="27" t="s">
        <v>4315</v>
      </c>
      <c r="N842" s="27" t="s">
        <v>4316</v>
      </c>
      <c r="O842" s="6" t="s">
        <v>2329</v>
      </c>
      <c r="P842" s="28"/>
      <c r="Q842" s="6" t="s">
        <v>67</v>
      </c>
      <c r="R842" s="6" t="s">
        <v>1108</v>
      </c>
      <c r="S842" s="27" t="s">
        <v>4317</v>
      </c>
      <c r="T842" s="6" t="s">
        <v>4225</v>
      </c>
      <c r="U842" s="7" t="n">
        <v>2</v>
      </c>
      <c r="V842" s="7" t="n">
        <v>2</v>
      </c>
      <c r="W842" s="8" t="s">
        <v>4318</v>
      </c>
      <c r="X842" s="8" t="s">
        <v>4318</v>
      </c>
      <c r="Y842" s="8" t="s">
        <v>4265</v>
      </c>
      <c r="Z842" s="8" t="s">
        <v>4265</v>
      </c>
      <c r="AA842" s="7" t="n">
        <v>807</v>
      </c>
      <c r="AB842" s="7" t="n">
        <v>631</v>
      </c>
      <c r="AC842" s="7" t="n">
        <v>637</v>
      </c>
      <c r="AD842" s="7" t="n">
        <v>5</v>
      </c>
      <c r="AE842" s="7" t="n">
        <v>5</v>
      </c>
      <c r="AF842" s="7" t="n">
        <v>29</v>
      </c>
      <c r="AG842" s="7" t="n">
        <v>29</v>
      </c>
      <c r="AH842" s="7" t="n">
        <v>10</v>
      </c>
      <c r="AI842" s="7" t="n">
        <v>10</v>
      </c>
      <c r="AJ842" s="7" t="n">
        <v>5</v>
      </c>
      <c r="AK842" s="7" t="n">
        <v>5</v>
      </c>
      <c r="AL842" s="7" t="n">
        <v>18</v>
      </c>
      <c r="AM842" s="7" t="n">
        <v>18</v>
      </c>
      <c r="AN842" s="7" t="n">
        <v>4</v>
      </c>
      <c r="AO842" s="7" t="n">
        <v>4</v>
      </c>
      <c r="AP842" s="7" t="n">
        <v>0</v>
      </c>
      <c r="AQ842" s="7" t="n">
        <v>0</v>
      </c>
      <c r="AR842" s="6" t="s">
        <v>63</v>
      </c>
      <c r="AS842" s="6" t="s">
        <v>63</v>
      </c>
      <c r="AT842" s="9" t="str">
        <f aca="false">HYPERLINK("http://catalog.hathitrust.org/Record/001387983","HathiTrust Record")</f>
        <v>HathiTrust Record</v>
      </c>
      <c r="AU842" s="9" t="str">
        <f aca="false">HYPERLINK("https://creighton-primo.hosted.exlibrisgroup.com/primo-explore/search?tab=default_tab&amp;search_scope=EVERYTHING&amp;vid=01CRU&amp;lang=en_US&amp;offset=0&amp;query=any,contains,991002355969702656","Catalog Record")</f>
        <v>Catalog Record</v>
      </c>
      <c r="AV842" s="9" t="str">
        <f aca="false">HYPERLINK("http://www.worldcat.org/oclc/325530","WorldCat Record")</f>
        <v>WorldCat Record</v>
      </c>
      <c r="AW842" s="6" t="s">
        <v>4319</v>
      </c>
      <c r="AX842" s="6" t="s">
        <v>4320</v>
      </c>
      <c r="AY842" s="6" t="s">
        <v>4321</v>
      </c>
      <c r="AZ842" s="6" t="s">
        <v>4321</v>
      </c>
      <c r="BA842" s="6" t="s">
        <v>4322</v>
      </c>
      <c r="BB842" s="28"/>
      <c r="BC842" s="6" t="s">
        <v>4323</v>
      </c>
      <c r="BE842" s="15" t="s">
        <v>2145</v>
      </c>
      <c r="BF842" s="6" t="s">
        <v>4324</v>
      </c>
    </row>
    <row r="843" customFormat="false" ht="82.5" hidden="false" customHeight="false" outlineLevel="0" collapsed="false">
      <c r="A843" s="26" t="s">
        <v>57</v>
      </c>
      <c r="B843" s="27" t="s">
        <v>2129</v>
      </c>
      <c r="C843" s="27" t="s">
        <v>2130</v>
      </c>
      <c r="D843" s="27" t="s">
        <v>4325</v>
      </c>
      <c r="E843" s="27" t="s">
        <v>4326</v>
      </c>
      <c r="F843" s="27" t="s">
        <v>4327</v>
      </c>
      <c r="G843" s="28"/>
      <c r="H843" s="6" t="s">
        <v>63</v>
      </c>
      <c r="I843" s="6" t="s">
        <v>62</v>
      </c>
      <c r="J843" s="6" t="s">
        <v>63</v>
      </c>
      <c r="K843" s="6" t="s">
        <v>63</v>
      </c>
      <c r="L843" s="6" t="s">
        <v>64</v>
      </c>
      <c r="M843" s="27" t="s">
        <v>4328</v>
      </c>
      <c r="N843" s="27" t="s">
        <v>4329</v>
      </c>
      <c r="O843" s="6" t="s">
        <v>208</v>
      </c>
      <c r="P843" s="28"/>
      <c r="Q843" s="6" t="s">
        <v>67</v>
      </c>
      <c r="R843" s="6" t="s">
        <v>222</v>
      </c>
      <c r="S843" s="28"/>
      <c r="T843" s="6" t="s">
        <v>4225</v>
      </c>
      <c r="U843" s="7" t="n">
        <v>3</v>
      </c>
      <c r="V843" s="7" t="n">
        <v>3</v>
      </c>
      <c r="W843" s="8" t="s">
        <v>4330</v>
      </c>
      <c r="X843" s="8" t="s">
        <v>4330</v>
      </c>
      <c r="Y843" s="8" t="s">
        <v>2208</v>
      </c>
      <c r="Z843" s="8" t="s">
        <v>2208</v>
      </c>
      <c r="AA843" s="7" t="n">
        <v>457</v>
      </c>
      <c r="AB843" s="7" t="n">
        <v>343</v>
      </c>
      <c r="AC843" s="7" t="n">
        <v>347</v>
      </c>
      <c r="AD843" s="7" t="n">
        <v>3</v>
      </c>
      <c r="AE843" s="7" t="n">
        <v>3</v>
      </c>
      <c r="AF843" s="7" t="n">
        <v>20</v>
      </c>
      <c r="AG843" s="7" t="n">
        <v>20</v>
      </c>
      <c r="AH843" s="7" t="n">
        <v>7</v>
      </c>
      <c r="AI843" s="7" t="n">
        <v>7</v>
      </c>
      <c r="AJ843" s="7" t="n">
        <v>5</v>
      </c>
      <c r="AK843" s="7" t="n">
        <v>5</v>
      </c>
      <c r="AL843" s="7" t="n">
        <v>14</v>
      </c>
      <c r="AM843" s="7" t="n">
        <v>14</v>
      </c>
      <c r="AN843" s="7" t="n">
        <v>2</v>
      </c>
      <c r="AO843" s="7" t="n">
        <v>2</v>
      </c>
      <c r="AP843" s="7" t="n">
        <v>0</v>
      </c>
      <c r="AQ843" s="7" t="n">
        <v>0</v>
      </c>
      <c r="AR843" s="6" t="s">
        <v>63</v>
      </c>
      <c r="AS843" s="6" t="s">
        <v>57</v>
      </c>
      <c r="AT843" s="9" t="str">
        <f aca="false">HYPERLINK("http://catalog.hathitrust.org/Record/000852133","HathiTrust Record")</f>
        <v>HathiTrust Record</v>
      </c>
      <c r="AU843" s="9" t="str">
        <f aca="false">HYPERLINK("https://creighton-primo.hosted.exlibrisgroup.com/primo-explore/search?tab=default_tab&amp;search_scope=EVERYTHING&amp;vid=01CRU&amp;lang=en_US&amp;offset=0&amp;query=any,contains,991000975339702656","Catalog Record")</f>
        <v>Catalog Record</v>
      </c>
      <c r="AV843" s="9" t="str">
        <f aca="false">HYPERLINK("http://www.worldcat.org/oclc/15015094","WorldCat Record")</f>
        <v>WorldCat Record</v>
      </c>
      <c r="AW843" s="6" t="s">
        <v>4331</v>
      </c>
      <c r="AX843" s="6" t="s">
        <v>4332</v>
      </c>
      <c r="AY843" s="6" t="s">
        <v>4333</v>
      </c>
      <c r="AZ843" s="6" t="s">
        <v>4333</v>
      </c>
      <c r="BA843" s="6" t="s">
        <v>4334</v>
      </c>
      <c r="BB843" s="6" t="s">
        <v>4335</v>
      </c>
      <c r="BC843" s="6" t="s">
        <v>4336</v>
      </c>
      <c r="BE843" s="15" t="s">
        <v>2145</v>
      </c>
      <c r="BF843" s="6" t="s">
        <v>4337</v>
      </c>
    </row>
    <row r="844" customFormat="false" ht="94" hidden="false" customHeight="false" outlineLevel="0" collapsed="false">
      <c r="A844" s="26" t="s">
        <v>63</v>
      </c>
      <c r="B844" s="27" t="s">
        <v>2129</v>
      </c>
      <c r="C844" s="27" t="s">
        <v>2130</v>
      </c>
      <c r="D844" s="27" t="s">
        <v>4338</v>
      </c>
      <c r="E844" s="27" t="s">
        <v>4339</v>
      </c>
      <c r="F844" s="27" t="s">
        <v>4340</v>
      </c>
      <c r="G844" s="28"/>
      <c r="H844" s="6" t="s">
        <v>63</v>
      </c>
      <c r="I844" s="6" t="s">
        <v>62</v>
      </c>
      <c r="J844" s="6" t="s">
        <v>63</v>
      </c>
      <c r="K844" s="6" t="s">
        <v>63</v>
      </c>
      <c r="L844" s="6" t="s">
        <v>64</v>
      </c>
      <c r="M844" s="27" t="s">
        <v>4341</v>
      </c>
      <c r="N844" s="27" t="s">
        <v>4342</v>
      </c>
      <c r="O844" s="6" t="s">
        <v>2411</v>
      </c>
      <c r="P844" s="27" t="s">
        <v>4343</v>
      </c>
      <c r="Q844" s="6" t="s">
        <v>67</v>
      </c>
      <c r="R844" s="6" t="s">
        <v>68</v>
      </c>
      <c r="S844" s="28"/>
      <c r="T844" s="6" t="s">
        <v>4225</v>
      </c>
      <c r="U844" s="7" t="n">
        <v>2</v>
      </c>
      <c r="V844" s="7" t="n">
        <v>2</v>
      </c>
      <c r="W844" s="8" t="s">
        <v>4344</v>
      </c>
      <c r="X844" s="8" t="s">
        <v>4344</v>
      </c>
      <c r="Y844" s="8" t="s">
        <v>4345</v>
      </c>
      <c r="Z844" s="8" t="s">
        <v>4345</v>
      </c>
      <c r="AA844" s="7" t="n">
        <v>56</v>
      </c>
      <c r="AB844" s="7" t="n">
        <v>40</v>
      </c>
      <c r="AC844" s="7" t="n">
        <v>264</v>
      </c>
      <c r="AD844" s="7" t="n">
        <v>1</v>
      </c>
      <c r="AE844" s="7" t="n">
        <v>3</v>
      </c>
      <c r="AF844" s="7" t="n">
        <v>0</v>
      </c>
      <c r="AG844" s="7" t="n">
        <v>14</v>
      </c>
      <c r="AH844" s="7" t="n">
        <v>0</v>
      </c>
      <c r="AI844" s="7" t="n">
        <v>4</v>
      </c>
      <c r="AJ844" s="7" t="n">
        <v>0</v>
      </c>
      <c r="AK844" s="7" t="n">
        <v>3</v>
      </c>
      <c r="AL844" s="7" t="n">
        <v>0</v>
      </c>
      <c r="AM844" s="7" t="n">
        <v>7</v>
      </c>
      <c r="AN844" s="7" t="n">
        <v>0</v>
      </c>
      <c r="AO844" s="7" t="n">
        <v>2</v>
      </c>
      <c r="AP844" s="7" t="n">
        <v>0</v>
      </c>
      <c r="AQ844" s="7" t="n">
        <v>0</v>
      </c>
      <c r="AR844" s="6" t="s">
        <v>63</v>
      </c>
      <c r="AS844" s="6" t="s">
        <v>63</v>
      </c>
      <c r="AT844" s="28"/>
      <c r="AU844" s="9" t="str">
        <f aca="false">HYPERLINK("https://creighton-primo.hosted.exlibrisgroup.com/primo-explore/search?tab=default_tab&amp;search_scope=EVERYTHING&amp;vid=01CRU&amp;lang=en_US&amp;offset=0&amp;query=any,contains,991001438149702656","Catalog Record")</f>
        <v>Catalog Record</v>
      </c>
      <c r="AV844" s="9" t="str">
        <f aca="false">HYPERLINK("http://www.worldcat.org/oclc/19210874","WorldCat Record")</f>
        <v>WorldCat Record</v>
      </c>
      <c r="AW844" s="6" t="s">
        <v>4346</v>
      </c>
      <c r="AX844" s="6" t="s">
        <v>4347</v>
      </c>
      <c r="AY844" s="6" t="s">
        <v>4348</v>
      </c>
      <c r="AZ844" s="6" t="s">
        <v>4348</v>
      </c>
      <c r="BA844" s="6" t="s">
        <v>4349</v>
      </c>
      <c r="BB844" s="6" t="s">
        <v>4350</v>
      </c>
      <c r="BC844" s="6" t="s">
        <v>4351</v>
      </c>
      <c r="BE844" s="15" t="s">
        <v>2145</v>
      </c>
      <c r="BF844" s="6" t="s">
        <v>4352</v>
      </c>
    </row>
    <row r="845" customFormat="false" ht="151.5" hidden="false" customHeight="false" outlineLevel="0" collapsed="false">
      <c r="A845" s="26" t="s">
        <v>63</v>
      </c>
      <c r="B845" s="27" t="s">
        <v>2129</v>
      </c>
      <c r="C845" s="27" t="s">
        <v>2130</v>
      </c>
      <c r="D845" s="27" t="s">
        <v>4353</v>
      </c>
      <c r="E845" s="27" t="s">
        <v>4354</v>
      </c>
      <c r="F845" s="27" t="s">
        <v>4355</v>
      </c>
      <c r="G845" s="28"/>
      <c r="H845" s="6" t="s">
        <v>63</v>
      </c>
      <c r="I845" s="6" t="s">
        <v>62</v>
      </c>
      <c r="J845" s="6" t="s">
        <v>63</v>
      </c>
      <c r="K845" s="6" t="s">
        <v>63</v>
      </c>
      <c r="L845" s="6" t="s">
        <v>64</v>
      </c>
      <c r="M845" s="27" t="s">
        <v>4356</v>
      </c>
      <c r="N845" s="27" t="s">
        <v>4357</v>
      </c>
      <c r="O845" s="6" t="s">
        <v>2262</v>
      </c>
      <c r="P845" s="28"/>
      <c r="Q845" s="6" t="s">
        <v>67</v>
      </c>
      <c r="R845" s="6" t="s">
        <v>181</v>
      </c>
      <c r="S845" s="28"/>
      <c r="T845" s="6" t="s">
        <v>4225</v>
      </c>
      <c r="U845" s="7" t="n">
        <v>4</v>
      </c>
      <c r="V845" s="7" t="n">
        <v>4</v>
      </c>
      <c r="W845" s="8" t="s">
        <v>4358</v>
      </c>
      <c r="X845" s="8" t="s">
        <v>4358</v>
      </c>
      <c r="Y845" s="8" t="s">
        <v>2208</v>
      </c>
      <c r="Z845" s="8" t="s">
        <v>2208</v>
      </c>
      <c r="AA845" s="7" t="n">
        <v>657</v>
      </c>
      <c r="AB845" s="7" t="n">
        <v>528</v>
      </c>
      <c r="AC845" s="7" t="n">
        <v>677</v>
      </c>
      <c r="AD845" s="7" t="n">
        <v>3</v>
      </c>
      <c r="AE845" s="7" t="n">
        <v>3</v>
      </c>
      <c r="AF845" s="7" t="n">
        <v>28</v>
      </c>
      <c r="AG845" s="7" t="n">
        <v>34</v>
      </c>
      <c r="AH845" s="7" t="n">
        <v>10</v>
      </c>
      <c r="AI845" s="7" t="n">
        <v>14</v>
      </c>
      <c r="AJ845" s="7" t="n">
        <v>5</v>
      </c>
      <c r="AK845" s="7" t="n">
        <v>8</v>
      </c>
      <c r="AL845" s="7" t="n">
        <v>20</v>
      </c>
      <c r="AM845" s="7" t="n">
        <v>21</v>
      </c>
      <c r="AN845" s="7" t="n">
        <v>2</v>
      </c>
      <c r="AO845" s="7" t="n">
        <v>2</v>
      </c>
      <c r="AP845" s="7" t="n">
        <v>0</v>
      </c>
      <c r="AQ845" s="7" t="n">
        <v>0</v>
      </c>
      <c r="AR845" s="6" t="s">
        <v>63</v>
      </c>
      <c r="AS845" s="6" t="s">
        <v>63</v>
      </c>
      <c r="AT845" s="28"/>
      <c r="AU845" s="9" t="str">
        <f aca="false">HYPERLINK("https://creighton-primo.hosted.exlibrisgroup.com/primo-explore/search?tab=default_tab&amp;search_scope=EVERYTHING&amp;vid=01CRU&amp;lang=en_US&amp;offset=0&amp;query=any,contains,991000731309702656","Catalog Record")</f>
        <v>Catalog Record</v>
      </c>
      <c r="AV845" s="9" t="str">
        <f aca="false">HYPERLINK("http://www.worldcat.org/oclc/12724717","WorldCat Record")</f>
        <v>WorldCat Record</v>
      </c>
      <c r="AW845" s="6" t="s">
        <v>4359</v>
      </c>
      <c r="AX845" s="6" t="s">
        <v>4360</v>
      </c>
      <c r="AY845" s="6" t="s">
        <v>4361</v>
      </c>
      <c r="AZ845" s="6" t="s">
        <v>4361</v>
      </c>
      <c r="BA845" s="6" t="s">
        <v>4362</v>
      </c>
      <c r="BB845" s="6" t="s">
        <v>4363</v>
      </c>
      <c r="BC845" s="6" t="s">
        <v>4364</v>
      </c>
      <c r="BE845" s="15" t="s">
        <v>2145</v>
      </c>
      <c r="BF845" s="6" t="s">
        <v>4365</v>
      </c>
    </row>
    <row r="846" customFormat="false" ht="105.5" hidden="false" customHeight="false" outlineLevel="0" collapsed="false">
      <c r="A846" s="26" t="s">
        <v>57</v>
      </c>
      <c r="B846" s="27" t="s">
        <v>2129</v>
      </c>
      <c r="C846" s="27" t="s">
        <v>2130</v>
      </c>
      <c r="D846" s="27" t="s">
        <v>4366</v>
      </c>
      <c r="E846" s="27" t="s">
        <v>4367</v>
      </c>
      <c r="F846" s="27" t="s">
        <v>4368</v>
      </c>
      <c r="G846" s="28"/>
      <c r="H846" s="6" t="s">
        <v>63</v>
      </c>
      <c r="I846" s="6" t="s">
        <v>62</v>
      </c>
      <c r="J846" s="6" t="s">
        <v>63</v>
      </c>
      <c r="K846" s="6" t="s">
        <v>63</v>
      </c>
      <c r="L846" s="6" t="s">
        <v>64</v>
      </c>
      <c r="M846" s="27" t="s">
        <v>4369</v>
      </c>
      <c r="N846" s="27" t="s">
        <v>4370</v>
      </c>
      <c r="O846" s="6" t="s">
        <v>4053</v>
      </c>
      <c r="P846" s="28"/>
      <c r="Q846" s="6" t="s">
        <v>67</v>
      </c>
      <c r="R846" s="6" t="s">
        <v>68</v>
      </c>
      <c r="S846" s="28"/>
      <c r="T846" s="6" t="s">
        <v>4225</v>
      </c>
      <c r="U846" s="7" t="n">
        <v>3</v>
      </c>
      <c r="V846" s="7" t="n">
        <v>3</v>
      </c>
      <c r="W846" s="8" t="s">
        <v>4371</v>
      </c>
      <c r="X846" s="8" t="s">
        <v>4371</v>
      </c>
      <c r="Y846" s="8" t="s">
        <v>2208</v>
      </c>
      <c r="Z846" s="8" t="s">
        <v>2208</v>
      </c>
      <c r="AA846" s="7" t="n">
        <v>355</v>
      </c>
      <c r="AB846" s="7" t="n">
        <v>309</v>
      </c>
      <c r="AC846" s="7" t="n">
        <v>831</v>
      </c>
      <c r="AD846" s="7" t="n">
        <v>3</v>
      </c>
      <c r="AE846" s="7" t="n">
        <v>6</v>
      </c>
      <c r="AF846" s="7" t="n">
        <v>15</v>
      </c>
      <c r="AG846" s="7" t="n">
        <v>37</v>
      </c>
      <c r="AH846" s="7" t="n">
        <v>3</v>
      </c>
      <c r="AI846" s="7" t="n">
        <v>14</v>
      </c>
      <c r="AJ846" s="7" t="n">
        <v>5</v>
      </c>
      <c r="AK846" s="7" t="n">
        <v>7</v>
      </c>
      <c r="AL846" s="7" t="n">
        <v>8</v>
      </c>
      <c r="AM846" s="7" t="n">
        <v>21</v>
      </c>
      <c r="AN846" s="7" t="n">
        <v>2</v>
      </c>
      <c r="AO846" s="7" t="n">
        <v>5</v>
      </c>
      <c r="AP846" s="7" t="n">
        <v>0</v>
      </c>
      <c r="AQ846" s="7" t="n">
        <v>0</v>
      </c>
      <c r="AR846" s="6" t="s">
        <v>63</v>
      </c>
      <c r="AS846" s="6" t="s">
        <v>57</v>
      </c>
      <c r="AT846" s="9" t="str">
        <f aca="false">HYPERLINK("http://catalog.hathitrust.org/Record/001388018","HathiTrust Record")</f>
        <v>HathiTrust Record</v>
      </c>
      <c r="AU846" s="9" t="str">
        <f aca="false">HYPERLINK("https://creighton-primo.hosted.exlibrisgroup.com/primo-explore/search?tab=default_tab&amp;search_scope=EVERYTHING&amp;vid=01CRU&amp;lang=en_US&amp;offset=0&amp;query=any,contains,991003486879702656","Catalog Record")</f>
        <v>Catalog Record</v>
      </c>
      <c r="AV846" s="9" t="str">
        <f aca="false">HYPERLINK("http://www.worldcat.org/oclc/1034227","WorldCat Record")</f>
        <v>WorldCat Record</v>
      </c>
      <c r="AW846" s="6" t="s">
        <v>4372</v>
      </c>
      <c r="AX846" s="6" t="s">
        <v>4373</v>
      </c>
      <c r="AY846" s="6" t="s">
        <v>4374</v>
      </c>
      <c r="AZ846" s="6" t="s">
        <v>4374</v>
      </c>
      <c r="BA846" s="6" t="s">
        <v>4375</v>
      </c>
      <c r="BB846" s="28"/>
      <c r="BC846" s="6" t="s">
        <v>4376</v>
      </c>
      <c r="BE846" s="15" t="s">
        <v>2145</v>
      </c>
      <c r="BF846" s="6" t="s">
        <v>4377</v>
      </c>
    </row>
    <row r="847" customFormat="false" ht="93.15" hidden="false" customHeight="false" outlineLevel="0" collapsed="false">
      <c r="A847" s="26" t="s">
        <v>57</v>
      </c>
      <c r="B847" s="27" t="s">
        <v>2129</v>
      </c>
      <c r="C847" s="27" t="s">
        <v>2130</v>
      </c>
      <c r="D847" s="27" t="s">
        <v>4378</v>
      </c>
      <c r="E847" s="27" t="s">
        <v>4379</v>
      </c>
      <c r="F847" s="27" t="s">
        <v>4380</v>
      </c>
      <c r="G847" s="28"/>
      <c r="H847" s="6" t="s">
        <v>63</v>
      </c>
      <c r="I847" s="6" t="s">
        <v>62</v>
      </c>
      <c r="J847" s="6" t="s">
        <v>63</v>
      </c>
      <c r="K847" s="6" t="s">
        <v>63</v>
      </c>
      <c r="L847" s="6" t="s">
        <v>64</v>
      </c>
      <c r="M847" s="27" t="s">
        <v>4381</v>
      </c>
      <c r="N847" s="27" t="s">
        <v>4382</v>
      </c>
      <c r="O847" s="6" t="s">
        <v>3340</v>
      </c>
      <c r="P847" s="28"/>
      <c r="Q847" s="6" t="s">
        <v>67</v>
      </c>
      <c r="R847" s="6" t="s">
        <v>68</v>
      </c>
      <c r="S847" s="28"/>
      <c r="T847" s="6" t="s">
        <v>4225</v>
      </c>
      <c r="U847" s="7" t="n">
        <v>3</v>
      </c>
      <c r="V847" s="7" t="n">
        <v>3</v>
      </c>
      <c r="W847" s="8" t="s">
        <v>4383</v>
      </c>
      <c r="X847" s="8" t="s">
        <v>4383</v>
      </c>
      <c r="Y847" s="8" t="s">
        <v>2208</v>
      </c>
      <c r="Z847" s="8" t="s">
        <v>2208</v>
      </c>
      <c r="AA847" s="7" t="n">
        <v>742</v>
      </c>
      <c r="AB847" s="7" t="n">
        <v>605</v>
      </c>
      <c r="AC847" s="7" t="n">
        <v>612</v>
      </c>
      <c r="AD847" s="7" t="n">
        <v>6</v>
      </c>
      <c r="AE847" s="7" t="n">
        <v>6</v>
      </c>
      <c r="AF847" s="7" t="n">
        <v>32</v>
      </c>
      <c r="AG847" s="7" t="n">
        <v>32</v>
      </c>
      <c r="AH847" s="7" t="n">
        <v>12</v>
      </c>
      <c r="AI847" s="7" t="n">
        <v>12</v>
      </c>
      <c r="AJ847" s="7" t="n">
        <v>8</v>
      </c>
      <c r="AK847" s="7" t="n">
        <v>8</v>
      </c>
      <c r="AL847" s="7" t="n">
        <v>19</v>
      </c>
      <c r="AM847" s="7" t="n">
        <v>19</v>
      </c>
      <c r="AN847" s="7" t="n">
        <v>4</v>
      </c>
      <c r="AO847" s="7" t="n">
        <v>4</v>
      </c>
      <c r="AP847" s="7" t="n">
        <v>0</v>
      </c>
      <c r="AQ847" s="7" t="n">
        <v>0</v>
      </c>
      <c r="AR847" s="6" t="s">
        <v>63</v>
      </c>
      <c r="AS847" s="6" t="s">
        <v>57</v>
      </c>
      <c r="AT847" s="9" t="str">
        <f aca="false">HYPERLINK("http://catalog.hathitrust.org/Record/000129810","HathiTrust Record")</f>
        <v>HathiTrust Record</v>
      </c>
      <c r="AU847" s="9" t="str">
        <f aca="false">HYPERLINK("https://creighton-primo.hosted.exlibrisgroup.com/primo-explore/search?tab=default_tab&amp;search_scope=EVERYTHING&amp;vid=01CRU&amp;lang=en_US&amp;offset=0&amp;query=any,contains,991004196889702656","Catalog Record")</f>
        <v>Catalog Record</v>
      </c>
      <c r="AV847" s="9" t="str">
        <f aca="false">HYPERLINK("http://www.worldcat.org/oclc/2645036","WorldCat Record")</f>
        <v>WorldCat Record</v>
      </c>
      <c r="AW847" s="6" t="s">
        <v>4384</v>
      </c>
      <c r="AX847" s="6" t="s">
        <v>4385</v>
      </c>
      <c r="AY847" s="6" t="s">
        <v>4386</v>
      </c>
      <c r="AZ847" s="6" t="s">
        <v>4386</v>
      </c>
      <c r="BA847" s="6" t="s">
        <v>4387</v>
      </c>
      <c r="BB847" s="6" t="s">
        <v>4388</v>
      </c>
      <c r="BC847" s="6" t="s">
        <v>4389</v>
      </c>
      <c r="BE847" s="15" t="s">
        <v>2145</v>
      </c>
      <c r="BF847" s="6" t="s">
        <v>4390</v>
      </c>
    </row>
    <row r="848" customFormat="false" ht="71" hidden="false" customHeight="false" outlineLevel="0" collapsed="false">
      <c r="A848" s="26" t="s">
        <v>63</v>
      </c>
      <c r="B848" s="27" t="s">
        <v>2129</v>
      </c>
      <c r="C848" s="27" t="s">
        <v>2130</v>
      </c>
      <c r="D848" s="27" t="s">
        <v>4391</v>
      </c>
      <c r="E848" s="27" t="s">
        <v>4392</v>
      </c>
      <c r="F848" s="27" t="s">
        <v>4393</v>
      </c>
      <c r="G848" s="28"/>
      <c r="H848" s="6" t="s">
        <v>63</v>
      </c>
      <c r="I848" s="6" t="s">
        <v>62</v>
      </c>
      <c r="J848" s="6" t="s">
        <v>63</v>
      </c>
      <c r="K848" s="6" t="s">
        <v>63</v>
      </c>
      <c r="L848" s="6" t="s">
        <v>64</v>
      </c>
      <c r="M848" s="27" t="s">
        <v>4394</v>
      </c>
      <c r="N848" s="27" t="s">
        <v>4395</v>
      </c>
      <c r="O848" s="6" t="s">
        <v>2329</v>
      </c>
      <c r="P848" s="28"/>
      <c r="Q848" s="6" t="s">
        <v>67</v>
      </c>
      <c r="R848" s="6" t="s">
        <v>1108</v>
      </c>
      <c r="S848" s="28"/>
      <c r="T848" s="6" t="s">
        <v>4225</v>
      </c>
      <c r="U848" s="7" t="n">
        <v>1</v>
      </c>
      <c r="V848" s="7" t="n">
        <v>1</v>
      </c>
      <c r="W848" s="8" t="s">
        <v>4396</v>
      </c>
      <c r="X848" s="8" t="s">
        <v>4396</v>
      </c>
      <c r="Y848" s="8" t="s">
        <v>2208</v>
      </c>
      <c r="Z848" s="8" t="s">
        <v>2208</v>
      </c>
      <c r="AA848" s="7" t="n">
        <v>239</v>
      </c>
      <c r="AB848" s="7" t="n">
        <v>201</v>
      </c>
      <c r="AC848" s="7" t="n">
        <v>213</v>
      </c>
      <c r="AD848" s="7" t="n">
        <v>1</v>
      </c>
      <c r="AE848" s="7" t="n">
        <v>1</v>
      </c>
      <c r="AF848" s="7" t="n">
        <v>23</v>
      </c>
      <c r="AG848" s="7" t="n">
        <v>23</v>
      </c>
      <c r="AH848" s="7" t="n">
        <v>6</v>
      </c>
      <c r="AI848" s="7" t="n">
        <v>6</v>
      </c>
      <c r="AJ848" s="7" t="n">
        <v>6</v>
      </c>
      <c r="AK848" s="7" t="n">
        <v>6</v>
      </c>
      <c r="AL848" s="7" t="n">
        <v>19</v>
      </c>
      <c r="AM848" s="7" t="n">
        <v>19</v>
      </c>
      <c r="AN848" s="7" t="n">
        <v>0</v>
      </c>
      <c r="AO848" s="7" t="n">
        <v>0</v>
      </c>
      <c r="AP848" s="7" t="n">
        <v>0</v>
      </c>
      <c r="AQ848" s="7" t="n">
        <v>0</v>
      </c>
      <c r="AR848" s="6" t="s">
        <v>63</v>
      </c>
      <c r="AS848" s="6" t="s">
        <v>63</v>
      </c>
      <c r="AT848" s="9" t="str">
        <f aca="false">HYPERLINK("http://catalog.hathitrust.org/Record/009465640","HathiTrust Record")</f>
        <v>HathiTrust Record</v>
      </c>
      <c r="AU848" s="9" t="str">
        <f aca="false">HYPERLINK("https://creighton-primo.hosted.exlibrisgroup.com/primo-explore/search?tab=default_tab&amp;search_scope=EVERYTHING&amp;vid=01CRU&amp;lang=en_US&amp;offset=0&amp;query=any,contains,991003446129702656","Catalog Record")</f>
        <v>Catalog Record</v>
      </c>
      <c r="AV848" s="9" t="str">
        <f aca="false">HYPERLINK("http://www.worldcat.org/oclc/981527","WorldCat Record")</f>
        <v>WorldCat Record</v>
      </c>
      <c r="AW848" s="6" t="s">
        <v>4397</v>
      </c>
      <c r="AX848" s="6" t="s">
        <v>4398</v>
      </c>
      <c r="AY848" s="6" t="s">
        <v>4399</v>
      </c>
      <c r="AZ848" s="6" t="s">
        <v>4399</v>
      </c>
      <c r="BA848" s="6" t="s">
        <v>4400</v>
      </c>
      <c r="BB848" s="28"/>
      <c r="BC848" s="6" t="s">
        <v>4401</v>
      </c>
      <c r="BE848" s="15" t="s">
        <v>2145</v>
      </c>
      <c r="BF848" s="6" t="s">
        <v>4402</v>
      </c>
    </row>
    <row r="849" customFormat="false" ht="59.5" hidden="false" customHeight="false" outlineLevel="0" collapsed="false">
      <c r="A849" s="26" t="s">
        <v>63</v>
      </c>
      <c r="B849" s="27" t="s">
        <v>2129</v>
      </c>
      <c r="C849" s="27" t="s">
        <v>2130</v>
      </c>
      <c r="D849" s="27" t="s">
        <v>4403</v>
      </c>
      <c r="E849" s="27" t="s">
        <v>4404</v>
      </c>
      <c r="F849" s="27" t="s">
        <v>4405</v>
      </c>
      <c r="G849" s="28"/>
      <c r="H849" s="6" t="s">
        <v>63</v>
      </c>
      <c r="I849" s="6" t="s">
        <v>62</v>
      </c>
      <c r="J849" s="6" t="s">
        <v>63</v>
      </c>
      <c r="K849" s="6" t="s">
        <v>63</v>
      </c>
      <c r="L849" s="6" t="s">
        <v>64</v>
      </c>
      <c r="M849" s="27" t="s">
        <v>4406</v>
      </c>
      <c r="N849" s="27" t="s">
        <v>4407</v>
      </c>
      <c r="O849" s="6" t="s">
        <v>2811</v>
      </c>
      <c r="P849" s="28"/>
      <c r="Q849" s="6" t="s">
        <v>67</v>
      </c>
      <c r="R849" s="6" t="s">
        <v>68</v>
      </c>
      <c r="S849" s="27" t="s">
        <v>4408</v>
      </c>
      <c r="T849" s="6" t="s">
        <v>4225</v>
      </c>
      <c r="U849" s="7" t="n">
        <v>1</v>
      </c>
      <c r="V849" s="7" t="n">
        <v>1</v>
      </c>
      <c r="W849" s="8" t="s">
        <v>4396</v>
      </c>
      <c r="X849" s="8" t="s">
        <v>4396</v>
      </c>
      <c r="Y849" s="8" t="s">
        <v>2208</v>
      </c>
      <c r="Z849" s="8" t="s">
        <v>2208</v>
      </c>
      <c r="AA849" s="7" t="n">
        <v>638</v>
      </c>
      <c r="AB849" s="7" t="n">
        <v>565</v>
      </c>
      <c r="AC849" s="7" t="n">
        <v>581</v>
      </c>
      <c r="AD849" s="7" t="n">
        <v>7</v>
      </c>
      <c r="AE849" s="7" t="n">
        <v>7</v>
      </c>
      <c r="AF849" s="7" t="n">
        <v>29</v>
      </c>
      <c r="AG849" s="7" t="n">
        <v>30</v>
      </c>
      <c r="AH849" s="7" t="n">
        <v>11</v>
      </c>
      <c r="AI849" s="7" t="n">
        <v>12</v>
      </c>
      <c r="AJ849" s="7" t="n">
        <v>4</v>
      </c>
      <c r="AK849" s="7" t="n">
        <v>4</v>
      </c>
      <c r="AL849" s="7" t="n">
        <v>16</v>
      </c>
      <c r="AM849" s="7" t="n">
        <v>17</v>
      </c>
      <c r="AN849" s="7" t="n">
        <v>6</v>
      </c>
      <c r="AO849" s="7" t="n">
        <v>6</v>
      </c>
      <c r="AP849" s="7" t="n">
        <v>0</v>
      </c>
      <c r="AQ849" s="7" t="n">
        <v>0</v>
      </c>
      <c r="AR849" s="6" t="s">
        <v>63</v>
      </c>
      <c r="AS849" s="6" t="s">
        <v>57</v>
      </c>
      <c r="AT849" s="9" t="str">
        <f aca="false">HYPERLINK("http://catalog.hathitrust.org/Record/001396635","HathiTrust Record")</f>
        <v>HathiTrust Record</v>
      </c>
      <c r="AU849" s="9" t="str">
        <f aca="false">HYPERLINK("https://creighton-primo.hosted.exlibrisgroup.com/primo-explore/search?tab=default_tab&amp;search_scope=EVERYTHING&amp;vid=01CRU&amp;lang=en_US&amp;offset=0&amp;query=any,contains,991000895259702656","Catalog Record")</f>
        <v>Catalog Record</v>
      </c>
      <c r="AV849" s="9" t="str">
        <f aca="false">HYPERLINK("http://www.worldcat.org/oclc/155752","WorldCat Record")</f>
        <v>WorldCat Record</v>
      </c>
      <c r="AW849" s="6" t="s">
        <v>4409</v>
      </c>
      <c r="AX849" s="6" t="s">
        <v>4410</v>
      </c>
      <c r="AY849" s="6" t="s">
        <v>4411</v>
      </c>
      <c r="AZ849" s="6" t="s">
        <v>4411</v>
      </c>
      <c r="BA849" s="6" t="s">
        <v>4412</v>
      </c>
      <c r="BB849" s="6" t="s">
        <v>4413</v>
      </c>
      <c r="BC849" s="6" t="s">
        <v>4414</v>
      </c>
      <c r="BE849" s="15" t="s">
        <v>2145</v>
      </c>
      <c r="BF849" s="6" t="s">
        <v>4415</v>
      </c>
    </row>
    <row r="850" customFormat="false" ht="243.5" hidden="false" customHeight="false" outlineLevel="0" collapsed="false">
      <c r="A850" s="26" t="s">
        <v>63</v>
      </c>
      <c r="B850" s="27" t="s">
        <v>2129</v>
      </c>
      <c r="C850" s="27" t="s">
        <v>2130</v>
      </c>
      <c r="D850" s="27" t="s">
        <v>4416</v>
      </c>
      <c r="E850" s="27" t="s">
        <v>4417</v>
      </c>
      <c r="F850" s="27" t="s">
        <v>4418</v>
      </c>
      <c r="G850" s="28"/>
      <c r="H850" s="6" t="s">
        <v>63</v>
      </c>
      <c r="I850" s="6" t="s">
        <v>62</v>
      </c>
      <c r="J850" s="6" t="s">
        <v>63</v>
      </c>
      <c r="K850" s="6" t="s">
        <v>63</v>
      </c>
      <c r="L850" s="6" t="s">
        <v>64</v>
      </c>
      <c r="M850" s="27" t="s">
        <v>4419</v>
      </c>
      <c r="N850" s="27" t="s">
        <v>4420</v>
      </c>
      <c r="O850" s="6" t="s">
        <v>208</v>
      </c>
      <c r="P850" s="28"/>
      <c r="Q850" s="6" t="s">
        <v>67</v>
      </c>
      <c r="R850" s="6" t="s">
        <v>1108</v>
      </c>
      <c r="S850" s="28"/>
      <c r="T850" s="6" t="s">
        <v>4225</v>
      </c>
      <c r="U850" s="7" t="n">
        <v>2</v>
      </c>
      <c r="V850" s="7" t="n">
        <v>2</v>
      </c>
      <c r="W850" s="8" t="s">
        <v>4421</v>
      </c>
      <c r="X850" s="8" t="s">
        <v>4421</v>
      </c>
      <c r="Y850" s="8" t="s">
        <v>2208</v>
      </c>
      <c r="Z850" s="8" t="s">
        <v>2208</v>
      </c>
      <c r="AA850" s="7" t="n">
        <v>399</v>
      </c>
      <c r="AB850" s="7" t="n">
        <v>347</v>
      </c>
      <c r="AC850" s="7" t="n">
        <v>365</v>
      </c>
      <c r="AD850" s="7" t="n">
        <v>4</v>
      </c>
      <c r="AE850" s="7" t="n">
        <v>4</v>
      </c>
      <c r="AF850" s="7" t="n">
        <v>20</v>
      </c>
      <c r="AG850" s="7" t="n">
        <v>22</v>
      </c>
      <c r="AH850" s="7" t="n">
        <v>4</v>
      </c>
      <c r="AI850" s="7" t="n">
        <v>5</v>
      </c>
      <c r="AJ850" s="7" t="n">
        <v>6</v>
      </c>
      <c r="AK850" s="7" t="n">
        <v>7</v>
      </c>
      <c r="AL850" s="7" t="n">
        <v>13</v>
      </c>
      <c r="AM850" s="7" t="n">
        <v>13</v>
      </c>
      <c r="AN850" s="7" t="n">
        <v>3</v>
      </c>
      <c r="AO850" s="7" t="n">
        <v>3</v>
      </c>
      <c r="AP850" s="7" t="n">
        <v>0</v>
      </c>
      <c r="AQ850" s="7" t="n">
        <v>0</v>
      </c>
      <c r="AR850" s="6" t="s">
        <v>63</v>
      </c>
      <c r="AS850" s="6" t="s">
        <v>57</v>
      </c>
      <c r="AT850" s="9" t="str">
        <f aca="false">HYPERLINK("http://catalog.hathitrust.org/Record/000852742","HathiTrust Record")</f>
        <v>HathiTrust Record</v>
      </c>
      <c r="AU850" s="9" t="str">
        <f aca="false">HYPERLINK("https://creighton-primo.hosted.exlibrisgroup.com/primo-explore/search?tab=default_tab&amp;search_scope=EVERYTHING&amp;vid=01CRU&amp;lang=en_US&amp;offset=0&amp;query=any,contains,991001004869702656","Catalog Record")</f>
        <v>Catalog Record</v>
      </c>
      <c r="AV850" s="9" t="str">
        <f aca="false">HYPERLINK("http://www.worldcat.org/oclc/15224349","WorldCat Record")</f>
        <v>WorldCat Record</v>
      </c>
      <c r="AW850" s="6" t="s">
        <v>4422</v>
      </c>
      <c r="AX850" s="6" t="s">
        <v>4423</v>
      </c>
      <c r="AY850" s="6" t="s">
        <v>4424</v>
      </c>
      <c r="AZ850" s="6" t="s">
        <v>4424</v>
      </c>
      <c r="BA850" s="6" t="s">
        <v>4425</v>
      </c>
      <c r="BB850" s="6" t="s">
        <v>4426</v>
      </c>
      <c r="BC850" s="6" t="s">
        <v>4427</v>
      </c>
      <c r="BE850" s="15" t="s">
        <v>2145</v>
      </c>
      <c r="BF850" s="6" t="s">
        <v>4428</v>
      </c>
    </row>
    <row r="851" customFormat="false" ht="71" hidden="false" customHeight="false" outlineLevel="0" collapsed="false">
      <c r="A851" s="26" t="s">
        <v>57</v>
      </c>
      <c r="B851" s="27" t="s">
        <v>2129</v>
      </c>
      <c r="C851" s="27" t="s">
        <v>2130</v>
      </c>
      <c r="D851" s="27" t="s">
        <v>4429</v>
      </c>
      <c r="E851" s="27" t="s">
        <v>4430</v>
      </c>
      <c r="F851" s="27" t="s">
        <v>4431</v>
      </c>
      <c r="G851" s="28"/>
      <c r="H851" s="6" t="s">
        <v>63</v>
      </c>
      <c r="I851" s="6" t="s">
        <v>62</v>
      </c>
      <c r="J851" s="6" t="s">
        <v>63</v>
      </c>
      <c r="K851" s="6" t="s">
        <v>63</v>
      </c>
      <c r="L851" s="6" t="s">
        <v>64</v>
      </c>
      <c r="M851" s="27" t="s">
        <v>4432</v>
      </c>
      <c r="N851" s="27" t="s">
        <v>4433</v>
      </c>
      <c r="O851" s="6" t="s">
        <v>3513</v>
      </c>
      <c r="P851" s="28"/>
      <c r="Q851" s="6" t="s">
        <v>67</v>
      </c>
      <c r="R851" s="6" t="s">
        <v>384</v>
      </c>
      <c r="S851" s="28"/>
      <c r="T851" s="6" t="s">
        <v>4225</v>
      </c>
      <c r="U851" s="7" t="n">
        <v>1</v>
      </c>
      <c r="V851" s="7" t="n">
        <v>1</v>
      </c>
      <c r="W851" s="8" t="s">
        <v>4434</v>
      </c>
      <c r="X851" s="8" t="s">
        <v>4434</v>
      </c>
      <c r="Y851" s="8" t="s">
        <v>4435</v>
      </c>
      <c r="Z851" s="8" t="s">
        <v>4435</v>
      </c>
      <c r="AA851" s="7" t="n">
        <v>370</v>
      </c>
      <c r="AB851" s="7" t="n">
        <v>166</v>
      </c>
      <c r="AC851" s="7" t="n">
        <v>1658</v>
      </c>
      <c r="AD851" s="7" t="n">
        <v>2</v>
      </c>
      <c r="AE851" s="7" t="n">
        <v>12</v>
      </c>
      <c r="AF851" s="7" t="n">
        <v>11</v>
      </c>
      <c r="AG851" s="7" t="n">
        <v>57</v>
      </c>
      <c r="AH851" s="7" t="n">
        <v>6</v>
      </c>
      <c r="AI851" s="7" t="n">
        <v>24</v>
      </c>
      <c r="AJ851" s="7" t="n">
        <v>2</v>
      </c>
      <c r="AK851" s="7" t="n">
        <v>10</v>
      </c>
      <c r="AL851" s="7" t="n">
        <v>7</v>
      </c>
      <c r="AM851" s="7" t="n">
        <v>27</v>
      </c>
      <c r="AN851" s="7" t="n">
        <v>1</v>
      </c>
      <c r="AO851" s="7" t="n">
        <v>9</v>
      </c>
      <c r="AP851" s="7" t="n">
        <v>0</v>
      </c>
      <c r="AQ851" s="7" t="n">
        <v>0</v>
      </c>
      <c r="AR851" s="6" t="s">
        <v>63</v>
      </c>
      <c r="AS851" s="6" t="s">
        <v>57</v>
      </c>
      <c r="AT851" s="9" t="str">
        <f aca="false">HYPERLINK("http://catalog.hathitrust.org/Record/009906621","HathiTrust Record")</f>
        <v>HathiTrust Record</v>
      </c>
      <c r="AU851" s="9" t="str">
        <f aca="false">HYPERLINK("https://creighton-primo.hosted.exlibrisgroup.com/primo-explore/search?tab=default_tab&amp;search_scope=EVERYTHING&amp;vid=01CRU&amp;lang=en_US&amp;offset=0&amp;query=any,contains,991001375109702656","Catalog Record")</f>
        <v>Catalog Record</v>
      </c>
      <c r="AV851" s="9" t="str">
        <f aca="false">HYPERLINK("http://www.worldcat.org/oclc/224769","WorldCat Record")</f>
        <v>WorldCat Record</v>
      </c>
      <c r="AW851" s="6" t="s">
        <v>4436</v>
      </c>
      <c r="AX851" s="6" t="s">
        <v>4437</v>
      </c>
      <c r="AY851" s="6" t="s">
        <v>4438</v>
      </c>
      <c r="AZ851" s="6" t="s">
        <v>4438</v>
      </c>
      <c r="BA851" s="6" t="s">
        <v>4439</v>
      </c>
      <c r="BB851" s="28"/>
      <c r="BC851" s="6" t="s">
        <v>4440</v>
      </c>
      <c r="BE851" s="15" t="s">
        <v>2145</v>
      </c>
      <c r="BF851" s="6" t="s">
        <v>4441</v>
      </c>
    </row>
    <row r="852" customFormat="false" ht="140" hidden="false" customHeight="false" outlineLevel="0" collapsed="false">
      <c r="A852" s="26" t="s">
        <v>63</v>
      </c>
      <c r="B852" s="27" t="s">
        <v>2129</v>
      </c>
      <c r="C852" s="27" t="s">
        <v>2130</v>
      </c>
      <c r="D852" s="27" t="s">
        <v>4442</v>
      </c>
      <c r="E852" s="27" t="s">
        <v>4443</v>
      </c>
      <c r="F852" s="27" t="s">
        <v>4444</v>
      </c>
      <c r="G852" s="28"/>
      <c r="H852" s="6" t="s">
        <v>63</v>
      </c>
      <c r="I852" s="6" t="s">
        <v>62</v>
      </c>
      <c r="J852" s="6" t="s">
        <v>63</v>
      </c>
      <c r="K852" s="6" t="s">
        <v>63</v>
      </c>
      <c r="L852" s="6" t="s">
        <v>64</v>
      </c>
      <c r="M852" s="27" t="s">
        <v>4445</v>
      </c>
      <c r="N852" s="27" t="s">
        <v>4446</v>
      </c>
      <c r="O852" s="6" t="s">
        <v>2811</v>
      </c>
      <c r="P852" s="27" t="s">
        <v>255</v>
      </c>
      <c r="Q852" s="6" t="s">
        <v>67</v>
      </c>
      <c r="R852" s="6" t="s">
        <v>68</v>
      </c>
      <c r="S852" s="28"/>
      <c r="T852" s="6" t="s">
        <v>4225</v>
      </c>
      <c r="U852" s="7" t="n">
        <v>3</v>
      </c>
      <c r="V852" s="7" t="n">
        <v>3</v>
      </c>
      <c r="W852" s="8" t="s">
        <v>4447</v>
      </c>
      <c r="X852" s="8" t="s">
        <v>4447</v>
      </c>
      <c r="Y852" s="8" t="s">
        <v>4435</v>
      </c>
      <c r="Z852" s="8" t="s">
        <v>4435</v>
      </c>
      <c r="AA852" s="7" t="n">
        <v>269</v>
      </c>
      <c r="AB852" s="7" t="n">
        <v>188</v>
      </c>
      <c r="AC852" s="7" t="n">
        <v>188</v>
      </c>
      <c r="AD852" s="7" t="n">
        <v>2</v>
      </c>
      <c r="AE852" s="7" t="n">
        <v>2</v>
      </c>
      <c r="AF852" s="7" t="n">
        <v>14</v>
      </c>
      <c r="AG852" s="7" t="n">
        <v>14</v>
      </c>
      <c r="AH852" s="7" t="n">
        <v>5</v>
      </c>
      <c r="AI852" s="7" t="n">
        <v>5</v>
      </c>
      <c r="AJ852" s="7" t="n">
        <v>2</v>
      </c>
      <c r="AK852" s="7" t="n">
        <v>2</v>
      </c>
      <c r="AL852" s="7" t="n">
        <v>8</v>
      </c>
      <c r="AM852" s="7" t="n">
        <v>8</v>
      </c>
      <c r="AN852" s="7" t="n">
        <v>1</v>
      </c>
      <c r="AO852" s="7" t="n">
        <v>1</v>
      </c>
      <c r="AP852" s="7" t="n">
        <v>0</v>
      </c>
      <c r="AQ852" s="7" t="n">
        <v>0</v>
      </c>
      <c r="AR852" s="6" t="s">
        <v>63</v>
      </c>
      <c r="AS852" s="6" t="s">
        <v>63</v>
      </c>
      <c r="AT852" s="28"/>
      <c r="AU852" s="9" t="str">
        <f aca="false">HYPERLINK("https://creighton-primo.hosted.exlibrisgroup.com/primo-explore/search?tab=default_tab&amp;search_scope=EVERYTHING&amp;vid=01CRU&amp;lang=en_US&amp;offset=0&amp;query=any,contains,991000934629702656","Catalog Record")</f>
        <v>Catalog Record</v>
      </c>
      <c r="AV852" s="9" t="str">
        <f aca="false">HYPERLINK("http://www.worldcat.org/oclc/164026","WorldCat Record")</f>
        <v>WorldCat Record</v>
      </c>
      <c r="AW852" s="6" t="s">
        <v>4448</v>
      </c>
      <c r="AX852" s="6" t="s">
        <v>4449</v>
      </c>
      <c r="AY852" s="6" t="s">
        <v>4450</v>
      </c>
      <c r="AZ852" s="6" t="s">
        <v>4450</v>
      </c>
      <c r="BA852" s="6" t="s">
        <v>4451</v>
      </c>
      <c r="BB852" s="6" t="s">
        <v>4452</v>
      </c>
      <c r="BC852" s="6" t="s">
        <v>4453</v>
      </c>
      <c r="BE852" s="15" t="s">
        <v>2145</v>
      </c>
      <c r="BF852" s="6" t="s">
        <v>4454</v>
      </c>
    </row>
    <row r="853" customFormat="false" ht="151.5" hidden="false" customHeight="false" outlineLevel="0" collapsed="false">
      <c r="A853" s="26" t="s">
        <v>63</v>
      </c>
      <c r="B853" s="27" t="s">
        <v>2129</v>
      </c>
      <c r="C853" s="27" t="s">
        <v>2130</v>
      </c>
      <c r="D853" s="27" t="s">
        <v>4455</v>
      </c>
      <c r="E853" s="27" t="s">
        <v>4456</v>
      </c>
      <c r="F853" s="27" t="s">
        <v>4457</v>
      </c>
      <c r="G853" s="28"/>
      <c r="H853" s="6" t="s">
        <v>63</v>
      </c>
      <c r="I853" s="6" t="s">
        <v>62</v>
      </c>
      <c r="J853" s="6" t="s">
        <v>63</v>
      </c>
      <c r="K853" s="6" t="s">
        <v>63</v>
      </c>
      <c r="L853" s="6" t="s">
        <v>64</v>
      </c>
      <c r="M853" s="27" t="s">
        <v>4458</v>
      </c>
      <c r="N853" s="27" t="s">
        <v>4459</v>
      </c>
      <c r="O853" s="6" t="s">
        <v>122</v>
      </c>
      <c r="P853" s="28"/>
      <c r="Q853" s="6" t="s">
        <v>67</v>
      </c>
      <c r="R853" s="6" t="s">
        <v>802</v>
      </c>
      <c r="S853" s="28"/>
      <c r="T853" s="6" t="s">
        <v>4225</v>
      </c>
      <c r="U853" s="7" t="n">
        <v>2</v>
      </c>
      <c r="V853" s="7" t="n">
        <v>2</v>
      </c>
      <c r="W853" s="8" t="s">
        <v>4460</v>
      </c>
      <c r="X853" s="8" t="s">
        <v>4460</v>
      </c>
      <c r="Y853" s="8" t="s">
        <v>4435</v>
      </c>
      <c r="Z853" s="8" t="s">
        <v>4435</v>
      </c>
      <c r="AA853" s="7" t="n">
        <v>290</v>
      </c>
      <c r="AB853" s="7" t="n">
        <v>242</v>
      </c>
      <c r="AC853" s="7" t="n">
        <v>249</v>
      </c>
      <c r="AD853" s="7" t="n">
        <v>2</v>
      </c>
      <c r="AE853" s="7" t="n">
        <v>2</v>
      </c>
      <c r="AF853" s="7" t="n">
        <v>30</v>
      </c>
      <c r="AG853" s="7" t="n">
        <v>30</v>
      </c>
      <c r="AH853" s="7" t="n">
        <v>9</v>
      </c>
      <c r="AI853" s="7" t="n">
        <v>9</v>
      </c>
      <c r="AJ853" s="7" t="n">
        <v>8</v>
      </c>
      <c r="AK853" s="7" t="n">
        <v>8</v>
      </c>
      <c r="AL853" s="7" t="n">
        <v>23</v>
      </c>
      <c r="AM853" s="7" t="n">
        <v>23</v>
      </c>
      <c r="AN853" s="7" t="n">
        <v>1</v>
      </c>
      <c r="AO853" s="7" t="n">
        <v>1</v>
      </c>
      <c r="AP853" s="7" t="n">
        <v>0</v>
      </c>
      <c r="AQ853" s="7" t="n">
        <v>0</v>
      </c>
      <c r="AR853" s="6" t="s">
        <v>63</v>
      </c>
      <c r="AS853" s="6" t="s">
        <v>57</v>
      </c>
      <c r="AT853" s="9" t="str">
        <f aca="false">HYPERLINK("http://catalog.hathitrust.org/Record/001388046","HathiTrust Record")</f>
        <v>HathiTrust Record</v>
      </c>
      <c r="AU853" s="9" t="str">
        <f aca="false">HYPERLINK("https://creighton-primo.hosted.exlibrisgroup.com/primo-explore/search?tab=default_tab&amp;search_scope=EVERYTHING&amp;vid=01CRU&amp;lang=en_US&amp;offset=0&amp;query=any,contains,991003351289702656","Catalog Record")</f>
        <v>Catalog Record</v>
      </c>
      <c r="AV853" s="9" t="str">
        <f aca="false">HYPERLINK("http://www.worldcat.org/oclc/884893","WorldCat Record")</f>
        <v>WorldCat Record</v>
      </c>
      <c r="AW853" s="6" t="s">
        <v>4461</v>
      </c>
      <c r="AX853" s="6" t="s">
        <v>4462</v>
      </c>
      <c r="AY853" s="6" t="s">
        <v>4463</v>
      </c>
      <c r="AZ853" s="6" t="s">
        <v>4463</v>
      </c>
      <c r="BA853" s="6" t="s">
        <v>4464</v>
      </c>
      <c r="BB853" s="28"/>
      <c r="BC853" s="6" t="s">
        <v>4465</v>
      </c>
      <c r="BE853" s="15" t="s">
        <v>2145</v>
      </c>
      <c r="BF853" s="6" t="s">
        <v>4466</v>
      </c>
    </row>
    <row r="854" customFormat="false" ht="117" hidden="false" customHeight="false" outlineLevel="0" collapsed="false">
      <c r="A854" s="26" t="s">
        <v>63</v>
      </c>
      <c r="B854" s="27" t="s">
        <v>2129</v>
      </c>
      <c r="C854" s="27" t="s">
        <v>2130</v>
      </c>
      <c r="D854" s="27" t="s">
        <v>4467</v>
      </c>
      <c r="E854" s="27" t="s">
        <v>4468</v>
      </c>
      <c r="F854" s="27" t="s">
        <v>4469</v>
      </c>
      <c r="G854" s="28"/>
      <c r="H854" s="6" t="s">
        <v>63</v>
      </c>
      <c r="I854" s="6" t="s">
        <v>62</v>
      </c>
      <c r="J854" s="6" t="s">
        <v>63</v>
      </c>
      <c r="K854" s="6" t="s">
        <v>63</v>
      </c>
      <c r="L854" s="6" t="s">
        <v>64</v>
      </c>
      <c r="M854" s="27" t="s">
        <v>4470</v>
      </c>
      <c r="N854" s="27" t="s">
        <v>4471</v>
      </c>
      <c r="O854" s="6" t="s">
        <v>3340</v>
      </c>
      <c r="P854" s="28"/>
      <c r="Q854" s="6" t="s">
        <v>67</v>
      </c>
      <c r="R854" s="6" t="s">
        <v>181</v>
      </c>
      <c r="S854" s="27" t="s">
        <v>4472</v>
      </c>
      <c r="T854" s="6" t="s">
        <v>4225</v>
      </c>
      <c r="U854" s="7" t="n">
        <v>2</v>
      </c>
      <c r="V854" s="7" t="n">
        <v>2</v>
      </c>
      <c r="W854" s="8" t="s">
        <v>4290</v>
      </c>
      <c r="X854" s="8" t="s">
        <v>4290</v>
      </c>
      <c r="Y854" s="8" t="s">
        <v>4473</v>
      </c>
      <c r="Z854" s="8" t="s">
        <v>4473</v>
      </c>
      <c r="AA854" s="7" t="n">
        <v>349</v>
      </c>
      <c r="AB854" s="7" t="n">
        <v>323</v>
      </c>
      <c r="AC854" s="7" t="n">
        <v>598</v>
      </c>
      <c r="AD854" s="7" t="n">
        <v>3</v>
      </c>
      <c r="AE854" s="7" t="n">
        <v>4</v>
      </c>
      <c r="AF854" s="7" t="n">
        <v>17</v>
      </c>
      <c r="AG854" s="7" t="n">
        <v>32</v>
      </c>
      <c r="AH854" s="7" t="n">
        <v>5</v>
      </c>
      <c r="AI854" s="7" t="n">
        <v>12</v>
      </c>
      <c r="AJ854" s="7" t="n">
        <v>4</v>
      </c>
      <c r="AK854" s="7" t="n">
        <v>9</v>
      </c>
      <c r="AL854" s="7" t="n">
        <v>11</v>
      </c>
      <c r="AM854" s="7" t="n">
        <v>18</v>
      </c>
      <c r="AN854" s="7" t="n">
        <v>2</v>
      </c>
      <c r="AO854" s="7" t="n">
        <v>3</v>
      </c>
      <c r="AP854" s="7" t="n">
        <v>0</v>
      </c>
      <c r="AQ854" s="7" t="n">
        <v>0</v>
      </c>
      <c r="AR854" s="6" t="s">
        <v>63</v>
      </c>
      <c r="AS854" s="6" t="s">
        <v>63</v>
      </c>
      <c r="AT854" s="28"/>
      <c r="AU854" s="9" t="str">
        <f aca="false">HYPERLINK("https://creighton-primo.hosted.exlibrisgroup.com/primo-explore/search?tab=default_tab&amp;search_scope=EVERYTHING&amp;vid=01CRU&amp;lang=en_US&amp;offset=0&amp;query=any,contains,991004413709702656","Catalog Record")</f>
        <v>Catalog Record</v>
      </c>
      <c r="AV854" s="9" t="str">
        <f aca="false">HYPERLINK("http://www.worldcat.org/oclc/3353844","WorldCat Record")</f>
        <v>WorldCat Record</v>
      </c>
      <c r="AW854" s="6" t="s">
        <v>4474</v>
      </c>
      <c r="AX854" s="6" t="s">
        <v>4475</v>
      </c>
      <c r="AY854" s="6" t="s">
        <v>4476</v>
      </c>
      <c r="AZ854" s="6" t="s">
        <v>4476</v>
      </c>
      <c r="BA854" s="6" t="s">
        <v>4477</v>
      </c>
      <c r="BB854" s="6" t="s">
        <v>4478</v>
      </c>
      <c r="BC854" s="6" t="s">
        <v>4479</v>
      </c>
      <c r="BE854" s="15" t="s">
        <v>2145</v>
      </c>
      <c r="BF854" s="6" t="s">
        <v>4480</v>
      </c>
    </row>
    <row r="855" customFormat="false" ht="232" hidden="false" customHeight="false" outlineLevel="0" collapsed="false">
      <c r="A855" s="26" t="s">
        <v>63</v>
      </c>
      <c r="B855" s="27" t="s">
        <v>2129</v>
      </c>
      <c r="C855" s="27" t="s">
        <v>2130</v>
      </c>
      <c r="D855" s="27" t="s">
        <v>4481</v>
      </c>
      <c r="E855" s="27" t="s">
        <v>4482</v>
      </c>
      <c r="F855" s="27" t="s">
        <v>4483</v>
      </c>
      <c r="G855" s="28"/>
      <c r="H855" s="6" t="s">
        <v>63</v>
      </c>
      <c r="I855" s="6" t="s">
        <v>62</v>
      </c>
      <c r="J855" s="6" t="s">
        <v>63</v>
      </c>
      <c r="K855" s="6" t="s">
        <v>63</v>
      </c>
      <c r="L855" s="6" t="s">
        <v>64</v>
      </c>
      <c r="M855" s="27" t="s">
        <v>4484</v>
      </c>
      <c r="N855" s="27" t="s">
        <v>4485</v>
      </c>
      <c r="O855" s="6" t="s">
        <v>2221</v>
      </c>
      <c r="P855" s="28"/>
      <c r="Q855" s="6" t="s">
        <v>67</v>
      </c>
      <c r="R855" s="6" t="s">
        <v>1224</v>
      </c>
      <c r="S855" s="28"/>
      <c r="T855" s="6" t="s">
        <v>4225</v>
      </c>
      <c r="U855" s="7" t="n">
        <v>4</v>
      </c>
      <c r="V855" s="7" t="n">
        <v>4</v>
      </c>
      <c r="W855" s="8" t="s">
        <v>4486</v>
      </c>
      <c r="X855" s="8" t="s">
        <v>4486</v>
      </c>
      <c r="Y855" s="8" t="s">
        <v>4487</v>
      </c>
      <c r="Z855" s="8" t="s">
        <v>4487</v>
      </c>
      <c r="AA855" s="7" t="n">
        <v>181</v>
      </c>
      <c r="AB855" s="7" t="n">
        <v>142</v>
      </c>
      <c r="AC855" s="7" t="n">
        <v>142</v>
      </c>
      <c r="AD855" s="7" t="n">
        <v>2</v>
      </c>
      <c r="AE855" s="7" t="n">
        <v>2</v>
      </c>
      <c r="AF855" s="7" t="n">
        <v>18</v>
      </c>
      <c r="AG855" s="7" t="n">
        <v>18</v>
      </c>
      <c r="AH855" s="7" t="n">
        <v>6</v>
      </c>
      <c r="AI855" s="7" t="n">
        <v>6</v>
      </c>
      <c r="AJ855" s="7" t="n">
        <v>6</v>
      </c>
      <c r="AK855" s="7" t="n">
        <v>6</v>
      </c>
      <c r="AL855" s="7" t="n">
        <v>12</v>
      </c>
      <c r="AM855" s="7" t="n">
        <v>12</v>
      </c>
      <c r="AN855" s="7" t="n">
        <v>1</v>
      </c>
      <c r="AO855" s="7" t="n">
        <v>1</v>
      </c>
      <c r="AP855" s="7" t="n">
        <v>0</v>
      </c>
      <c r="AQ855" s="7" t="n">
        <v>0</v>
      </c>
      <c r="AR855" s="6" t="s">
        <v>63</v>
      </c>
      <c r="AS855" s="6" t="s">
        <v>63</v>
      </c>
      <c r="AT855" s="28"/>
      <c r="AU855" s="9" t="str">
        <f aca="false">HYPERLINK("https://creighton-primo.hosted.exlibrisgroup.com/primo-explore/search?tab=default_tab&amp;search_scope=EVERYTHING&amp;vid=01CRU&amp;lang=en_US&amp;offset=0&amp;query=any,contains,991001191519702656","Catalog Record")</f>
        <v>Catalog Record</v>
      </c>
      <c r="AV855" s="9" t="str">
        <f aca="false">HYPERLINK("http://www.worldcat.org/oclc/17259713","WorldCat Record")</f>
        <v>WorldCat Record</v>
      </c>
      <c r="AW855" s="6" t="s">
        <v>4488</v>
      </c>
      <c r="AX855" s="6" t="s">
        <v>4489</v>
      </c>
      <c r="AY855" s="6" t="s">
        <v>4490</v>
      </c>
      <c r="AZ855" s="6" t="s">
        <v>4490</v>
      </c>
      <c r="BA855" s="6" t="s">
        <v>4491</v>
      </c>
      <c r="BB855" s="6" t="s">
        <v>4492</v>
      </c>
      <c r="BC855" s="6" t="s">
        <v>4493</v>
      </c>
      <c r="BE855" s="15" t="s">
        <v>2145</v>
      </c>
      <c r="BF855" s="6" t="s">
        <v>4494</v>
      </c>
    </row>
    <row r="856" customFormat="false" ht="82.5" hidden="false" customHeight="false" outlineLevel="0" collapsed="false">
      <c r="A856" s="26" t="s">
        <v>63</v>
      </c>
      <c r="B856" s="27" t="s">
        <v>2129</v>
      </c>
      <c r="C856" s="27" t="s">
        <v>2130</v>
      </c>
      <c r="D856" s="27" t="s">
        <v>4495</v>
      </c>
      <c r="E856" s="27" t="s">
        <v>4496</v>
      </c>
      <c r="F856" s="27" t="s">
        <v>4497</v>
      </c>
      <c r="G856" s="28"/>
      <c r="H856" s="6" t="s">
        <v>63</v>
      </c>
      <c r="I856" s="6" t="s">
        <v>62</v>
      </c>
      <c r="J856" s="6" t="s">
        <v>63</v>
      </c>
      <c r="K856" s="6" t="s">
        <v>63</v>
      </c>
      <c r="L856" s="6" t="s">
        <v>64</v>
      </c>
      <c r="M856" s="27" t="s">
        <v>4498</v>
      </c>
      <c r="N856" s="27" t="s">
        <v>4499</v>
      </c>
      <c r="O856" s="6" t="s">
        <v>4500</v>
      </c>
      <c r="P856" s="28"/>
      <c r="Q856" s="6" t="s">
        <v>4501</v>
      </c>
      <c r="R856" s="6" t="s">
        <v>671</v>
      </c>
      <c r="S856" s="27" t="s">
        <v>4502</v>
      </c>
      <c r="T856" s="6" t="s">
        <v>4225</v>
      </c>
      <c r="U856" s="7" t="n">
        <v>1</v>
      </c>
      <c r="V856" s="7" t="n">
        <v>1</v>
      </c>
      <c r="W856" s="8" t="s">
        <v>4503</v>
      </c>
      <c r="X856" s="8" t="s">
        <v>4503</v>
      </c>
      <c r="Y856" s="8" t="s">
        <v>4435</v>
      </c>
      <c r="Z856" s="8" t="s">
        <v>4435</v>
      </c>
      <c r="AA856" s="7" t="n">
        <v>87</v>
      </c>
      <c r="AB856" s="7" t="n">
        <v>63</v>
      </c>
      <c r="AC856" s="7" t="n">
        <v>70</v>
      </c>
      <c r="AD856" s="7" t="n">
        <v>1</v>
      </c>
      <c r="AE856" s="7" t="n">
        <v>1</v>
      </c>
      <c r="AF856" s="7" t="n">
        <v>11</v>
      </c>
      <c r="AG856" s="7" t="n">
        <v>11</v>
      </c>
      <c r="AH856" s="7" t="n">
        <v>2</v>
      </c>
      <c r="AI856" s="7" t="n">
        <v>2</v>
      </c>
      <c r="AJ856" s="7" t="n">
        <v>3</v>
      </c>
      <c r="AK856" s="7" t="n">
        <v>3</v>
      </c>
      <c r="AL856" s="7" t="n">
        <v>9</v>
      </c>
      <c r="AM856" s="7" t="n">
        <v>9</v>
      </c>
      <c r="AN856" s="7" t="n">
        <v>0</v>
      </c>
      <c r="AO856" s="7" t="n">
        <v>0</v>
      </c>
      <c r="AP856" s="7" t="n">
        <v>0</v>
      </c>
      <c r="AQ856" s="7" t="n">
        <v>0</v>
      </c>
      <c r="AR856" s="6" t="s">
        <v>63</v>
      </c>
      <c r="AS856" s="6" t="s">
        <v>57</v>
      </c>
      <c r="AT856" s="9" t="str">
        <f aca="false">HYPERLINK("http://catalog.hathitrust.org/Record/001388083","HathiTrust Record")</f>
        <v>HathiTrust Record</v>
      </c>
      <c r="AU856" s="9" t="str">
        <f aca="false">HYPERLINK("https://creighton-primo.hosted.exlibrisgroup.com/primo-explore/search?tab=default_tab&amp;search_scope=EVERYTHING&amp;vid=01CRU&amp;lang=en_US&amp;offset=0&amp;query=any,contains,991000168529702656","Catalog Record")</f>
        <v>Catalog Record</v>
      </c>
      <c r="AV856" s="9" t="str">
        <f aca="false">HYPERLINK("http://www.worldcat.org/oclc/9308612","WorldCat Record")</f>
        <v>WorldCat Record</v>
      </c>
      <c r="AW856" s="6" t="s">
        <v>4504</v>
      </c>
      <c r="AX856" s="6" t="s">
        <v>4505</v>
      </c>
      <c r="AY856" s="6" t="s">
        <v>4506</v>
      </c>
      <c r="AZ856" s="6" t="s">
        <v>4506</v>
      </c>
      <c r="BA856" s="6" t="s">
        <v>4507</v>
      </c>
      <c r="BB856" s="28"/>
      <c r="BC856" s="6" t="s">
        <v>4508</v>
      </c>
      <c r="BE856" s="15" t="s">
        <v>2145</v>
      </c>
      <c r="BF856" s="6" t="s">
        <v>4509</v>
      </c>
    </row>
    <row r="857" customFormat="false" ht="266.5" hidden="false" customHeight="false" outlineLevel="0" collapsed="false">
      <c r="A857" s="26" t="s">
        <v>63</v>
      </c>
      <c r="B857" s="27" t="s">
        <v>2129</v>
      </c>
      <c r="C857" s="27" t="s">
        <v>2130</v>
      </c>
      <c r="D857" s="27" t="s">
        <v>4510</v>
      </c>
      <c r="E857" s="27" t="s">
        <v>4511</v>
      </c>
      <c r="F857" s="27" t="s">
        <v>4512</v>
      </c>
      <c r="G857" s="28"/>
      <c r="H857" s="6" t="s">
        <v>63</v>
      </c>
      <c r="I857" s="6" t="s">
        <v>62</v>
      </c>
      <c r="J857" s="6" t="s">
        <v>63</v>
      </c>
      <c r="K857" s="6" t="s">
        <v>63</v>
      </c>
      <c r="L857" s="6" t="s">
        <v>64</v>
      </c>
      <c r="M857" s="27" t="s">
        <v>4513</v>
      </c>
      <c r="N857" s="27" t="s">
        <v>4514</v>
      </c>
      <c r="O857" s="6" t="s">
        <v>2467</v>
      </c>
      <c r="P857" s="28"/>
      <c r="Q857" s="6" t="s">
        <v>67</v>
      </c>
      <c r="R857" s="6" t="s">
        <v>68</v>
      </c>
      <c r="S857" s="28"/>
      <c r="T857" s="6" t="s">
        <v>4225</v>
      </c>
      <c r="U857" s="7" t="n">
        <v>1</v>
      </c>
      <c r="V857" s="7" t="n">
        <v>1</v>
      </c>
      <c r="W857" s="8" t="s">
        <v>4515</v>
      </c>
      <c r="X857" s="8" t="s">
        <v>4515</v>
      </c>
      <c r="Y857" s="8" t="s">
        <v>4435</v>
      </c>
      <c r="Z857" s="8" t="s">
        <v>4435</v>
      </c>
      <c r="AA857" s="7" t="n">
        <v>259</v>
      </c>
      <c r="AB857" s="7" t="n">
        <v>256</v>
      </c>
      <c r="AC857" s="7" t="n">
        <v>389</v>
      </c>
      <c r="AD857" s="7" t="n">
        <v>1</v>
      </c>
      <c r="AE857" s="7" t="n">
        <v>2</v>
      </c>
      <c r="AF857" s="7" t="n">
        <v>16</v>
      </c>
      <c r="AG857" s="7" t="n">
        <v>25</v>
      </c>
      <c r="AH857" s="7" t="n">
        <v>7</v>
      </c>
      <c r="AI857" s="7" t="n">
        <v>10</v>
      </c>
      <c r="AJ857" s="7" t="n">
        <v>4</v>
      </c>
      <c r="AK857" s="7" t="n">
        <v>7</v>
      </c>
      <c r="AL857" s="7" t="n">
        <v>9</v>
      </c>
      <c r="AM857" s="7" t="n">
        <v>16</v>
      </c>
      <c r="AN857" s="7" t="n">
        <v>0</v>
      </c>
      <c r="AO857" s="7" t="n">
        <v>1</v>
      </c>
      <c r="AP857" s="7" t="n">
        <v>0</v>
      </c>
      <c r="AQ857" s="7" t="n">
        <v>0</v>
      </c>
      <c r="AR857" s="6" t="s">
        <v>63</v>
      </c>
      <c r="AS857" s="6" t="s">
        <v>63</v>
      </c>
      <c r="AT857" s="28"/>
      <c r="AU857" s="9" t="str">
        <f aca="false">HYPERLINK("https://creighton-primo.hosted.exlibrisgroup.com/primo-explore/search?tab=default_tab&amp;search_scope=EVERYTHING&amp;vid=01CRU&amp;lang=en_US&amp;offset=0&amp;query=any,contains,991000963129702656","Catalog Record")</f>
        <v>Catalog Record</v>
      </c>
      <c r="AV857" s="9" t="str">
        <f aca="false">HYPERLINK("http://www.worldcat.org/oclc/169808","WorldCat Record")</f>
        <v>WorldCat Record</v>
      </c>
      <c r="AW857" s="6" t="s">
        <v>4516</v>
      </c>
      <c r="AX857" s="6" t="s">
        <v>4517</v>
      </c>
      <c r="AY857" s="6" t="s">
        <v>4518</v>
      </c>
      <c r="AZ857" s="6" t="s">
        <v>4518</v>
      </c>
      <c r="BA857" s="6" t="s">
        <v>4519</v>
      </c>
      <c r="BB857" s="28"/>
      <c r="BC857" s="6" t="s">
        <v>4520</v>
      </c>
      <c r="BE857" s="15" t="s">
        <v>2145</v>
      </c>
      <c r="BF857" s="6" t="s">
        <v>4521</v>
      </c>
    </row>
    <row r="858" customFormat="false" ht="71" hidden="false" customHeight="false" outlineLevel="0" collapsed="false">
      <c r="A858" s="26" t="s">
        <v>63</v>
      </c>
      <c r="B858" s="27" t="s">
        <v>2129</v>
      </c>
      <c r="C858" s="27" t="s">
        <v>2130</v>
      </c>
      <c r="D858" s="27" t="s">
        <v>4522</v>
      </c>
      <c r="E858" s="27" t="s">
        <v>4523</v>
      </c>
      <c r="F858" s="27" t="s">
        <v>4524</v>
      </c>
      <c r="G858" s="28"/>
      <c r="H858" s="6" t="s">
        <v>63</v>
      </c>
      <c r="I858" s="6" t="s">
        <v>62</v>
      </c>
      <c r="J858" s="6" t="s">
        <v>63</v>
      </c>
      <c r="K858" s="6" t="s">
        <v>63</v>
      </c>
      <c r="L858" s="6" t="s">
        <v>64</v>
      </c>
      <c r="M858" s="27" t="s">
        <v>4525</v>
      </c>
      <c r="N858" s="27" t="s">
        <v>4526</v>
      </c>
      <c r="O858" s="6" t="s">
        <v>66</v>
      </c>
      <c r="P858" s="28"/>
      <c r="Q858" s="6" t="s">
        <v>67</v>
      </c>
      <c r="R858" s="6" t="s">
        <v>222</v>
      </c>
      <c r="S858" s="28"/>
      <c r="T858" s="6" t="s">
        <v>4225</v>
      </c>
      <c r="U858" s="7" t="n">
        <v>2</v>
      </c>
      <c r="V858" s="7" t="n">
        <v>2</v>
      </c>
      <c r="W858" s="8" t="s">
        <v>4527</v>
      </c>
      <c r="X858" s="8" t="s">
        <v>4527</v>
      </c>
      <c r="Y858" s="8" t="s">
        <v>4528</v>
      </c>
      <c r="Z858" s="8" t="s">
        <v>4528</v>
      </c>
      <c r="AA858" s="7" t="n">
        <v>516</v>
      </c>
      <c r="AB858" s="7" t="n">
        <v>400</v>
      </c>
      <c r="AC858" s="7" t="n">
        <v>415</v>
      </c>
      <c r="AD858" s="7" t="n">
        <v>4</v>
      </c>
      <c r="AE858" s="7" t="n">
        <v>4</v>
      </c>
      <c r="AF858" s="7" t="n">
        <v>30</v>
      </c>
      <c r="AG858" s="7" t="n">
        <v>31</v>
      </c>
      <c r="AH858" s="7" t="n">
        <v>11</v>
      </c>
      <c r="AI858" s="7" t="n">
        <v>11</v>
      </c>
      <c r="AJ858" s="7" t="n">
        <v>7</v>
      </c>
      <c r="AK858" s="7" t="n">
        <v>7</v>
      </c>
      <c r="AL858" s="7" t="n">
        <v>16</v>
      </c>
      <c r="AM858" s="7" t="n">
        <v>17</v>
      </c>
      <c r="AN858" s="7" t="n">
        <v>3</v>
      </c>
      <c r="AO858" s="7" t="n">
        <v>3</v>
      </c>
      <c r="AP858" s="7" t="n">
        <v>1</v>
      </c>
      <c r="AQ858" s="7" t="n">
        <v>1</v>
      </c>
      <c r="AR858" s="6" t="s">
        <v>63</v>
      </c>
      <c r="AS858" s="6" t="s">
        <v>63</v>
      </c>
      <c r="AT858" s="28"/>
      <c r="AU858" s="9" t="str">
        <f aca="false">HYPERLINK("https://creighton-primo.hosted.exlibrisgroup.com/primo-explore/search?tab=default_tab&amp;search_scope=EVERYTHING&amp;vid=01CRU&amp;lang=en_US&amp;offset=0&amp;query=any,contains,991002093549702656","Catalog Record")</f>
        <v>Catalog Record</v>
      </c>
      <c r="AV858" s="9" t="str">
        <f aca="false">HYPERLINK("http://www.worldcat.org/oclc/26853827","WorldCat Record")</f>
        <v>WorldCat Record</v>
      </c>
      <c r="AW858" s="6" t="s">
        <v>4529</v>
      </c>
      <c r="AX858" s="6" t="s">
        <v>4530</v>
      </c>
      <c r="AY858" s="6" t="s">
        <v>4531</v>
      </c>
      <c r="AZ858" s="6" t="s">
        <v>4531</v>
      </c>
      <c r="BA858" s="6" t="s">
        <v>4532</v>
      </c>
      <c r="BB858" s="6" t="s">
        <v>4533</v>
      </c>
      <c r="BC858" s="6" t="s">
        <v>4534</v>
      </c>
      <c r="BE858" s="15" t="s">
        <v>2145</v>
      </c>
      <c r="BF858" s="6" t="s">
        <v>4535</v>
      </c>
    </row>
    <row r="859" customFormat="false" ht="174.5" hidden="false" customHeight="false" outlineLevel="0" collapsed="false">
      <c r="A859" s="26" t="s">
        <v>63</v>
      </c>
      <c r="B859" s="27" t="s">
        <v>2129</v>
      </c>
      <c r="C859" s="27" t="s">
        <v>2130</v>
      </c>
      <c r="D859" s="27" t="s">
        <v>4536</v>
      </c>
      <c r="E859" s="27" t="s">
        <v>4537</v>
      </c>
      <c r="F859" s="27" t="s">
        <v>4538</v>
      </c>
      <c r="G859" s="28"/>
      <c r="H859" s="6" t="s">
        <v>63</v>
      </c>
      <c r="I859" s="6" t="s">
        <v>62</v>
      </c>
      <c r="J859" s="6" t="s">
        <v>63</v>
      </c>
      <c r="K859" s="6" t="s">
        <v>63</v>
      </c>
      <c r="L859" s="6" t="s">
        <v>64</v>
      </c>
      <c r="M859" s="27" t="s">
        <v>4539</v>
      </c>
      <c r="N859" s="27" t="s">
        <v>4540</v>
      </c>
      <c r="O859" s="6" t="s">
        <v>2975</v>
      </c>
      <c r="P859" s="28"/>
      <c r="Q859" s="6" t="s">
        <v>67</v>
      </c>
      <c r="R859" s="6" t="s">
        <v>1059</v>
      </c>
      <c r="S859" s="28"/>
      <c r="T859" s="6" t="s">
        <v>4225</v>
      </c>
      <c r="U859" s="7" t="n">
        <v>2</v>
      </c>
      <c r="V859" s="7" t="n">
        <v>2</v>
      </c>
      <c r="W859" s="8" t="s">
        <v>4541</v>
      </c>
      <c r="X859" s="8" t="s">
        <v>4541</v>
      </c>
      <c r="Y859" s="8" t="s">
        <v>4435</v>
      </c>
      <c r="Z859" s="8" t="s">
        <v>4435</v>
      </c>
      <c r="AA859" s="7" t="n">
        <v>394</v>
      </c>
      <c r="AB859" s="7" t="n">
        <v>320</v>
      </c>
      <c r="AC859" s="7" t="n">
        <v>323</v>
      </c>
      <c r="AD859" s="7" t="n">
        <v>3</v>
      </c>
      <c r="AE859" s="7" t="n">
        <v>3</v>
      </c>
      <c r="AF859" s="7" t="n">
        <v>13</v>
      </c>
      <c r="AG859" s="7" t="n">
        <v>13</v>
      </c>
      <c r="AH859" s="7" t="n">
        <v>4</v>
      </c>
      <c r="AI859" s="7" t="n">
        <v>4</v>
      </c>
      <c r="AJ859" s="7" t="n">
        <v>3</v>
      </c>
      <c r="AK859" s="7" t="n">
        <v>3</v>
      </c>
      <c r="AL859" s="7" t="n">
        <v>9</v>
      </c>
      <c r="AM859" s="7" t="n">
        <v>9</v>
      </c>
      <c r="AN859" s="7" t="n">
        <v>2</v>
      </c>
      <c r="AO859" s="7" t="n">
        <v>2</v>
      </c>
      <c r="AP859" s="7" t="n">
        <v>0</v>
      </c>
      <c r="AQ859" s="7" t="n">
        <v>0</v>
      </c>
      <c r="AR859" s="6" t="s">
        <v>63</v>
      </c>
      <c r="AS859" s="6" t="s">
        <v>57</v>
      </c>
      <c r="AT859" s="9" t="str">
        <f aca="false">HYPERLINK("http://catalog.hathitrust.org/Record/001919267","HathiTrust Record")</f>
        <v>HathiTrust Record</v>
      </c>
      <c r="AU859" s="9" t="str">
        <f aca="false">HYPERLINK("https://creighton-primo.hosted.exlibrisgroup.com/primo-explore/search?tab=default_tab&amp;search_scope=EVERYTHING&amp;vid=01CRU&amp;lang=en_US&amp;offset=0&amp;query=any,contains,991000128429702656","Catalog Record")</f>
        <v>Catalog Record</v>
      </c>
      <c r="AV859" s="9" t="str">
        <f aca="false">HYPERLINK("http://www.worldcat.org/oclc/52921","WorldCat Record")</f>
        <v>WorldCat Record</v>
      </c>
      <c r="AW859" s="6" t="s">
        <v>4542</v>
      </c>
      <c r="AX859" s="6" t="s">
        <v>4543</v>
      </c>
      <c r="AY859" s="6" t="s">
        <v>4544</v>
      </c>
      <c r="AZ859" s="6" t="s">
        <v>4544</v>
      </c>
      <c r="BA859" s="6" t="s">
        <v>4545</v>
      </c>
      <c r="BB859" s="6" t="s">
        <v>4546</v>
      </c>
      <c r="BC859" s="6" t="s">
        <v>4547</v>
      </c>
      <c r="BE859" s="15" t="s">
        <v>2145</v>
      </c>
      <c r="BF859" s="6" t="s">
        <v>4548</v>
      </c>
    </row>
    <row r="860" customFormat="false" ht="82.5" hidden="false" customHeight="false" outlineLevel="0" collapsed="false">
      <c r="A860" s="26" t="s">
        <v>57</v>
      </c>
      <c r="B860" s="27" t="s">
        <v>2129</v>
      </c>
      <c r="C860" s="27" t="s">
        <v>2130</v>
      </c>
      <c r="D860" s="27" t="s">
        <v>4549</v>
      </c>
      <c r="E860" s="27" t="s">
        <v>4550</v>
      </c>
      <c r="F860" s="27" t="s">
        <v>4551</v>
      </c>
      <c r="G860" s="28"/>
      <c r="H860" s="6" t="s">
        <v>63</v>
      </c>
      <c r="I860" s="6" t="s">
        <v>62</v>
      </c>
      <c r="J860" s="6" t="s">
        <v>63</v>
      </c>
      <c r="K860" s="6" t="s">
        <v>63</v>
      </c>
      <c r="L860" s="6" t="s">
        <v>64</v>
      </c>
      <c r="M860" s="27" t="s">
        <v>4552</v>
      </c>
      <c r="N860" s="27" t="s">
        <v>4553</v>
      </c>
      <c r="O860" s="6" t="s">
        <v>108</v>
      </c>
      <c r="P860" s="28"/>
      <c r="Q860" s="6" t="s">
        <v>67</v>
      </c>
      <c r="R860" s="6" t="s">
        <v>384</v>
      </c>
      <c r="S860" s="27" t="s">
        <v>3030</v>
      </c>
      <c r="T860" s="6" t="s">
        <v>4225</v>
      </c>
      <c r="U860" s="7" t="n">
        <v>2</v>
      </c>
      <c r="V860" s="7" t="n">
        <v>2</v>
      </c>
      <c r="W860" s="8" t="s">
        <v>4554</v>
      </c>
      <c r="X860" s="8" t="s">
        <v>4554</v>
      </c>
      <c r="Y860" s="8" t="s">
        <v>4435</v>
      </c>
      <c r="Z860" s="8" t="s">
        <v>4435</v>
      </c>
      <c r="AA860" s="7" t="n">
        <v>762</v>
      </c>
      <c r="AB860" s="7" t="n">
        <v>563</v>
      </c>
      <c r="AC860" s="7" t="n">
        <v>601</v>
      </c>
      <c r="AD860" s="7" t="n">
        <v>3</v>
      </c>
      <c r="AE860" s="7" t="n">
        <v>4</v>
      </c>
      <c r="AF860" s="7" t="n">
        <v>30</v>
      </c>
      <c r="AG860" s="7" t="n">
        <v>32</v>
      </c>
      <c r="AH860" s="7" t="n">
        <v>12</v>
      </c>
      <c r="AI860" s="7" t="n">
        <v>13</v>
      </c>
      <c r="AJ860" s="7" t="n">
        <v>8</v>
      </c>
      <c r="AK860" s="7" t="n">
        <v>8</v>
      </c>
      <c r="AL860" s="7" t="n">
        <v>19</v>
      </c>
      <c r="AM860" s="7" t="n">
        <v>20</v>
      </c>
      <c r="AN860" s="7" t="n">
        <v>2</v>
      </c>
      <c r="AO860" s="7" t="n">
        <v>3</v>
      </c>
      <c r="AP860" s="7" t="n">
        <v>0</v>
      </c>
      <c r="AQ860" s="7" t="n">
        <v>0</v>
      </c>
      <c r="AR860" s="6" t="s">
        <v>63</v>
      </c>
      <c r="AS860" s="6" t="s">
        <v>63</v>
      </c>
      <c r="AT860" s="28"/>
      <c r="AU860" s="9" t="str">
        <f aca="false">HYPERLINK("https://creighton-primo.hosted.exlibrisgroup.com/primo-explore/search?tab=default_tab&amp;search_scope=EVERYTHING&amp;vid=01CRU&amp;lang=en_US&amp;offset=0&amp;query=any,contains,991004509869702656","Catalog Record")</f>
        <v>Catalog Record</v>
      </c>
      <c r="AV860" s="9" t="str">
        <f aca="false">HYPERLINK("http://www.worldcat.org/oclc/3757028","WorldCat Record")</f>
        <v>WorldCat Record</v>
      </c>
      <c r="AW860" s="6" t="s">
        <v>4555</v>
      </c>
      <c r="AX860" s="6" t="s">
        <v>4556</v>
      </c>
      <c r="AY860" s="6" t="s">
        <v>4557</v>
      </c>
      <c r="AZ860" s="6" t="s">
        <v>4557</v>
      </c>
      <c r="BA860" s="6" t="s">
        <v>4558</v>
      </c>
      <c r="BB860" s="6" t="s">
        <v>4559</v>
      </c>
      <c r="BC860" s="6" t="s">
        <v>4560</v>
      </c>
      <c r="BE860" s="15" t="s">
        <v>2145</v>
      </c>
      <c r="BF860" s="6" t="s">
        <v>4561</v>
      </c>
    </row>
    <row r="861" customFormat="false" ht="71" hidden="false" customHeight="false" outlineLevel="0" collapsed="false">
      <c r="A861" s="26" t="s">
        <v>57</v>
      </c>
      <c r="B861" s="27" t="s">
        <v>2129</v>
      </c>
      <c r="C861" s="27" t="s">
        <v>2130</v>
      </c>
      <c r="D861" s="27" t="s">
        <v>4562</v>
      </c>
      <c r="E861" s="27" t="s">
        <v>4563</v>
      </c>
      <c r="F861" s="27" t="s">
        <v>4564</v>
      </c>
      <c r="G861" s="28"/>
      <c r="H861" s="6" t="s">
        <v>63</v>
      </c>
      <c r="I861" s="6" t="s">
        <v>62</v>
      </c>
      <c r="J861" s="6" t="s">
        <v>63</v>
      </c>
      <c r="K861" s="6" t="s">
        <v>63</v>
      </c>
      <c r="L861" s="6" t="s">
        <v>64</v>
      </c>
      <c r="M861" s="27" t="s">
        <v>4565</v>
      </c>
      <c r="N861" s="27" t="s">
        <v>4566</v>
      </c>
      <c r="O861" s="6" t="s">
        <v>254</v>
      </c>
      <c r="P861" s="28"/>
      <c r="Q861" s="6" t="s">
        <v>67</v>
      </c>
      <c r="R861" s="6" t="s">
        <v>384</v>
      </c>
      <c r="S861" s="27" t="s">
        <v>4567</v>
      </c>
      <c r="T861" s="6" t="s">
        <v>4225</v>
      </c>
      <c r="U861" s="7" t="n">
        <v>3</v>
      </c>
      <c r="V861" s="7" t="n">
        <v>3</v>
      </c>
      <c r="W861" s="8" t="s">
        <v>4568</v>
      </c>
      <c r="X861" s="8" t="s">
        <v>4568</v>
      </c>
      <c r="Y861" s="8" t="s">
        <v>4435</v>
      </c>
      <c r="Z861" s="8" t="s">
        <v>4435</v>
      </c>
      <c r="AA861" s="7" t="n">
        <v>644</v>
      </c>
      <c r="AB861" s="7" t="n">
        <v>477</v>
      </c>
      <c r="AC861" s="7" t="n">
        <v>531</v>
      </c>
      <c r="AD861" s="7" t="n">
        <v>4</v>
      </c>
      <c r="AE861" s="7" t="n">
        <v>4</v>
      </c>
      <c r="AF861" s="7" t="n">
        <v>27</v>
      </c>
      <c r="AG861" s="7" t="n">
        <v>29</v>
      </c>
      <c r="AH861" s="7" t="n">
        <v>10</v>
      </c>
      <c r="AI861" s="7" t="n">
        <v>10</v>
      </c>
      <c r="AJ861" s="7" t="n">
        <v>6</v>
      </c>
      <c r="AK861" s="7" t="n">
        <v>7</v>
      </c>
      <c r="AL861" s="7" t="n">
        <v>17</v>
      </c>
      <c r="AM861" s="7" t="n">
        <v>19</v>
      </c>
      <c r="AN861" s="7" t="n">
        <v>3</v>
      </c>
      <c r="AO861" s="7" t="n">
        <v>3</v>
      </c>
      <c r="AP861" s="7" t="n">
        <v>0</v>
      </c>
      <c r="AQ861" s="7" t="n">
        <v>0</v>
      </c>
      <c r="AR861" s="6" t="s">
        <v>63</v>
      </c>
      <c r="AS861" s="6" t="s">
        <v>57</v>
      </c>
      <c r="AT861" s="9" t="str">
        <f aca="false">HYPERLINK("http://catalog.hathitrust.org/Record/000010860","HathiTrust Record")</f>
        <v>HathiTrust Record</v>
      </c>
      <c r="AU861" s="9" t="str">
        <f aca="false">HYPERLINK("https://creighton-primo.hosted.exlibrisgroup.com/primo-explore/search?tab=default_tab&amp;search_scope=EVERYTHING&amp;vid=01CRU&amp;lang=en_US&amp;offset=0&amp;query=any,contains,991003219499702656","Catalog Record")</f>
        <v>Catalog Record</v>
      </c>
      <c r="AV861" s="9" t="str">
        <f aca="false">HYPERLINK("http://www.worldcat.org/oclc/745629","WorldCat Record")</f>
        <v>WorldCat Record</v>
      </c>
      <c r="AW861" s="6" t="s">
        <v>4569</v>
      </c>
      <c r="AX861" s="6" t="s">
        <v>4570</v>
      </c>
      <c r="AY861" s="6" t="s">
        <v>4571</v>
      </c>
      <c r="AZ861" s="6" t="s">
        <v>4571</v>
      </c>
      <c r="BA861" s="6" t="s">
        <v>4572</v>
      </c>
      <c r="BB861" s="6" t="s">
        <v>4573</v>
      </c>
      <c r="BC861" s="6" t="s">
        <v>4574</v>
      </c>
      <c r="BE861" s="15" t="s">
        <v>2145</v>
      </c>
      <c r="BF861" s="6" t="s">
        <v>4575</v>
      </c>
    </row>
    <row r="862" customFormat="false" ht="163" hidden="false" customHeight="false" outlineLevel="0" collapsed="false">
      <c r="A862" s="26" t="s">
        <v>63</v>
      </c>
      <c r="B862" s="27" t="s">
        <v>2129</v>
      </c>
      <c r="C862" s="27" t="s">
        <v>2130</v>
      </c>
      <c r="D862" s="27" t="s">
        <v>4576</v>
      </c>
      <c r="E862" s="27" t="s">
        <v>4577</v>
      </c>
      <c r="F862" s="27" t="s">
        <v>4578</v>
      </c>
      <c r="G862" s="28"/>
      <c r="H862" s="6" t="s">
        <v>63</v>
      </c>
      <c r="I862" s="6" t="s">
        <v>62</v>
      </c>
      <c r="J862" s="6" t="s">
        <v>63</v>
      </c>
      <c r="K862" s="6" t="s">
        <v>63</v>
      </c>
      <c r="L862" s="6" t="s">
        <v>64</v>
      </c>
      <c r="M862" s="27" t="s">
        <v>4579</v>
      </c>
      <c r="N862" s="27" t="s">
        <v>4580</v>
      </c>
      <c r="O862" s="6" t="s">
        <v>264</v>
      </c>
      <c r="P862" s="28"/>
      <c r="Q862" s="6" t="s">
        <v>67</v>
      </c>
      <c r="R862" s="6" t="s">
        <v>1059</v>
      </c>
      <c r="S862" s="28"/>
      <c r="T862" s="6" t="s">
        <v>4225</v>
      </c>
      <c r="U862" s="7" t="n">
        <v>1</v>
      </c>
      <c r="V862" s="7" t="n">
        <v>1</v>
      </c>
      <c r="W862" s="8" t="s">
        <v>4581</v>
      </c>
      <c r="X862" s="8" t="s">
        <v>4581</v>
      </c>
      <c r="Y862" s="8" t="s">
        <v>4435</v>
      </c>
      <c r="Z862" s="8" t="s">
        <v>4435</v>
      </c>
      <c r="AA862" s="7" t="n">
        <v>572</v>
      </c>
      <c r="AB862" s="7" t="n">
        <v>488</v>
      </c>
      <c r="AC862" s="7" t="n">
        <v>504</v>
      </c>
      <c r="AD862" s="7" t="n">
        <v>3</v>
      </c>
      <c r="AE862" s="7" t="n">
        <v>3</v>
      </c>
      <c r="AF862" s="7" t="n">
        <v>22</v>
      </c>
      <c r="AG862" s="7" t="n">
        <v>22</v>
      </c>
      <c r="AH862" s="7" t="n">
        <v>7</v>
      </c>
      <c r="AI862" s="7" t="n">
        <v>7</v>
      </c>
      <c r="AJ862" s="7" t="n">
        <v>4</v>
      </c>
      <c r="AK862" s="7" t="n">
        <v>4</v>
      </c>
      <c r="AL862" s="7" t="n">
        <v>15</v>
      </c>
      <c r="AM862" s="7" t="n">
        <v>15</v>
      </c>
      <c r="AN862" s="7" t="n">
        <v>2</v>
      </c>
      <c r="AO862" s="7" t="n">
        <v>2</v>
      </c>
      <c r="AP862" s="7" t="n">
        <v>0</v>
      </c>
      <c r="AQ862" s="7" t="n">
        <v>0</v>
      </c>
      <c r="AR862" s="6" t="s">
        <v>63</v>
      </c>
      <c r="AS862" s="6" t="s">
        <v>57</v>
      </c>
      <c r="AT862" s="9" t="str">
        <f aca="false">HYPERLINK("http://catalog.hathitrust.org/Record/001388174","HathiTrust Record")</f>
        <v>HathiTrust Record</v>
      </c>
      <c r="AU862" s="9" t="str">
        <f aca="false">HYPERLINK("https://creighton-primo.hosted.exlibrisgroup.com/primo-explore/search?tab=default_tab&amp;search_scope=EVERYTHING&amp;vid=01CRU&amp;lang=en_US&amp;offset=0&amp;query=any,contains,991000640629702656","Catalog Record")</f>
        <v>Catalog Record</v>
      </c>
      <c r="AV862" s="9" t="str">
        <f aca="false">HYPERLINK("http://www.worldcat.org/oclc/109506","WorldCat Record")</f>
        <v>WorldCat Record</v>
      </c>
      <c r="AW862" s="6" t="s">
        <v>4582</v>
      </c>
      <c r="AX862" s="6" t="s">
        <v>4583</v>
      </c>
      <c r="AY862" s="6" t="s">
        <v>4584</v>
      </c>
      <c r="AZ862" s="6" t="s">
        <v>4584</v>
      </c>
      <c r="BA862" s="6" t="s">
        <v>4585</v>
      </c>
      <c r="BB862" s="6" t="s">
        <v>4586</v>
      </c>
      <c r="BC862" s="6" t="s">
        <v>4587</v>
      </c>
      <c r="BE862" s="15" t="s">
        <v>2145</v>
      </c>
      <c r="BF862" s="6" t="s">
        <v>4588</v>
      </c>
    </row>
    <row r="863" customFormat="false" ht="151.5" hidden="false" customHeight="false" outlineLevel="0" collapsed="false">
      <c r="A863" s="26" t="s">
        <v>63</v>
      </c>
      <c r="B863" s="27" t="s">
        <v>2129</v>
      </c>
      <c r="C863" s="27" t="s">
        <v>2130</v>
      </c>
      <c r="D863" s="27" t="s">
        <v>4589</v>
      </c>
      <c r="E863" s="27" t="s">
        <v>4590</v>
      </c>
      <c r="F863" s="27" t="s">
        <v>4591</v>
      </c>
      <c r="G863" s="28"/>
      <c r="H863" s="6" t="s">
        <v>63</v>
      </c>
      <c r="I863" s="6" t="s">
        <v>62</v>
      </c>
      <c r="J863" s="6" t="s">
        <v>63</v>
      </c>
      <c r="K863" s="6" t="s">
        <v>63</v>
      </c>
      <c r="L863" s="6" t="s">
        <v>64</v>
      </c>
      <c r="M863" s="27" t="s">
        <v>4592</v>
      </c>
      <c r="N863" s="27" t="s">
        <v>4593</v>
      </c>
      <c r="O863" s="6" t="s">
        <v>2249</v>
      </c>
      <c r="P863" s="27" t="s">
        <v>4594</v>
      </c>
      <c r="Q863" s="6" t="s">
        <v>67</v>
      </c>
      <c r="R863" s="6" t="s">
        <v>68</v>
      </c>
      <c r="S863" s="27" t="s">
        <v>4595</v>
      </c>
      <c r="T863" s="6" t="s">
        <v>4225</v>
      </c>
      <c r="U863" s="7" t="n">
        <v>0</v>
      </c>
      <c r="V863" s="7" t="n">
        <v>0</v>
      </c>
      <c r="W863" s="8" t="s">
        <v>2559</v>
      </c>
      <c r="X863" s="8" t="s">
        <v>2559</v>
      </c>
      <c r="Y863" s="8" t="s">
        <v>4596</v>
      </c>
      <c r="Z863" s="8" t="s">
        <v>4596</v>
      </c>
      <c r="AA863" s="7" t="n">
        <v>119</v>
      </c>
      <c r="AB863" s="7" t="n">
        <v>78</v>
      </c>
      <c r="AC863" s="7" t="n">
        <v>223</v>
      </c>
      <c r="AD863" s="7" t="n">
        <v>2</v>
      </c>
      <c r="AE863" s="7" t="n">
        <v>3</v>
      </c>
      <c r="AF863" s="7" t="n">
        <v>6</v>
      </c>
      <c r="AG863" s="7" t="n">
        <v>14</v>
      </c>
      <c r="AH863" s="7" t="n">
        <v>3</v>
      </c>
      <c r="AI863" s="7" t="n">
        <v>5</v>
      </c>
      <c r="AJ863" s="7" t="n">
        <v>0</v>
      </c>
      <c r="AK863" s="7" t="n">
        <v>3</v>
      </c>
      <c r="AL863" s="7" t="n">
        <v>2</v>
      </c>
      <c r="AM863" s="7" t="n">
        <v>8</v>
      </c>
      <c r="AN863" s="7" t="n">
        <v>1</v>
      </c>
      <c r="AO863" s="7" t="n">
        <v>2</v>
      </c>
      <c r="AP863" s="7" t="n">
        <v>0</v>
      </c>
      <c r="AQ863" s="7" t="n">
        <v>0</v>
      </c>
      <c r="AR863" s="6" t="s">
        <v>63</v>
      </c>
      <c r="AS863" s="6" t="s">
        <v>63</v>
      </c>
      <c r="AT863" s="28"/>
      <c r="AU863" s="9" t="str">
        <f aca="false">HYPERLINK("https://creighton-primo.hosted.exlibrisgroup.com/primo-explore/search?tab=default_tab&amp;search_scope=EVERYTHING&amp;vid=01CRU&amp;lang=en_US&amp;offset=0&amp;query=any,contains,991001986859702656","Catalog Record")</f>
        <v>Catalog Record</v>
      </c>
      <c r="AV863" s="9" t="str">
        <f aca="false">HYPERLINK("http://www.worldcat.org/oclc/25245763","WorldCat Record")</f>
        <v>WorldCat Record</v>
      </c>
      <c r="AW863" s="6" t="s">
        <v>4597</v>
      </c>
      <c r="AX863" s="6" t="s">
        <v>4598</v>
      </c>
      <c r="AY863" s="6" t="s">
        <v>4599</v>
      </c>
      <c r="AZ863" s="6" t="s">
        <v>4599</v>
      </c>
      <c r="BA863" s="6" t="s">
        <v>4600</v>
      </c>
      <c r="BB863" s="6" t="s">
        <v>4601</v>
      </c>
      <c r="BC863" s="6" t="s">
        <v>4602</v>
      </c>
      <c r="BE863" s="15" t="s">
        <v>2145</v>
      </c>
      <c r="BF863" s="6" t="s">
        <v>4603</v>
      </c>
    </row>
    <row r="864" customFormat="false" ht="174.5" hidden="false" customHeight="false" outlineLevel="0" collapsed="false">
      <c r="A864" s="26" t="s">
        <v>63</v>
      </c>
      <c r="B864" s="27" t="s">
        <v>2129</v>
      </c>
      <c r="C864" s="27" t="s">
        <v>2130</v>
      </c>
      <c r="D864" s="27" t="s">
        <v>4604</v>
      </c>
      <c r="E864" s="27" t="s">
        <v>4605</v>
      </c>
      <c r="F864" s="27" t="s">
        <v>4606</v>
      </c>
      <c r="G864" s="28"/>
      <c r="H864" s="6" t="s">
        <v>63</v>
      </c>
      <c r="I864" s="6" t="s">
        <v>62</v>
      </c>
      <c r="J864" s="6" t="s">
        <v>63</v>
      </c>
      <c r="K864" s="6" t="s">
        <v>63</v>
      </c>
      <c r="L864" s="6" t="s">
        <v>64</v>
      </c>
      <c r="M864" s="27" t="s">
        <v>4607</v>
      </c>
      <c r="N864" s="27" t="s">
        <v>4608</v>
      </c>
      <c r="O864" s="6" t="s">
        <v>3248</v>
      </c>
      <c r="P864" s="28"/>
      <c r="Q864" s="6" t="s">
        <v>67</v>
      </c>
      <c r="R864" s="6" t="s">
        <v>1224</v>
      </c>
      <c r="S864" s="28"/>
      <c r="T864" s="6" t="s">
        <v>4225</v>
      </c>
      <c r="U864" s="7" t="n">
        <v>1</v>
      </c>
      <c r="V864" s="7" t="n">
        <v>1</v>
      </c>
      <c r="W864" s="8" t="s">
        <v>4609</v>
      </c>
      <c r="X864" s="8" t="s">
        <v>4609</v>
      </c>
      <c r="Y864" s="8" t="s">
        <v>4610</v>
      </c>
      <c r="Z864" s="8" t="s">
        <v>4610</v>
      </c>
      <c r="AA864" s="7" t="n">
        <v>296</v>
      </c>
      <c r="AB864" s="7" t="n">
        <v>225</v>
      </c>
      <c r="AC864" s="7" t="n">
        <v>243</v>
      </c>
      <c r="AD864" s="7" t="n">
        <v>2</v>
      </c>
      <c r="AE864" s="7" t="n">
        <v>2</v>
      </c>
      <c r="AF864" s="7" t="n">
        <v>14</v>
      </c>
      <c r="AG864" s="7" t="n">
        <v>15</v>
      </c>
      <c r="AH864" s="7" t="n">
        <v>4</v>
      </c>
      <c r="AI864" s="7" t="n">
        <v>5</v>
      </c>
      <c r="AJ864" s="7" t="n">
        <v>3</v>
      </c>
      <c r="AK864" s="7" t="n">
        <v>4</v>
      </c>
      <c r="AL864" s="7" t="n">
        <v>9</v>
      </c>
      <c r="AM864" s="7" t="n">
        <v>9</v>
      </c>
      <c r="AN864" s="7" t="n">
        <v>1</v>
      </c>
      <c r="AO864" s="7" t="n">
        <v>1</v>
      </c>
      <c r="AP864" s="7" t="n">
        <v>1</v>
      </c>
      <c r="AQ864" s="7" t="n">
        <v>1</v>
      </c>
      <c r="AR864" s="6" t="s">
        <v>63</v>
      </c>
      <c r="AS864" s="6" t="s">
        <v>57</v>
      </c>
      <c r="AT864" s="9" t="str">
        <f aca="false">HYPERLINK("http://catalog.hathitrust.org/Record/003102344","HathiTrust Record")</f>
        <v>HathiTrust Record</v>
      </c>
      <c r="AU864" s="9" t="str">
        <f aca="false">HYPERLINK("https://creighton-primo.hosted.exlibrisgroup.com/primo-explore/search?tab=default_tab&amp;search_scope=EVERYTHING&amp;vid=01CRU&amp;lang=en_US&amp;offset=0&amp;query=any,contains,991002646069702656","Catalog Record")</f>
        <v>Catalog Record</v>
      </c>
      <c r="AV864" s="9" t="str">
        <f aca="false">HYPERLINK("http://www.worldcat.org/oclc/34618270","WorldCat Record")</f>
        <v>WorldCat Record</v>
      </c>
      <c r="AW864" s="6" t="s">
        <v>4611</v>
      </c>
      <c r="AX864" s="6" t="s">
        <v>4612</v>
      </c>
      <c r="AY864" s="6" t="s">
        <v>4613</v>
      </c>
      <c r="AZ864" s="6" t="s">
        <v>4613</v>
      </c>
      <c r="BA864" s="6" t="s">
        <v>4614</v>
      </c>
      <c r="BB864" s="6" t="s">
        <v>4615</v>
      </c>
      <c r="BC864" s="6" t="s">
        <v>4616</v>
      </c>
      <c r="BE864" s="15" t="s">
        <v>2145</v>
      </c>
      <c r="BF864" s="6" t="s">
        <v>4617</v>
      </c>
    </row>
    <row r="865" customFormat="false" ht="197.5" hidden="false" customHeight="false" outlineLevel="0" collapsed="false">
      <c r="A865" s="26" t="s">
        <v>63</v>
      </c>
      <c r="B865" s="27" t="s">
        <v>2129</v>
      </c>
      <c r="C865" s="27" t="s">
        <v>2130</v>
      </c>
      <c r="D865" s="27" t="s">
        <v>4618</v>
      </c>
      <c r="E865" s="27" t="s">
        <v>4619</v>
      </c>
      <c r="F865" s="27" t="s">
        <v>4620</v>
      </c>
      <c r="G865" s="28"/>
      <c r="H865" s="6" t="s">
        <v>63</v>
      </c>
      <c r="I865" s="6" t="s">
        <v>62</v>
      </c>
      <c r="J865" s="6" t="s">
        <v>63</v>
      </c>
      <c r="K865" s="6" t="s">
        <v>63</v>
      </c>
      <c r="L865" s="6" t="s">
        <v>64</v>
      </c>
      <c r="M865" s="28"/>
      <c r="N865" s="27" t="s">
        <v>4621</v>
      </c>
      <c r="O865" s="6" t="s">
        <v>2221</v>
      </c>
      <c r="P865" s="28"/>
      <c r="Q865" s="6" t="s">
        <v>67</v>
      </c>
      <c r="R865" s="6" t="s">
        <v>802</v>
      </c>
      <c r="S865" s="27" t="s">
        <v>4622</v>
      </c>
      <c r="T865" s="6" t="s">
        <v>4225</v>
      </c>
      <c r="U865" s="7" t="n">
        <v>3</v>
      </c>
      <c r="V865" s="7" t="n">
        <v>3</v>
      </c>
      <c r="W865" s="8" t="s">
        <v>4623</v>
      </c>
      <c r="X865" s="8" t="s">
        <v>4623</v>
      </c>
      <c r="Y865" s="8" t="s">
        <v>4624</v>
      </c>
      <c r="Z865" s="8" t="s">
        <v>4624</v>
      </c>
      <c r="AA865" s="7" t="n">
        <v>249</v>
      </c>
      <c r="AB865" s="7" t="n">
        <v>168</v>
      </c>
      <c r="AC865" s="7" t="n">
        <v>179</v>
      </c>
      <c r="AD865" s="7" t="n">
        <v>3</v>
      </c>
      <c r="AE865" s="7" t="n">
        <v>3</v>
      </c>
      <c r="AF865" s="7" t="n">
        <v>9</v>
      </c>
      <c r="AG865" s="7" t="n">
        <v>10</v>
      </c>
      <c r="AH865" s="7" t="n">
        <v>1</v>
      </c>
      <c r="AI865" s="7" t="n">
        <v>2</v>
      </c>
      <c r="AJ865" s="7" t="n">
        <v>2</v>
      </c>
      <c r="AK865" s="7" t="n">
        <v>2</v>
      </c>
      <c r="AL865" s="7" t="n">
        <v>6</v>
      </c>
      <c r="AM865" s="7" t="n">
        <v>7</v>
      </c>
      <c r="AN865" s="7" t="n">
        <v>2</v>
      </c>
      <c r="AO865" s="7" t="n">
        <v>2</v>
      </c>
      <c r="AP865" s="7" t="n">
        <v>0</v>
      </c>
      <c r="AQ865" s="7" t="n">
        <v>0</v>
      </c>
      <c r="AR865" s="6" t="s">
        <v>63</v>
      </c>
      <c r="AS865" s="6" t="s">
        <v>57</v>
      </c>
      <c r="AT865" s="9" t="str">
        <f aca="false">HYPERLINK("http://catalog.hathitrust.org/Record/000946066","HathiTrust Record")</f>
        <v>HathiTrust Record</v>
      </c>
      <c r="AU865" s="9" t="str">
        <f aca="false">HYPERLINK("https://creighton-primo.hosted.exlibrisgroup.com/primo-explore/search?tab=default_tab&amp;search_scope=EVERYTHING&amp;vid=01CRU&amp;lang=en_US&amp;offset=0&amp;query=any,contains,991001235439702656","Catalog Record")</f>
        <v>Catalog Record</v>
      </c>
      <c r="AV865" s="9" t="str">
        <f aca="false">HYPERLINK("http://www.worldcat.org/oclc/17550163","WorldCat Record")</f>
        <v>WorldCat Record</v>
      </c>
      <c r="AW865" s="6" t="s">
        <v>4625</v>
      </c>
      <c r="AX865" s="6" t="s">
        <v>4626</v>
      </c>
      <c r="AY865" s="6" t="s">
        <v>4627</v>
      </c>
      <c r="AZ865" s="6" t="s">
        <v>4627</v>
      </c>
      <c r="BA865" s="6" t="s">
        <v>4628</v>
      </c>
      <c r="BB865" s="6" t="s">
        <v>4629</v>
      </c>
      <c r="BC865" s="6" t="s">
        <v>4630</v>
      </c>
      <c r="BE865" s="15" t="s">
        <v>2145</v>
      </c>
      <c r="BF865" s="6" t="s">
        <v>4631</v>
      </c>
    </row>
    <row r="866" customFormat="false" ht="231.05" hidden="false" customHeight="false" outlineLevel="0" collapsed="false">
      <c r="A866" s="26" t="s">
        <v>63</v>
      </c>
      <c r="B866" s="27" t="s">
        <v>2129</v>
      </c>
      <c r="C866" s="27" t="s">
        <v>2130</v>
      </c>
      <c r="D866" s="27" t="s">
        <v>4632</v>
      </c>
      <c r="E866" s="27" t="s">
        <v>4633</v>
      </c>
      <c r="F866" s="27" t="s">
        <v>4634</v>
      </c>
      <c r="G866" s="28"/>
      <c r="H866" s="6" t="s">
        <v>63</v>
      </c>
      <c r="I866" s="6" t="s">
        <v>62</v>
      </c>
      <c r="J866" s="6" t="s">
        <v>63</v>
      </c>
      <c r="K866" s="6" t="s">
        <v>63</v>
      </c>
      <c r="L866" s="6" t="s">
        <v>64</v>
      </c>
      <c r="M866" s="27" t="s">
        <v>4635</v>
      </c>
      <c r="N866" s="27" t="s">
        <v>4636</v>
      </c>
      <c r="O866" s="6" t="s">
        <v>3919</v>
      </c>
      <c r="P866" s="27" t="s">
        <v>4146</v>
      </c>
      <c r="Q866" s="6" t="s">
        <v>67</v>
      </c>
      <c r="R866" s="6" t="s">
        <v>123</v>
      </c>
      <c r="S866" s="27" t="s">
        <v>4637</v>
      </c>
      <c r="T866" s="6" t="s">
        <v>4225</v>
      </c>
      <c r="U866" s="7" t="n">
        <v>1</v>
      </c>
      <c r="V866" s="7" t="n">
        <v>1</v>
      </c>
      <c r="W866" s="8" t="s">
        <v>4638</v>
      </c>
      <c r="X866" s="8" t="s">
        <v>4638</v>
      </c>
      <c r="Y866" s="8" t="s">
        <v>4639</v>
      </c>
      <c r="Z866" s="8" t="s">
        <v>4639</v>
      </c>
      <c r="AA866" s="7" t="n">
        <v>225</v>
      </c>
      <c r="AB866" s="7" t="n">
        <v>193</v>
      </c>
      <c r="AC866" s="7" t="n">
        <v>200</v>
      </c>
      <c r="AD866" s="7" t="n">
        <v>3</v>
      </c>
      <c r="AE866" s="7" t="n">
        <v>3</v>
      </c>
      <c r="AF866" s="7" t="n">
        <v>14</v>
      </c>
      <c r="AG866" s="7" t="n">
        <v>14</v>
      </c>
      <c r="AH866" s="7" t="n">
        <v>4</v>
      </c>
      <c r="AI866" s="7" t="n">
        <v>4</v>
      </c>
      <c r="AJ866" s="7" t="n">
        <v>5</v>
      </c>
      <c r="AK866" s="7" t="n">
        <v>5</v>
      </c>
      <c r="AL866" s="7" t="n">
        <v>7</v>
      </c>
      <c r="AM866" s="7" t="n">
        <v>7</v>
      </c>
      <c r="AN866" s="7" t="n">
        <v>1</v>
      </c>
      <c r="AO866" s="7" t="n">
        <v>1</v>
      </c>
      <c r="AP866" s="7" t="n">
        <v>0</v>
      </c>
      <c r="AQ866" s="7" t="n">
        <v>0</v>
      </c>
      <c r="AR866" s="6" t="s">
        <v>63</v>
      </c>
      <c r="AS866" s="6" t="s">
        <v>57</v>
      </c>
      <c r="AT866" s="9" t="str">
        <f aca="false">HYPERLINK("http://catalog.hathitrust.org/Record/102186665","HathiTrust Record")</f>
        <v>HathiTrust Record</v>
      </c>
      <c r="AU866" s="9" t="str">
        <f aca="false">HYPERLINK("https://creighton-primo.hosted.exlibrisgroup.com/primo-explore/search?tab=default_tab&amp;search_scope=EVERYTHING&amp;vid=01CRU&amp;lang=en_US&amp;offset=0&amp;query=any,contains,991003519489702656","Catalog Record")</f>
        <v>Catalog Record</v>
      </c>
      <c r="AV866" s="9" t="str">
        <f aca="false">HYPERLINK("http://www.worldcat.org/oclc/1079079","WorldCat Record")</f>
        <v>WorldCat Record</v>
      </c>
      <c r="AW866" s="6" t="s">
        <v>4640</v>
      </c>
      <c r="AX866" s="6" t="s">
        <v>4641</v>
      </c>
      <c r="AY866" s="6" t="s">
        <v>4642</v>
      </c>
      <c r="AZ866" s="6" t="s">
        <v>4642</v>
      </c>
      <c r="BA866" s="6" t="s">
        <v>4643</v>
      </c>
      <c r="BB866" s="28"/>
      <c r="BC866" s="6" t="s">
        <v>4644</v>
      </c>
      <c r="BE866" s="15" t="s">
        <v>2145</v>
      </c>
      <c r="BF866" s="6" t="s">
        <v>4645</v>
      </c>
    </row>
    <row r="867" customFormat="false" ht="94" hidden="false" customHeight="false" outlineLevel="0" collapsed="false">
      <c r="A867" s="26" t="s">
        <v>63</v>
      </c>
      <c r="B867" s="27" t="s">
        <v>2129</v>
      </c>
      <c r="C867" s="27" t="s">
        <v>2130</v>
      </c>
      <c r="D867" s="27" t="s">
        <v>4646</v>
      </c>
      <c r="E867" s="27" t="s">
        <v>4647</v>
      </c>
      <c r="F867" s="27" t="s">
        <v>4648</v>
      </c>
      <c r="G867" s="28"/>
      <c r="H867" s="6" t="s">
        <v>63</v>
      </c>
      <c r="I867" s="6" t="s">
        <v>62</v>
      </c>
      <c r="J867" s="6" t="s">
        <v>63</v>
      </c>
      <c r="K867" s="6" t="s">
        <v>63</v>
      </c>
      <c r="L867" s="6" t="s">
        <v>64</v>
      </c>
      <c r="M867" s="27" t="s">
        <v>4649</v>
      </c>
      <c r="N867" s="27" t="s">
        <v>4650</v>
      </c>
      <c r="O867" s="6" t="s">
        <v>254</v>
      </c>
      <c r="P867" s="28"/>
      <c r="Q867" s="6" t="s">
        <v>67</v>
      </c>
      <c r="R867" s="6" t="s">
        <v>1108</v>
      </c>
      <c r="S867" s="28"/>
      <c r="T867" s="6" t="s">
        <v>4225</v>
      </c>
      <c r="U867" s="7" t="n">
        <v>3</v>
      </c>
      <c r="V867" s="7" t="n">
        <v>3</v>
      </c>
      <c r="W867" s="8" t="s">
        <v>4651</v>
      </c>
      <c r="X867" s="8" t="s">
        <v>4651</v>
      </c>
      <c r="Y867" s="8" t="s">
        <v>4652</v>
      </c>
      <c r="Z867" s="8" t="s">
        <v>4652</v>
      </c>
      <c r="AA867" s="7" t="n">
        <v>285</v>
      </c>
      <c r="AB867" s="7" t="n">
        <v>215</v>
      </c>
      <c r="AC867" s="7" t="n">
        <v>215</v>
      </c>
      <c r="AD867" s="7" t="n">
        <v>3</v>
      </c>
      <c r="AE867" s="7" t="n">
        <v>3</v>
      </c>
      <c r="AF867" s="7" t="n">
        <v>14</v>
      </c>
      <c r="AG867" s="7" t="n">
        <v>14</v>
      </c>
      <c r="AH867" s="7" t="n">
        <v>3</v>
      </c>
      <c r="AI867" s="7" t="n">
        <v>3</v>
      </c>
      <c r="AJ867" s="7" t="n">
        <v>4</v>
      </c>
      <c r="AK867" s="7" t="n">
        <v>4</v>
      </c>
      <c r="AL867" s="7" t="n">
        <v>10</v>
      </c>
      <c r="AM867" s="7" t="n">
        <v>10</v>
      </c>
      <c r="AN867" s="7" t="n">
        <v>2</v>
      </c>
      <c r="AO867" s="7" t="n">
        <v>2</v>
      </c>
      <c r="AP867" s="7" t="n">
        <v>0</v>
      </c>
      <c r="AQ867" s="7" t="n">
        <v>0</v>
      </c>
      <c r="AR867" s="6" t="s">
        <v>63</v>
      </c>
      <c r="AS867" s="6" t="s">
        <v>63</v>
      </c>
      <c r="AT867" s="28"/>
      <c r="AU867" s="9" t="str">
        <f aca="false">HYPERLINK("https://creighton-primo.hosted.exlibrisgroup.com/primo-explore/search?tab=default_tab&amp;search_scope=EVERYTHING&amp;vid=01CRU&amp;lang=en_US&amp;offset=0&amp;query=any,contains,991002464529702656","Catalog Record")</f>
        <v>Catalog Record</v>
      </c>
      <c r="AV867" s="9" t="str">
        <f aca="false">HYPERLINK("http://www.worldcat.org/oclc/357067","WorldCat Record")</f>
        <v>WorldCat Record</v>
      </c>
      <c r="AW867" s="6" t="s">
        <v>4653</v>
      </c>
      <c r="AX867" s="6" t="s">
        <v>4654</v>
      </c>
      <c r="AY867" s="6" t="s">
        <v>4655</v>
      </c>
      <c r="AZ867" s="6" t="s">
        <v>4655</v>
      </c>
      <c r="BA867" s="6" t="s">
        <v>4656</v>
      </c>
      <c r="BB867" s="6" t="s">
        <v>4657</v>
      </c>
      <c r="BC867" s="6" t="s">
        <v>4658</v>
      </c>
      <c r="BE867" s="15" t="s">
        <v>2145</v>
      </c>
      <c r="BF867" s="6" t="s">
        <v>4659</v>
      </c>
    </row>
    <row r="868" customFormat="false" ht="220.5" hidden="false" customHeight="false" outlineLevel="0" collapsed="false">
      <c r="A868" s="26" t="s">
        <v>63</v>
      </c>
      <c r="B868" s="27" t="s">
        <v>2129</v>
      </c>
      <c r="C868" s="27" t="s">
        <v>2130</v>
      </c>
      <c r="D868" s="27" t="s">
        <v>4660</v>
      </c>
      <c r="E868" s="27" t="s">
        <v>4661</v>
      </c>
      <c r="F868" s="27" t="s">
        <v>4662</v>
      </c>
      <c r="G868" s="28"/>
      <c r="H868" s="6" t="s">
        <v>63</v>
      </c>
      <c r="I868" s="6" t="s">
        <v>62</v>
      </c>
      <c r="J868" s="6" t="s">
        <v>63</v>
      </c>
      <c r="K868" s="6" t="s">
        <v>63</v>
      </c>
      <c r="L868" s="6" t="s">
        <v>64</v>
      </c>
      <c r="M868" s="27" t="s">
        <v>4663</v>
      </c>
      <c r="N868" s="27" t="s">
        <v>4664</v>
      </c>
      <c r="O868" s="6" t="s">
        <v>2665</v>
      </c>
      <c r="P868" s="27" t="s">
        <v>4665</v>
      </c>
      <c r="Q868" s="6" t="s">
        <v>67</v>
      </c>
      <c r="R868" s="6" t="s">
        <v>68</v>
      </c>
      <c r="S868" s="27" t="s">
        <v>4666</v>
      </c>
      <c r="T868" s="6" t="s">
        <v>4225</v>
      </c>
      <c r="U868" s="7" t="n">
        <v>4</v>
      </c>
      <c r="V868" s="7" t="n">
        <v>4</v>
      </c>
      <c r="W868" s="8" t="s">
        <v>4667</v>
      </c>
      <c r="X868" s="8" t="s">
        <v>4667</v>
      </c>
      <c r="Y868" s="8" t="s">
        <v>4652</v>
      </c>
      <c r="Z868" s="8" t="s">
        <v>4652</v>
      </c>
      <c r="AA868" s="7" t="n">
        <v>658</v>
      </c>
      <c r="AB868" s="7" t="n">
        <v>525</v>
      </c>
      <c r="AC868" s="7" t="n">
        <v>1132</v>
      </c>
      <c r="AD868" s="7" t="n">
        <v>3</v>
      </c>
      <c r="AE868" s="7" t="n">
        <v>6</v>
      </c>
      <c r="AF868" s="7" t="n">
        <v>20</v>
      </c>
      <c r="AG868" s="7" t="n">
        <v>46</v>
      </c>
      <c r="AH868" s="7" t="n">
        <v>7</v>
      </c>
      <c r="AI868" s="7" t="n">
        <v>20</v>
      </c>
      <c r="AJ868" s="7" t="n">
        <v>3</v>
      </c>
      <c r="AK868" s="7" t="n">
        <v>8</v>
      </c>
      <c r="AL868" s="7" t="n">
        <v>17</v>
      </c>
      <c r="AM868" s="7" t="n">
        <v>25</v>
      </c>
      <c r="AN868" s="7" t="n">
        <v>0</v>
      </c>
      <c r="AO868" s="7" t="n">
        <v>3</v>
      </c>
      <c r="AP868" s="7" t="n">
        <v>1</v>
      </c>
      <c r="AQ868" s="7" t="n">
        <v>1</v>
      </c>
      <c r="AR868" s="6" t="s">
        <v>63</v>
      </c>
      <c r="AS868" s="6" t="s">
        <v>57</v>
      </c>
      <c r="AT868" s="9" t="str">
        <f aca="false">HYPERLINK("http://catalog.hathitrust.org/Record/000007245","HathiTrust Record")</f>
        <v>HathiTrust Record</v>
      </c>
      <c r="AU868" s="9" t="str">
        <f aca="false">HYPERLINK("https://creighton-primo.hosted.exlibrisgroup.com/primo-explore/search?tab=default_tab&amp;search_scope=EVERYTHING&amp;vid=01CRU&amp;lang=en_US&amp;offset=0&amp;query=any,contains,991002937499702656","Catalog Record")</f>
        <v>Catalog Record</v>
      </c>
      <c r="AV868" s="9" t="str">
        <f aca="false">HYPERLINK("http://www.worldcat.org/oclc/533845","WorldCat Record")</f>
        <v>WorldCat Record</v>
      </c>
      <c r="AW868" s="6" t="s">
        <v>4668</v>
      </c>
      <c r="AX868" s="6" t="s">
        <v>4669</v>
      </c>
      <c r="AY868" s="6" t="s">
        <v>4670</v>
      </c>
      <c r="AZ868" s="6" t="s">
        <v>4670</v>
      </c>
      <c r="BA868" s="6" t="s">
        <v>4671</v>
      </c>
      <c r="BB868" s="28"/>
      <c r="BC868" s="6" t="s">
        <v>4672</v>
      </c>
      <c r="BE868" s="15" t="s">
        <v>2145</v>
      </c>
      <c r="BF868" s="6" t="s">
        <v>4673</v>
      </c>
    </row>
    <row r="869" customFormat="false" ht="71" hidden="false" customHeight="false" outlineLevel="0" collapsed="false">
      <c r="A869" s="26" t="s">
        <v>63</v>
      </c>
      <c r="B869" s="27" t="s">
        <v>2129</v>
      </c>
      <c r="C869" s="27" t="s">
        <v>2130</v>
      </c>
      <c r="D869" s="27" t="s">
        <v>4674</v>
      </c>
      <c r="E869" s="27" t="s">
        <v>4675</v>
      </c>
      <c r="F869" s="27" t="s">
        <v>4676</v>
      </c>
      <c r="G869" s="28"/>
      <c r="H869" s="6" t="s">
        <v>63</v>
      </c>
      <c r="I869" s="6" t="s">
        <v>62</v>
      </c>
      <c r="J869" s="6" t="s">
        <v>63</v>
      </c>
      <c r="K869" s="6" t="s">
        <v>63</v>
      </c>
      <c r="L869" s="6" t="s">
        <v>64</v>
      </c>
      <c r="M869" s="27" t="s">
        <v>4677</v>
      </c>
      <c r="N869" s="27" t="s">
        <v>4678</v>
      </c>
      <c r="O869" s="6" t="s">
        <v>246</v>
      </c>
      <c r="P869" s="28"/>
      <c r="Q869" s="6" t="s">
        <v>67</v>
      </c>
      <c r="R869" s="6" t="s">
        <v>68</v>
      </c>
      <c r="S869" s="28"/>
      <c r="T869" s="6" t="s">
        <v>4225</v>
      </c>
      <c r="U869" s="7" t="n">
        <v>1</v>
      </c>
      <c r="V869" s="7" t="n">
        <v>1</v>
      </c>
      <c r="W869" s="8" t="s">
        <v>4679</v>
      </c>
      <c r="X869" s="8" t="s">
        <v>4679</v>
      </c>
      <c r="Y869" s="8" t="s">
        <v>4680</v>
      </c>
      <c r="Z869" s="8" t="s">
        <v>4680</v>
      </c>
      <c r="AA869" s="7" t="n">
        <v>215</v>
      </c>
      <c r="AB869" s="7" t="n">
        <v>144</v>
      </c>
      <c r="AC869" s="7" t="n">
        <v>149</v>
      </c>
      <c r="AD869" s="7" t="n">
        <v>3</v>
      </c>
      <c r="AE869" s="7" t="n">
        <v>3</v>
      </c>
      <c r="AF869" s="7" t="n">
        <v>4</v>
      </c>
      <c r="AG869" s="7" t="n">
        <v>4</v>
      </c>
      <c r="AH869" s="7" t="n">
        <v>2</v>
      </c>
      <c r="AI869" s="7" t="n">
        <v>2</v>
      </c>
      <c r="AJ869" s="7" t="n">
        <v>0</v>
      </c>
      <c r="AK869" s="7" t="n">
        <v>0</v>
      </c>
      <c r="AL869" s="7" t="n">
        <v>2</v>
      </c>
      <c r="AM869" s="7" t="n">
        <v>2</v>
      </c>
      <c r="AN869" s="7" t="n">
        <v>1</v>
      </c>
      <c r="AO869" s="7" t="n">
        <v>1</v>
      </c>
      <c r="AP869" s="7" t="n">
        <v>0</v>
      </c>
      <c r="AQ869" s="7" t="n">
        <v>0</v>
      </c>
      <c r="AR869" s="6" t="s">
        <v>63</v>
      </c>
      <c r="AS869" s="6" t="s">
        <v>57</v>
      </c>
      <c r="AT869" s="9" t="str">
        <f aca="false">HYPERLINK("http://catalog.hathitrust.org/Record/010318589","HathiTrust Record")</f>
        <v>HathiTrust Record</v>
      </c>
      <c r="AU869" s="9" t="str">
        <f aca="false">HYPERLINK("https://creighton-primo.hosted.exlibrisgroup.com/primo-explore/search?tab=default_tab&amp;search_scope=EVERYTHING&amp;vid=01CRU&amp;lang=en_US&amp;offset=0&amp;query=any,contains,991004453029702656","Catalog Record")</f>
        <v>Catalog Record</v>
      </c>
      <c r="AV869" s="9" t="str">
        <f aca="false">HYPERLINK("http://www.worldcat.org/oclc/3516588","WorldCat Record")</f>
        <v>WorldCat Record</v>
      </c>
      <c r="AW869" s="6" t="s">
        <v>4681</v>
      </c>
      <c r="AX869" s="6" t="s">
        <v>4682</v>
      </c>
      <c r="AY869" s="6" t="s">
        <v>4683</v>
      </c>
      <c r="AZ869" s="6" t="s">
        <v>4683</v>
      </c>
      <c r="BA869" s="6" t="s">
        <v>4684</v>
      </c>
      <c r="BB869" s="6" t="s">
        <v>4685</v>
      </c>
      <c r="BC869" s="6" t="s">
        <v>4686</v>
      </c>
      <c r="BE869" s="15" t="s">
        <v>2145</v>
      </c>
      <c r="BF869" s="6" t="s">
        <v>4687</v>
      </c>
    </row>
    <row r="870" customFormat="false" ht="117" hidden="false" customHeight="false" outlineLevel="0" collapsed="false">
      <c r="A870" s="26" t="s">
        <v>63</v>
      </c>
      <c r="B870" s="27" t="s">
        <v>2129</v>
      </c>
      <c r="C870" s="27" t="s">
        <v>2130</v>
      </c>
      <c r="D870" s="27" t="s">
        <v>4688</v>
      </c>
      <c r="E870" s="27" t="s">
        <v>4689</v>
      </c>
      <c r="F870" s="27" t="s">
        <v>4690</v>
      </c>
      <c r="G870" s="28"/>
      <c r="H870" s="6" t="s">
        <v>63</v>
      </c>
      <c r="I870" s="6" t="s">
        <v>62</v>
      </c>
      <c r="J870" s="6" t="s">
        <v>63</v>
      </c>
      <c r="K870" s="6" t="s">
        <v>63</v>
      </c>
      <c r="L870" s="6" t="s">
        <v>64</v>
      </c>
      <c r="M870" s="27" t="s">
        <v>4691</v>
      </c>
      <c r="N870" s="27" t="s">
        <v>4692</v>
      </c>
      <c r="O870" s="6" t="s">
        <v>2811</v>
      </c>
      <c r="P870" s="27" t="s">
        <v>4343</v>
      </c>
      <c r="Q870" s="6" t="s">
        <v>67</v>
      </c>
      <c r="R870" s="6" t="s">
        <v>68</v>
      </c>
      <c r="S870" s="27" t="s">
        <v>4693</v>
      </c>
      <c r="T870" s="6" t="s">
        <v>4225</v>
      </c>
      <c r="U870" s="7" t="n">
        <v>2</v>
      </c>
      <c r="V870" s="7" t="n">
        <v>2</v>
      </c>
      <c r="W870" s="8" t="s">
        <v>4694</v>
      </c>
      <c r="X870" s="8" t="s">
        <v>4694</v>
      </c>
      <c r="Y870" s="8" t="s">
        <v>4652</v>
      </c>
      <c r="Z870" s="8" t="s">
        <v>4652</v>
      </c>
      <c r="AA870" s="7" t="n">
        <v>298</v>
      </c>
      <c r="AB870" s="7" t="n">
        <v>278</v>
      </c>
      <c r="AC870" s="7" t="n">
        <v>684</v>
      </c>
      <c r="AD870" s="7" t="n">
        <v>5</v>
      </c>
      <c r="AE870" s="7" t="n">
        <v>8</v>
      </c>
      <c r="AF870" s="7" t="n">
        <v>7</v>
      </c>
      <c r="AG870" s="7" t="n">
        <v>23</v>
      </c>
      <c r="AH870" s="7" t="n">
        <v>4</v>
      </c>
      <c r="AI870" s="7" t="n">
        <v>9</v>
      </c>
      <c r="AJ870" s="7" t="n">
        <v>0</v>
      </c>
      <c r="AK870" s="7" t="n">
        <v>4</v>
      </c>
      <c r="AL870" s="7" t="n">
        <v>1</v>
      </c>
      <c r="AM870" s="7" t="n">
        <v>7</v>
      </c>
      <c r="AN870" s="7" t="n">
        <v>3</v>
      </c>
      <c r="AO870" s="7" t="n">
        <v>5</v>
      </c>
      <c r="AP870" s="7" t="n">
        <v>0</v>
      </c>
      <c r="AQ870" s="7" t="n">
        <v>1</v>
      </c>
      <c r="AR870" s="6" t="s">
        <v>63</v>
      </c>
      <c r="AS870" s="6" t="s">
        <v>63</v>
      </c>
      <c r="AT870" s="28"/>
      <c r="AU870" s="9" t="str">
        <f aca="false">HYPERLINK("https://creighton-primo.hosted.exlibrisgroup.com/primo-explore/search?tab=default_tab&amp;search_scope=EVERYTHING&amp;vid=01CRU&amp;lang=en_US&amp;offset=0&amp;query=any,contains,991001225039702656","Catalog Record")</f>
        <v>Catalog Record</v>
      </c>
      <c r="AV870" s="9" t="str">
        <f aca="false">HYPERLINK("http://www.worldcat.org/oclc/199517","WorldCat Record")</f>
        <v>WorldCat Record</v>
      </c>
      <c r="AW870" s="6" t="s">
        <v>4695</v>
      </c>
      <c r="AX870" s="6" t="s">
        <v>4696</v>
      </c>
      <c r="AY870" s="6" t="s">
        <v>4697</v>
      </c>
      <c r="AZ870" s="6" t="s">
        <v>4697</v>
      </c>
      <c r="BA870" s="6" t="s">
        <v>4698</v>
      </c>
      <c r="BB870" s="6" t="s">
        <v>4699</v>
      </c>
      <c r="BC870" s="6" t="s">
        <v>4700</v>
      </c>
      <c r="BE870" s="15" t="s">
        <v>2145</v>
      </c>
      <c r="BF870" s="6" t="s">
        <v>4701</v>
      </c>
    </row>
    <row r="871" customFormat="false" ht="59.5" hidden="false" customHeight="false" outlineLevel="0" collapsed="false">
      <c r="A871" s="26" t="s">
        <v>63</v>
      </c>
      <c r="B871" s="27" t="s">
        <v>2129</v>
      </c>
      <c r="C871" s="27" t="s">
        <v>2130</v>
      </c>
      <c r="D871" s="27" t="s">
        <v>4702</v>
      </c>
      <c r="E871" s="27" t="s">
        <v>4703</v>
      </c>
      <c r="F871" s="27" t="s">
        <v>4704</v>
      </c>
      <c r="G871" s="28"/>
      <c r="H871" s="6" t="s">
        <v>63</v>
      </c>
      <c r="I871" s="6" t="s">
        <v>62</v>
      </c>
      <c r="J871" s="6" t="s">
        <v>63</v>
      </c>
      <c r="K871" s="6" t="s">
        <v>63</v>
      </c>
      <c r="L871" s="6" t="s">
        <v>64</v>
      </c>
      <c r="M871" s="27" t="s">
        <v>4705</v>
      </c>
      <c r="N871" s="27" t="s">
        <v>4706</v>
      </c>
      <c r="O871" s="6" t="s">
        <v>2369</v>
      </c>
      <c r="P871" s="27" t="s">
        <v>4343</v>
      </c>
      <c r="Q871" s="6" t="s">
        <v>67</v>
      </c>
      <c r="R871" s="6" t="s">
        <v>4707</v>
      </c>
      <c r="S871" s="28"/>
      <c r="T871" s="6" t="s">
        <v>4225</v>
      </c>
      <c r="U871" s="7" t="n">
        <v>5</v>
      </c>
      <c r="V871" s="7" t="n">
        <v>5</v>
      </c>
      <c r="W871" s="8" t="s">
        <v>2639</v>
      </c>
      <c r="X871" s="8" t="s">
        <v>2639</v>
      </c>
      <c r="Y871" s="8" t="s">
        <v>4652</v>
      </c>
      <c r="Z871" s="8" t="s">
        <v>4652</v>
      </c>
      <c r="AA871" s="7" t="n">
        <v>119</v>
      </c>
      <c r="AB871" s="7" t="n">
        <v>99</v>
      </c>
      <c r="AC871" s="7" t="n">
        <v>371</v>
      </c>
      <c r="AD871" s="7" t="n">
        <v>3</v>
      </c>
      <c r="AE871" s="7" t="n">
        <v>4</v>
      </c>
      <c r="AF871" s="7" t="n">
        <v>10</v>
      </c>
      <c r="AG871" s="7" t="n">
        <v>30</v>
      </c>
      <c r="AH871" s="7" t="n">
        <v>4</v>
      </c>
      <c r="AI871" s="7" t="n">
        <v>11</v>
      </c>
      <c r="AJ871" s="7" t="n">
        <v>1</v>
      </c>
      <c r="AK871" s="7" t="n">
        <v>8</v>
      </c>
      <c r="AL871" s="7" t="n">
        <v>8</v>
      </c>
      <c r="AM871" s="7" t="n">
        <v>23</v>
      </c>
      <c r="AN871" s="7" t="n">
        <v>0</v>
      </c>
      <c r="AO871" s="7" t="n">
        <v>0</v>
      </c>
      <c r="AP871" s="7" t="n">
        <v>0</v>
      </c>
      <c r="AQ871" s="7" t="n">
        <v>0</v>
      </c>
      <c r="AR871" s="6" t="s">
        <v>63</v>
      </c>
      <c r="AS871" s="6" t="s">
        <v>63</v>
      </c>
      <c r="AT871" s="28"/>
      <c r="AU871" s="9" t="str">
        <f aca="false">HYPERLINK("https://creighton-primo.hosted.exlibrisgroup.com/primo-explore/search?tab=default_tab&amp;search_scope=EVERYTHING&amp;vid=01CRU&amp;lang=en_US&amp;offset=0&amp;query=any,contains,991003874339702656","Catalog Record")</f>
        <v>Catalog Record</v>
      </c>
      <c r="AV871" s="9" t="str">
        <f aca="false">HYPERLINK("http://www.worldcat.org/oclc/1702340","WorldCat Record")</f>
        <v>WorldCat Record</v>
      </c>
      <c r="AW871" s="6" t="s">
        <v>4708</v>
      </c>
      <c r="AX871" s="6" t="s">
        <v>4709</v>
      </c>
      <c r="AY871" s="6" t="s">
        <v>4710</v>
      </c>
      <c r="AZ871" s="6" t="s">
        <v>4710</v>
      </c>
      <c r="BA871" s="6" t="s">
        <v>4711</v>
      </c>
      <c r="BB871" s="28"/>
      <c r="BC871" s="6" t="s">
        <v>4712</v>
      </c>
      <c r="BE871" s="15" t="s">
        <v>2145</v>
      </c>
      <c r="BF871" s="6" t="s">
        <v>4713</v>
      </c>
    </row>
    <row r="872" customFormat="false" ht="128.5" hidden="false" customHeight="false" outlineLevel="0" collapsed="false">
      <c r="A872" s="26" t="s">
        <v>63</v>
      </c>
      <c r="B872" s="27" t="s">
        <v>2129</v>
      </c>
      <c r="C872" s="27" t="s">
        <v>2130</v>
      </c>
      <c r="D872" s="27" t="s">
        <v>4714</v>
      </c>
      <c r="E872" s="27" t="s">
        <v>4715</v>
      </c>
      <c r="F872" s="27" t="s">
        <v>4716</v>
      </c>
      <c r="G872" s="28"/>
      <c r="H872" s="6" t="s">
        <v>63</v>
      </c>
      <c r="I872" s="6" t="s">
        <v>62</v>
      </c>
      <c r="J872" s="6" t="s">
        <v>63</v>
      </c>
      <c r="K872" s="6" t="s">
        <v>63</v>
      </c>
      <c r="L872" s="6" t="s">
        <v>64</v>
      </c>
      <c r="M872" s="27" t="s">
        <v>4717</v>
      </c>
      <c r="N872" s="27" t="s">
        <v>4718</v>
      </c>
      <c r="O872" s="6" t="s">
        <v>3697</v>
      </c>
      <c r="P872" s="28"/>
      <c r="Q872" s="6" t="s">
        <v>67</v>
      </c>
      <c r="R872" s="6" t="s">
        <v>68</v>
      </c>
      <c r="S872" s="27" t="s">
        <v>4719</v>
      </c>
      <c r="T872" s="6" t="s">
        <v>4225</v>
      </c>
      <c r="U872" s="7" t="n">
        <v>2</v>
      </c>
      <c r="V872" s="7" t="n">
        <v>2</v>
      </c>
      <c r="W872" s="8" t="s">
        <v>4720</v>
      </c>
      <c r="X872" s="8" t="s">
        <v>4720</v>
      </c>
      <c r="Y872" s="8" t="s">
        <v>4721</v>
      </c>
      <c r="Z872" s="8" t="s">
        <v>4721</v>
      </c>
      <c r="AA872" s="7" t="n">
        <v>128</v>
      </c>
      <c r="AB872" s="7" t="n">
        <v>90</v>
      </c>
      <c r="AC872" s="7" t="n">
        <v>91</v>
      </c>
      <c r="AD872" s="7" t="n">
        <v>1</v>
      </c>
      <c r="AE872" s="7" t="n">
        <v>1</v>
      </c>
      <c r="AF872" s="7" t="n">
        <v>12</v>
      </c>
      <c r="AG872" s="7" t="n">
        <v>12</v>
      </c>
      <c r="AH872" s="7" t="n">
        <v>3</v>
      </c>
      <c r="AI872" s="7" t="n">
        <v>3</v>
      </c>
      <c r="AJ872" s="7" t="n">
        <v>2</v>
      </c>
      <c r="AK872" s="7" t="n">
        <v>2</v>
      </c>
      <c r="AL872" s="7" t="n">
        <v>12</v>
      </c>
      <c r="AM872" s="7" t="n">
        <v>12</v>
      </c>
      <c r="AN872" s="7" t="n">
        <v>0</v>
      </c>
      <c r="AO872" s="7" t="n">
        <v>0</v>
      </c>
      <c r="AP872" s="7" t="n">
        <v>0</v>
      </c>
      <c r="AQ872" s="7" t="n">
        <v>0</v>
      </c>
      <c r="AR872" s="6" t="s">
        <v>63</v>
      </c>
      <c r="AS872" s="6" t="s">
        <v>63</v>
      </c>
      <c r="AT872" s="28"/>
      <c r="AU872" s="9" t="str">
        <f aca="false">HYPERLINK("https://creighton-primo.hosted.exlibrisgroup.com/primo-explore/search?tab=default_tab&amp;search_scope=EVERYTHING&amp;vid=01CRU&amp;lang=en_US&amp;offset=0&amp;query=any,contains,991001521799702656","Catalog Record")</f>
        <v>Catalog Record</v>
      </c>
      <c r="AV872" s="9" t="str">
        <f aca="false">HYPERLINK("http://www.worldcat.org/oclc/19981266","WorldCat Record")</f>
        <v>WorldCat Record</v>
      </c>
      <c r="AW872" s="6" t="s">
        <v>4722</v>
      </c>
      <c r="AX872" s="6" t="s">
        <v>4723</v>
      </c>
      <c r="AY872" s="6" t="s">
        <v>4724</v>
      </c>
      <c r="AZ872" s="6" t="s">
        <v>4724</v>
      </c>
      <c r="BA872" s="6" t="s">
        <v>4725</v>
      </c>
      <c r="BB872" s="6" t="s">
        <v>4726</v>
      </c>
      <c r="BC872" s="6" t="s">
        <v>4727</v>
      </c>
      <c r="BE872" s="15" t="s">
        <v>2145</v>
      </c>
      <c r="BF872" s="6" t="s">
        <v>4728</v>
      </c>
    </row>
    <row r="873" customFormat="false" ht="71" hidden="false" customHeight="false" outlineLevel="0" collapsed="false">
      <c r="A873" s="26" t="s">
        <v>63</v>
      </c>
      <c r="B873" s="27" t="s">
        <v>2129</v>
      </c>
      <c r="C873" s="27" t="s">
        <v>2130</v>
      </c>
      <c r="D873" s="27" t="s">
        <v>4729</v>
      </c>
      <c r="E873" s="27" t="s">
        <v>4730</v>
      </c>
      <c r="F873" s="27" t="s">
        <v>4731</v>
      </c>
      <c r="G873" s="28"/>
      <c r="H873" s="6" t="s">
        <v>63</v>
      </c>
      <c r="I873" s="6" t="s">
        <v>62</v>
      </c>
      <c r="J873" s="6" t="s">
        <v>63</v>
      </c>
      <c r="K873" s="6" t="s">
        <v>63</v>
      </c>
      <c r="L873" s="6" t="s">
        <v>64</v>
      </c>
      <c r="M873" s="27" t="s">
        <v>4732</v>
      </c>
      <c r="N873" s="27" t="s">
        <v>4733</v>
      </c>
      <c r="O873" s="6" t="s">
        <v>180</v>
      </c>
      <c r="P873" s="28"/>
      <c r="Q873" s="6" t="s">
        <v>67</v>
      </c>
      <c r="R873" s="6" t="s">
        <v>1108</v>
      </c>
      <c r="S873" s="28"/>
      <c r="T873" s="6" t="s">
        <v>4225</v>
      </c>
      <c r="U873" s="7" t="n">
        <v>1</v>
      </c>
      <c r="V873" s="7" t="n">
        <v>1</v>
      </c>
      <c r="W873" s="8" t="s">
        <v>3649</v>
      </c>
      <c r="X873" s="8" t="s">
        <v>3649</v>
      </c>
      <c r="Y873" s="8" t="s">
        <v>3649</v>
      </c>
      <c r="Z873" s="8" t="s">
        <v>3649</v>
      </c>
      <c r="AA873" s="7" t="n">
        <v>235</v>
      </c>
      <c r="AB873" s="7" t="n">
        <v>230</v>
      </c>
      <c r="AC873" s="7" t="n">
        <v>300</v>
      </c>
      <c r="AD873" s="7" t="n">
        <v>2</v>
      </c>
      <c r="AE873" s="7" t="n">
        <v>2</v>
      </c>
      <c r="AF873" s="7" t="n">
        <v>4</v>
      </c>
      <c r="AG873" s="7" t="n">
        <v>5</v>
      </c>
      <c r="AH873" s="7" t="n">
        <v>1</v>
      </c>
      <c r="AI873" s="7" t="n">
        <v>1</v>
      </c>
      <c r="AJ873" s="7" t="n">
        <v>1</v>
      </c>
      <c r="AK873" s="7" t="n">
        <v>2</v>
      </c>
      <c r="AL873" s="7" t="n">
        <v>1</v>
      </c>
      <c r="AM873" s="7" t="n">
        <v>1</v>
      </c>
      <c r="AN873" s="7" t="n">
        <v>1</v>
      </c>
      <c r="AO873" s="7" t="n">
        <v>1</v>
      </c>
      <c r="AP873" s="7" t="n">
        <v>0</v>
      </c>
      <c r="AQ873" s="7" t="n">
        <v>0</v>
      </c>
      <c r="AR873" s="6" t="s">
        <v>57</v>
      </c>
      <c r="AS873" s="6" t="s">
        <v>63</v>
      </c>
      <c r="AT873" s="9" t="str">
        <f aca="false">HYPERLINK("http://catalog.hathitrust.org/Record/101869925","HathiTrust Record")</f>
        <v>HathiTrust Record</v>
      </c>
      <c r="AU873" s="9" t="str">
        <f aca="false">HYPERLINK("https://creighton-primo.hosted.exlibrisgroup.com/primo-explore/search?tab=default_tab&amp;search_scope=EVERYTHING&amp;vid=01CRU&amp;lang=en_US&amp;offset=0&amp;query=any,contains,991000016939702656","Catalog Record")</f>
        <v>Catalog Record</v>
      </c>
      <c r="AV873" s="9" t="str">
        <f aca="false">HYPERLINK("http://www.worldcat.org/oclc/1683388","WorldCat Record")</f>
        <v>WorldCat Record</v>
      </c>
      <c r="AW873" s="6" t="s">
        <v>4734</v>
      </c>
      <c r="AX873" s="6" t="s">
        <v>4735</v>
      </c>
      <c r="AY873" s="6" t="s">
        <v>4736</v>
      </c>
      <c r="AZ873" s="6" t="s">
        <v>4736</v>
      </c>
      <c r="BA873" s="6" t="s">
        <v>4737</v>
      </c>
      <c r="BB873" s="28"/>
      <c r="BC873" s="6" t="s">
        <v>4738</v>
      </c>
      <c r="BE873" s="15" t="s">
        <v>2145</v>
      </c>
      <c r="BF873" s="6" t="s">
        <v>4739</v>
      </c>
    </row>
    <row r="874" customFormat="false" ht="71" hidden="false" customHeight="false" outlineLevel="0" collapsed="false">
      <c r="A874" s="26" t="s">
        <v>63</v>
      </c>
      <c r="B874" s="27" t="s">
        <v>2129</v>
      </c>
      <c r="C874" s="27" t="s">
        <v>2130</v>
      </c>
      <c r="D874" s="27" t="s">
        <v>4740</v>
      </c>
      <c r="E874" s="27" t="s">
        <v>4741</v>
      </c>
      <c r="F874" s="27" t="s">
        <v>4742</v>
      </c>
      <c r="G874" s="28"/>
      <c r="H874" s="6" t="s">
        <v>63</v>
      </c>
      <c r="I874" s="6" t="s">
        <v>62</v>
      </c>
      <c r="J874" s="6" t="s">
        <v>63</v>
      </c>
      <c r="K874" s="6" t="s">
        <v>63</v>
      </c>
      <c r="L874" s="6" t="s">
        <v>64</v>
      </c>
      <c r="M874" s="27" t="s">
        <v>4743</v>
      </c>
      <c r="N874" s="27" t="s">
        <v>4744</v>
      </c>
      <c r="O874" s="6" t="s">
        <v>2262</v>
      </c>
      <c r="P874" s="28"/>
      <c r="Q874" s="6" t="s">
        <v>67</v>
      </c>
      <c r="R874" s="6" t="s">
        <v>1059</v>
      </c>
      <c r="S874" s="28"/>
      <c r="T874" s="6" t="s">
        <v>4225</v>
      </c>
      <c r="U874" s="7" t="n">
        <v>4</v>
      </c>
      <c r="V874" s="7" t="n">
        <v>4</v>
      </c>
      <c r="W874" s="8" t="s">
        <v>4745</v>
      </c>
      <c r="X874" s="8" t="s">
        <v>4745</v>
      </c>
      <c r="Y874" s="8" t="s">
        <v>4746</v>
      </c>
      <c r="Z874" s="8" t="s">
        <v>4746</v>
      </c>
      <c r="AA874" s="7" t="n">
        <v>354</v>
      </c>
      <c r="AB874" s="7" t="n">
        <v>299</v>
      </c>
      <c r="AC874" s="7" t="n">
        <v>304</v>
      </c>
      <c r="AD874" s="7" t="n">
        <v>3</v>
      </c>
      <c r="AE874" s="7" t="n">
        <v>3</v>
      </c>
      <c r="AF874" s="7" t="n">
        <v>22</v>
      </c>
      <c r="AG874" s="7" t="n">
        <v>23</v>
      </c>
      <c r="AH874" s="7" t="n">
        <v>4</v>
      </c>
      <c r="AI874" s="7" t="n">
        <v>5</v>
      </c>
      <c r="AJ874" s="7" t="n">
        <v>8</v>
      </c>
      <c r="AK874" s="7" t="n">
        <v>8</v>
      </c>
      <c r="AL874" s="7" t="n">
        <v>14</v>
      </c>
      <c r="AM874" s="7" t="n">
        <v>15</v>
      </c>
      <c r="AN874" s="7" t="n">
        <v>2</v>
      </c>
      <c r="AO874" s="7" t="n">
        <v>2</v>
      </c>
      <c r="AP874" s="7" t="n">
        <v>0</v>
      </c>
      <c r="AQ874" s="7" t="n">
        <v>0</v>
      </c>
      <c r="AR874" s="6" t="s">
        <v>63</v>
      </c>
      <c r="AS874" s="6" t="s">
        <v>63</v>
      </c>
      <c r="AT874" s="28"/>
      <c r="AU874" s="9" t="str">
        <f aca="false">HYPERLINK("https://creighton-primo.hosted.exlibrisgroup.com/primo-explore/search?tab=default_tab&amp;search_scope=EVERYTHING&amp;vid=01CRU&amp;lang=en_US&amp;offset=0&amp;query=any,contains,991000885659702656","Catalog Record")</f>
        <v>Catalog Record</v>
      </c>
      <c r="AV874" s="9" t="str">
        <f aca="false">HYPERLINK("http://www.worldcat.org/oclc/13860922","WorldCat Record")</f>
        <v>WorldCat Record</v>
      </c>
      <c r="AW874" s="6" t="s">
        <v>4747</v>
      </c>
      <c r="AX874" s="6" t="s">
        <v>4748</v>
      </c>
      <c r="AY874" s="6" t="s">
        <v>4749</v>
      </c>
      <c r="AZ874" s="6" t="s">
        <v>4749</v>
      </c>
      <c r="BA874" s="6" t="s">
        <v>4750</v>
      </c>
      <c r="BB874" s="6" t="s">
        <v>4751</v>
      </c>
      <c r="BC874" s="6" t="s">
        <v>4752</v>
      </c>
      <c r="BE874" s="15" t="s">
        <v>2145</v>
      </c>
      <c r="BF874" s="6" t="s">
        <v>4753</v>
      </c>
    </row>
    <row r="875" customFormat="false" ht="220.5" hidden="false" customHeight="false" outlineLevel="0" collapsed="false">
      <c r="A875" s="26" t="s">
        <v>63</v>
      </c>
      <c r="B875" s="27" t="s">
        <v>2129</v>
      </c>
      <c r="C875" s="27" t="s">
        <v>2130</v>
      </c>
      <c r="D875" s="27" t="s">
        <v>4754</v>
      </c>
      <c r="E875" s="27" t="s">
        <v>4755</v>
      </c>
      <c r="F875" s="27" t="s">
        <v>4756</v>
      </c>
      <c r="G875" s="28"/>
      <c r="H875" s="6" t="s">
        <v>63</v>
      </c>
      <c r="I875" s="6" t="s">
        <v>62</v>
      </c>
      <c r="J875" s="6" t="s">
        <v>63</v>
      </c>
      <c r="K875" s="6" t="s">
        <v>63</v>
      </c>
      <c r="L875" s="6" t="s">
        <v>64</v>
      </c>
      <c r="M875" s="27" t="s">
        <v>4757</v>
      </c>
      <c r="N875" s="27" t="s">
        <v>1223</v>
      </c>
      <c r="O875" s="6" t="s">
        <v>2262</v>
      </c>
      <c r="P875" s="28"/>
      <c r="Q875" s="6" t="s">
        <v>67</v>
      </c>
      <c r="R875" s="6" t="s">
        <v>1224</v>
      </c>
      <c r="S875" s="28"/>
      <c r="T875" s="6" t="s">
        <v>4225</v>
      </c>
      <c r="U875" s="7" t="n">
        <v>3</v>
      </c>
      <c r="V875" s="7" t="n">
        <v>3</v>
      </c>
      <c r="W875" s="8" t="s">
        <v>4758</v>
      </c>
      <c r="X875" s="8" t="s">
        <v>4758</v>
      </c>
      <c r="Y875" s="8" t="s">
        <v>4487</v>
      </c>
      <c r="Z875" s="8" t="s">
        <v>4487</v>
      </c>
      <c r="AA875" s="7" t="n">
        <v>301</v>
      </c>
      <c r="AB875" s="7" t="n">
        <v>264</v>
      </c>
      <c r="AC875" s="7" t="n">
        <v>267</v>
      </c>
      <c r="AD875" s="7" t="n">
        <v>4</v>
      </c>
      <c r="AE875" s="7" t="n">
        <v>4</v>
      </c>
      <c r="AF875" s="7" t="n">
        <v>23</v>
      </c>
      <c r="AG875" s="7" t="n">
        <v>23</v>
      </c>
      <c r="AH875" s="7" t="n">
        <v>8</v>
      </c>
      <c r="AI875" s="7" t="n">
        <v>8</v>
      </c>
      <c r="AJ875" s="7" t="n">
        <v>4</v>
      </c>
      <c r="AK875" s="7" t="n">
        <v>4</v>
      </c>
      <c r="AL875" s="7" t="n">
        <v>15</v>
      </c>
      <c r="AM875" s="7" t="n">
        <v>15</v>
      </c>
      <c r="AN875" s="7" t="n">
        <v>3</v>
      </c>
      <c r="AO875" s="7" t="n">
        <v>3</v>
      </c>
      <c r="AP875" s="7" t="n">
        <v>0</v>
      </c>
      <c r="AQ875" s="7" t="n">
        <v>0</v>
      </c>
      <c r="AR875" s="6" t="s">
        <v>63</v>
      </c>
      <c r="AS875" s="6" t="s">
        <v>57</v>
      </c>
      <c r="AT875" s="9" t="str">
        <f aca="false">HYPERLINK("http://catalog.hathitrust.org/Record/000628662","HathiTrust Record")</f>
        <v>HathiTrust Record</v>
      </c>
      <c r="AU875" s="9" t="str">
        <f aca="false">HYPERLINK("https://creighton-primo.hosted.exlibrisgroup.com/primo-explore/search?tab=default_tab&amp;search_scope=EVERYTHING&amp;vid=01CRU&amp;lang=en_US&amp;offset=0&amp;query=any,contains,991000879139702656","Catalog Record")</f>
        <v>Catalog Record</v>
      </c>
      <c r="AV875" s="9" t="str">
        <f aca="false">HYPERLINK("http://www.worldcat.org/oclc/13822539","WorldCat Record")</f>
        <v>WorldCat Record</v>
      </c>
      <c r="AW875" s="6" t="s">
        <v>4759</v>
      </c>
      <c r="AX875" s="6" t="s">
        <v>4760</v>
      </c>
      <c r="AY875" s="6" t="s">
        <v>4761</v>
      </c>
      <c r="AZ875" s="6" t="s">
        <v>4761</v>
      </c>
      <c r="BA875" s="6" t="s">
        <v>4762</v>
      </c>
      <c r="BB875" s="6" t="s">
        <v>4763</v>
      </c>
      <c r="BC875" s="6" t="s">
        <v>4764</v>
      </c>
      <c r="BE875" s="15" t="s">
        <v>2145</v>
      </c>
      <c r="BF875" s="6" t="s">
        <v>4765</v>
      </c>
    </row>
    <row r="876" customFormat="false" ht="128.5" hidden="false" customHeight="false" outlineLevel="0" collapsed="false">
      <c r="A876" s="26" t="s">
        <v>63</v>
      </c>
      <c r="B876" s="27" t="s">
        <v>2129</v>
      </c>
      <c r="C876" s="27" t="s">
        <v>2130</v>
      </c>
      <c r="D876" s="27" t="s">
        <v>4766</v>
      </c>
      <c r="E876" s="27" t="s">
        <v>4767</v>
      </c>
      <c r="F876" s="27" t="s">
        <v>4768</v>
      </c>
      <c r="G876" s="28"/>
      <c r="H876" s="6" t="s">
        <v>63</v>
      </c>
      <c r="I876" s="6" t="s">
        <v>62</v>
      </c>
      <c r="J876" s="6" t="s">
        <v>63</v>
      </c>
      <c r="K876" s="6" t="s">
        <v>63</v>
      </c>
      <c r="L876" s="6" t="s">
        <v>64</v>
      </c>
      <c r="M876" s="27" t="s">
        <v>4769</v>
      </c>
      <c r="N876" s="27" t="s">
        <v>4770</v>
      </c>
      <c r="O876" s="6" t="s">
        <v>221</v>
      </c>
      <c r="P876" s="28"/>
      <c r="Q876" s="6" t="s">
        <v>67</v>
      </c>
      <c r="R876" s="6" t="s">
        <v>384</v>
      </c>
      <c r="S876" s="28"/>
      <c r="T876" s="6" t="s">
        <v>4225</v>
      </c>
      <c r="U876" s="7" t="n">
        <v>1</v>
      </c>
      <c r="V876" s="7" t="n">
        <v>1</v>
      </c>
      <c r="W876" s="8" t="s">
        <v>4771</v>
      </c>
      <c r="X876" s="8" t="s">
        <v>4771</v>
      </c>
      <c r="Y876" s="8" t="s">
        <v>4771</v>
      </c>
      <c r="Z876" s="8" t="s">
        <v>4771</v>
      </c>
      <c r="AA876" s="7" t="n">
        <v>489</v>
      </c>
      <c r="AB876" s="7" t="n">
        <v>343</v>
      </c>
      <c r="AC876" s="7" t="n">
        <v>348</v>
      </c>
      <c r="AD876" s="7" t="n">
        <v>2</v>
      </c>
      <c r="AE876" s="7" t="n">
        <v>2</v>
      </c>
      <c r="AF876" s="7" t="n">
        <v>21</v>
      </c>
      <c r="AG876" s="7" t="n">
        <v>21</v>
      </c>
      <c r="AH876" s="7" t="n">
        <v>6</v>
      </c>
      <c r="AI876" s="7" t="n">
        <v>6</v>
      </c>
      <c r="AJ876" s="7" t="n">
        <v>6</v>
      </c>
      <c r="AK876" s="7" t="n">
        <v>6</v>
      </c>
      <c r="AL876" s="7" t="n">
        <v>15</v>
      </c>
      <c r="AM876" s="7" t="n">
        <v>15</v>
      </c>
      <c r="AN876" s="7" t="n">
        <v>1</v>
      </c>
      <c r="AO876" s="7" t="n">
        <v>1</v>
      </c>
      <c r="AP876" s="7" t="n">
        <v>0</v>
      </c>
      <c r="AQ876" s="7" t="n">
        <v>0</v>
      </c>
      <c r="AR876" s="6" t="s">
        <v>63</v>
      </c>
      <c r="AS876" s="6" t="s">
        <v>57</v>
      </c>
      <c r="AT876" s="9" t="str">
        <f aca="false">HYPERLINK("http://catalog.hathitrust.org/Record/000276623","HathiTrust Record")</f>
        <v>HathiTrust Record</v>
      </c>
      <c r="AU876" s="9" t="str">
        <f aca="false">HYPERLINK("https://creighton-primo.hosted.exlibrisgroup.com/primo-explore/search?tab=default_tab&amp;search_scope=EVERYTHING&amp;vid=01CRU&amp;lang=en_US&amp;offset=0&amp;query=any,contains,991005297309702656","Catalog Record")</f>
        <v>Catalog Record</v>
      </c>
      <c r="AV876" s="9" t="str">
        <f aca="false">HYPERLINK("http://www.worldcat.org/oclc/9325088","WorldCat Record")</f>
        <v>WorldCat Record</v>
      </c>
      <c r="AW876" s="6" t="s">
        <v>4772</v>
      </c>
      <c r="AX876" s="6" t="s">
        <v>4773</v>
      </c>
      <c r="AY876" s="6" t="s">
        <v>4774</v>
      </c>
      <c r="AZ876" s="6" t="s">
        <v>4774</v>
      </c>
      <c r="BA876" s="6" t="s">
        <v>4775</v>
      </c>
      <c r="BB876" s="6" t="s">
        <v>4776</v>
      </c>
      <c r="BC876" s="6" t="s">
        <v>4777</v>
      </c>
      <c r="BE876" s="15" t="s">
        <v>2145</v>
      </c>
      <c r="BF876" s="6" t="s">
        <v>4778</v>
      </c>
    </row>
    <row r="877" customFormat="false" ht="117" hidden="false" customHeight="false" outlineLevel="0" collapsed="false">
      <c r="A877" s="26" t="s">
        <v>63</v>
      </c>
      <c r="B877" s="27" t="s">
        <v>2129</v>
      </c>
      <c r="C877" s="27" t="s">
        <v>2130</v>
      </c>
      <c r="D877" s="27" t="s">
        <v>4779</v>
      </c>
      <c r="E877" s="27" t="s">
        <v>4780</v>
      </c>
      <c r="F877" s="27" t="s">
        <v>4781</v>
      </c>
      <c r="G877" s="28"/>
      <c r="H877" s="6" t="s">
        <v>63</v>
      </c>
      <c r="I877" s="6" t="s">
        <v>62</v>
      </c>
      <c r="J877" s="6" t="s">
        <v>63</v>
      </c>
      <c r="K877" s="6" t="s">
        <v>63</v>
      </c>
      <c r="L877" s="6" t="s">
        <v>64</v>
      </c>
      <c r="M877" s="27" t="s">
        <v>4782</v>
      </c>
      <c r="N877" s="27" t="s">
        <v>4783</v>
      </c>
      <c r="O877" s="6" t="s">
        <v>2797</v>
      </c>
      <c r="P877" s="28"/>
      <c r="Q877" s="6" t="s">
        <v>67</v>
      </c>
      <c r="R877" s="6" t="s">
        <v>123</v>
      </c>
      <c r="S877" s="28"/>
      <c r="T877" s="6" t="s">
        <v>4225</v>
      </c>
      <c r="U877" s="7" t="n">
        <v>4</v>
      </c>
      <c r="V877" s="7" t="n">
        <v>4</v>
      </c>
      <c r="W877" s="8" t="s">
        <v>4694</v>
      </c>
      <c r="X877" s="8" t="s">
        <v>4694</v>
      </c>
      <c r="Y877" s="8" t="s">
        <v>4652</v>
      </c>
      <c r="Z877" s="8" t="s">
        <v>4652</v>
      </c>
      <c r="AA877" s="7" t="n">
        <v>799</v>
      </c>
      <c r="AB877" s="7" t="n">
        <v>709</v>
      </c>
      <c r="AC877" s="7" t="n">
        <v>969</v>
      </c>
      <c r="AD877" s="7" t="n">
        <v>7</v>
      </c>
      <c r="AE877" s="7" t="n">
        <v>7</v>
      </c>
      <c r="AF877" s="7" t="n">
        <v>37</v>
      </c>
      <c r="AG877" s="7" t="n">
        <v>52</v>
      </c>
      <c r="AH877" s="7" t="n">
        <v>15</v>
      </c>
      <c r="AI877" s="7" t="n">
        <v>24</v>
      </c>
      <c r="AJ877" s="7" t="n">
        <v>7</v>
      </c>
      <c r="AK877" s="7" t="n">
        <v>9</v>
      </c>
      <c r="AL877" s="7" t="n">
        <v>20</v>
      </c>
      <c r="AM877" s="7" t="n">
        <v>26</v>
      </c>
      <c r="AN877" s="7" t="n">
        <v>5</v>
      </c>
      <c r="AO877" s="7" t="n">
        <v>5</v>
      </c>
      <c r="AP877" s="7" t="n">
        <v>0</v>
      </c>
      <c r="AQ877" s="7" t="n">
        <v>0</v>
      </c>
      <c r="AR877" s="6" t="s">
        <v>63</v>
      </c>
      <c r="AS877" s="6" t="s">
        <v>57</v>
      </c>
      <c r="AT877" s="9" t="str">
        <f aca="false">HYPERLINK("http://catalog.hathitrust.org/Record/001387851","HathiTrust Record")</f>
        <v>HathiTrust Record</v>
      </c>
      <c r="AU877" s="9" t="str">
        <f aca="false">HYPERLINK("https://creighton-primo.hosted.exlibrisgroup.com/primo-explore/search?tab=default_tab&amp;search_scope=EVERYTHING&amp;vid=01CRU&amp;lang=en_US&amp;offset=0&amp;query=any,contains,991002354579702656","Catalog Record")</f>
        <v>Catalog Record</v>
      </c>
      <c r="AV877" s="9" t="str">
        <f aca="false">HYPERLINK("http://www.worldcat.org/oclc/325504","WorldCat Record")</f>
        <v>WorldCat Record</v>
      </c>
      <c r="AW877" s="6" t="s">
        <v>4784</v>
      </c>
      <c r="AX877" s="6" t="s">
        <v>4785</v>
      </c>
      <c r="AY877" s="6" t="s">
        <v>4786</v>
      </c>
      <c r="AZ877" s="6" t="s">
        <v>4786</v>
      </c>
      <c r="BA877" s="6" t="s">
        <v>4787</v>
      </c>
      <c r="BB877" s="28"/>
      <c r="BC877" s="6" t="s">
        <v>4788</v>
      </c>
      <c r="BE877" s="15" t="s">
        <v>2145</v>
      </c>
      <c r="BF877" s="6" t="s">
        <v>4789</v>
      </c>
    </row>
    <row r="878" customFormat="false" ht="82.5" hidden="false" customHeight="false" outlineLevel="0" collapsed="false">
      <c r="A878" s="26" t="s">
        <v>63</v>
      </c>
      <c r="B878" s="27" t="s">
        <v>2129</v>
      </c>
      <c r="C878" s="27" t="s">
        <v>2130</v>
      </c>
      <c r="D878" s="27" t="s">
        <v>4790</v>
      </c>
      <c r="E878" s="27" t="s">
        <v>4791</v>
      </c>
      <c r="F878" s="27" t="s">
        <v>4792</v>
      </c>
      <c r="G878" s="28"/>
      <c r="H878" s="6" t="s">
        <v>63</v>
      </c>
      <c r="I878" s="6" t="s">
        <v>62</v>
      </c>
      <c r="J878" s="6" t="s">
        <v>63</v>
      </c>
      <c r="K878" s="6" t="s">
        <v>63</v>
      </c>
      <c r="L878" s="6" t="s">
        <v>64</v>
      </c>
      <c r="M878" s="27" t="s">
        <v>4793</v>
      </c>
      <c r="N878" s="27" t="s">
        <v>4794</v>
      </c>
      <c r="O878" s="6" t="s">
        <v>264</v>
      </c>
      <c r="P878" s="28"/>
      <c r="Q878" s="6" t="s">
        <v>67</v>
      </c>
      <c r="R878" s="6" t="s">
        <v>384</v>
      </c>
      <c r="S878" s="27" t="s">
        <v>2962</v>
      </c>
      <c r="T878" s="6" t="s">
        <v>4225</v>
      </c>
      <c r="U878" s="7" t="n">
        <v>3</v>
      </c>
      <c r="V878" s="7" t="n">
        <v>3</v>
      </c>
      <c r="W878" s="8" t="s">
        <v>4795</v>
      </c>
      <c r="X878" s="8" t="s">
        <v>4795</v>
      </c>
      <c r="Y878" s="8" t="s">
        <v>4639</v>
      </c>
      <c r="Z878" s="8" t="s">
        <v>4639</v>
      </c>
      <c r="AA878" s="7" t="n">
        <v>504</v>
      </c>
      <c r="AB878" s="7" t="n">
        <v>346</v>
      </c>
      <c r="AC878" s="7" t="n">
        <v>361</v>
      </c>
      <c r="AD878" s="7" t="n">
        <v>3</v>
      </c>
      <c r="AE878" s="7" t="n">
        <v>3</v>
      </c>
      <c r="AF878" s="7" t="n">
        <v>23</v>
      </c>
      <c r="AG878" s="7" t="n">
        <v>24</v>
      </c>
      <c r="AH878" s="7" t="n">
        <v>6</v>
      </c>
      <c r="AI878" s="7" t="n">
        <v>7</v>
      </c>
      <c r="AJ878" s="7" t="n">
        <v>6</v>
      </c>
      <c r="AK878" s="7" t="n">
        <v>6</v>
      </c>
      <c r="AL878" s="7" t="n">
        <v>14</v>
      </c>
      <c r="AM878" s="7" t="n">
        <v>15</v>
      </c>
      <c r="AN878" s="7" t="n">
        <v>2</v>
      </c>
      <c r="AO878" s="7" t="n">
        <v>2</v>
      </c>
      <c r="AP878" s="7" t="n">
        <v>0</v>
      </c>
      <c r="AQ878" s="7" t="n">
        <v>0</v>
      </c>
      <c r="AR878" s="6" t="s">
        <v>63</v>
      </c>
      <c r="AS878" s="6" t="s">
        <v>57</v>
      </c>
      <c r="AT878" s="9" t="str">
        <f aca="false">HYPERLINK("http://catalog.hathitrust.org/Record/001388302","HathiTrust Record")</f>
        <v>HathiTrust Record</v>
      </c>
      <c r="AU878" s="9" t="str">
        <f aca="false">HYPERLINK("https://creighton-primo.hosted.exlibrisgroup.com/primo-explore/search?tab=default_tab&amp;search_scope=EVERYTHING&amp;vid=01CRU&amp;lang=en_US&amp;offset=0&amp;query=any,contains,991000628649702656","Catalog Record")</f>
        <v>Catalog Record</v>
      </c>
      <c r="AV878" s="9" t="str">
        <f aca="false">HYPERLINK("http://www.worldcat.org/oclc/105218","WorldCat Record")</f>
        <v>WorldCat Record</v>
      </c>
      <c r="AW878" s="6" t="s">
        <v>4796</v>
      </c>
      <c r="AX878" s="6" t="s">
        <v>4797</v>
      </c>
      <c r="AY878" s="6" t="s">
        <v>4798</v>
      </c>
      <c r="AZ878" s="6" t="s">
        <v>4798</v>
      </c>
      <c r="BA878" s="6" t="s">
        <v>4799</v>
      </c>
      <c r="BB878" s="6" t="s">
        <v>4800</v>
      </c>
      <c r="BC878" s="6" t="s">
        <v>4801</v>
      </c>
      <c r="BE878" s="15" t="s">
        <v>2145</v>
      </c>
      <c r="BF878" s="6" t="s">
        <v>4802</v>
      </c>
    </row>
    <row r="879" customFormat="false" ht="151.5" hidden="false" customHeight="false" outlineLevel="0" collapsed="false">
      <c r="A879" s="26" t="s">
        <v>63</v>
      </c>
      <c r="B879" s="27" t="s">
        <v>2129</v>
      </c>
      <c r="C879" s="27" t="s">
        <v>2130</v>
      </c>
      <c r="D879" s="27" t="s">
        <v>4803</v>
      </c>
      <c r="E879" s="27" t="s">
        <v>4804</v>
      </c>
      <c r="F879" s="27" t="s">
        <v>4805</v>
      </c>
      <c r="G879" s="28"/>
      <c r="H879" s="6" t="s">
        <v>63</v>
      </c>
      <c r="I879" s="6" t="s">
        <v>62</v>
      </c>
      <c r="J879" s="6" t="s">
        <v>63</v>
      </c>
      <c r="K879" s="6" t="s">
        <v>63</v>
      </c>
      <c r="L879" s="6" t="s">
        <v>64</v>
      </c>
      <c r="M879" s="27" t="s">
        <v>4806</v>
      </c>
      <c r="N879" s="27" t="s">
        <v>4807</v>
      </c>
      <c r="O879" s="6" t="s">
        <v>3029</v>
      </c>
      <c r="P879" s="28"/>
      <c r="Q879" s="6" t="s">
        <v>67</v>
      </c>
      <c r="R879" s="6" t="s">
        <v>123</v>
      </c>
      <c r="S879" s="28"/>
      <c r="T879" s="6" t="s">
        <v>4225</v>
      </c>
      <c r="U879" s="7" t="n">
        <v>2</v>
      </c>
      <c r="V879" s="7" t="n">
        <v>2</v>
      </c>
      <c r="W879" s="8" t="s">
        <v>4808</v>
      </c>
      <c r="X879" s="8" t="s">
        <v>4808</v>
      </c>
      <c r="Y879" s="8" t="s">
        <v>4639</v>
      </c>
      <c r="Z879" s="8" t="s">
        <v>4639</v>
      </c>
      <c r="AA879" s="7" t="n">
        <v>234</v>
      </c>
      <c r="AB879" s="7" t="n">
        <v>214</v>
      </c>
      <c r="AC879" s="7" t="n">
        <v>215</v>
      </c>
      <c r="AD879" s="7" t="n">
        <v>2</v>
      </c>
      <c r="AE879" s="7" t="n">
        <v>2</v>
      </c>
      <c r="AF879" s="7" t="n">
        <v>16</v>
      </c>
      <c r="AG879" s="7" t="n">
        <v>16</v>
      </c>
      <c r="AH879" s="7" t="n">
        <v>7</v>
      </c>
      <c r="AI879" s="7" t="n">
        <v>7</v>
      </c>
      <c r="AJ879" s="7" t="n">
        <v>4</v>
      </c>
      <c r="AK879" s="7" t="n">
        <v>4</v>
      </c>
      <c r="AL879" s="7" t="n">
        <v>11</v>
      </c>
      <c r="AM879" s="7" t="n">
        <v>11</v>
      </c>
      <c r="AN879" s="7" t="n">
        <v>1</v>
      </c>
      <c r="AO879" s="7" t="n">
        <v>1</v>
      </c>
      <c r="AP879" s="7" t="n">
        <v>0</v>
      </c>
      <c r="AQ879" s="7" t="n">
        <v>0</v>
      </c>
      <c r="AR879" s="6" t="s">
        <v>63</v>
      </c>
      <c r="AS879" s="6" t="s">
        <v>63</v>
      </c>
      <c r="AT879" s="9" t="str">
        <f aca="false">HYPERLINK("http://catalog.hathitrust.org/Record/001388305","HathiTrust Record")</f>
        <v>HathiTrust Record</v>
      </c>
      <c r="AU879" s="9" t="str">
        <f aca="false">HYPERLINK("https://creighton-primo.hosted.exlibrisgroup.com/primo-explore/search?tab=default_tab&amp;search_scope=EVERYTHING&amp;vid=01CRU&amp;lang=en_US&amp;offset=0&amp;query=any,contains,991002570919702656","Catalog Record")</f>
        <v>Catalog Record</v>
      </c>
      <c r="AV879" s="9" t="str">
        <f aca="false">HYPERLINK("http://www.worldcat.org/oclc/373640","WorldCat Record")</f>
        <v>WorldCat Record</v>
      </c>
      <c r="AW879" s="6" t="s">
        <v>4809</v>
      </c>
      <c r="AX879" s="6" t="s">
        <v>4810</v>
      </c>
      <c r="AY879" s="6" t="s">
        <v>4811</v>
      </c>
      <c r="AZ879" s="6" t="s">
        <v>4811</v>
      </c>
      <c r="BA879" s="6" t="s">
        <v>4812</v>
      </c>
      <c r="BB879" s="28"/>
      <c r="BC879" s="6" t="s">
        <v>4813</v>
      </c>
      <c r="BE879" s="15" t="s">
        <v>2145</v>
      </c>
      <c r="BF879" s="6" t="s">
        <v>4814</v>
      </c>
    </row>
    <row r="880" customFormat="false" ht="209" hidden="false" customHeight="false" outlineLevel="0" collapsed="false">
      <c r="A880" s="26" t="s">
        <v>63</v>
      </c>
      <c r="B880" s="27" t="s">
        <v>2129</v>
      </c>
      <c r="C880" s="27" t="s">
        <v>2130</v>
      </c>
      <c r="D880" s="27" t="s">
        <v>4815</v>
      </c>
      <c r="E880" s="27" t="s">
        <v>4816</v>
      </c>
      <c r="F880" s="27" t="s">
        <v>4817</v>
      </c>
      <c r="G880" s="28"/>
      <c r="H880" s="6" t="s">
        <v>63</v>
      </c>
      <c r="I880" s="6" t="s">
        <v>62</v>
      </c>
      <c r="J880" s="6" t="s">
        <v>63</v>
      </c>
      <c r="K880" s="6" t="s">
        <v>63</v>
      </c>
      <c r="L880" s="6" t="s">
        <v>64</v>
      </c>
      <c r="M880" s="27" t="s">
        <v>4818</v>
      </c>
      <c r="N880" s="27" t="s">
        <v>4819</v>
      </c>
      <c r="O880" s="6" t="s">
        <v>2467</v>
      </c>
      <c r="P880" s="28"/>
      <c r="Q880" s="6" t="s">
        <v>67</v>
      </c>
      <c r="R880" s="6" t="s">
        <v>1059</v>
      </c>
      <c r="S880" s="27" t="s">
        <v>4820</v>
      </c>
      <c r="T880" s="6" t="s">
        <v>4225</v>
      </c>
      <c r="U880" s="7" t="n">
        <v>2</v>
      </c>
      <c r="V880" s="7" t="n">
        <v>2</v>
      </c>
      <c r="W880" s="8" t="s">
        <v>4808</v>
      </c>
      <c r="X880" s="8" t="s">
        <v>4808</v>
      </c>
      <c r="Y880" s="8" t="s">
        <v>4821</v>
      </c>
      <c r="Z880" s="8" t="s">
        <v>4821</v>
      </c>
      <c r="AA880" s="7" t="n">
        <v>475</v>
      </c>
      <c r="AB880" s="7" t="n">
        <v>387</v>
      </c>
      <c r="AC880" s="7" t="n">
        <v>407</v>
      </c>
      <c r="AD880" s="7" t="n">
        <v>3</v>
      </c>
      <c r="AE880" s="7" t="n">
        <v>3</v>
      </c>
      <c r="AF880" s="7" t="n">
        <v>23</v>
      </c>
      <c r="AG880" s="7" t="n">
        <v>24</v>
      </c>
      <c r="AH880" s="7" t="n">
        <v>7</v>
      </c>
      <c r="AI880" s="7" t="n">
        <v>8</v>
      </c>
      <c r="AJ880" s="7" t="n">
        <v>4</v>
      </c>
      <c r="AK880" s="7" t="n">
        <v>4</v>
      </c>
      <c r="AL880" s="7" t="n">
        <v>15</v>
      </c>
      <c r="AM880" s="7" t="n">
        <v>16</v>
      </c>
      <c r="AN880" s="7" t="n">
        <v>2</v>
      </c>
      <c r="AO880" s="7" t="n">
        <v>2</v>
      </c>
      <c r="AP880" s="7" t="n">
        <v>0</v>
      </c>
      <c r="AQ880" s="7" t="n">
        <v>0</v>
      </c>
      <c r="AR880" s="6" t="s">
        <v>63</v>
      </c>
      <c r="AS880" s="6" t="s">
        <v>57</v>
      </c>
      <c r="AT880" s="9" t="str">
        <f aca="false">HYPERLINK("http://catalog.hathitrust.org/Record/001388315","HathiTrust Record")</f>
        <v>HathiTrust Record</v>
      </c>
      <c r="AU880" s="9" t="str">
        <f aca="false">HYPERLINK("https://creighton-primo.hosted.exlibrisgroup.com/primo-explore/search?tab=default_tab&amp;search_scope=EVERYTHING&amp;vid=01CRU&amp;lang=en_US&amp;offset=0&amp;query=any,contains,991001290179702656","Catalog Record")</f>
        <v>Catalog Record</v>
      </c>
      <c r="AV880" s="9" t="str">
        <f aca="false">HYPERLINK("http://www.worldcat.org/oclc/217841","WorldCat Record")</f>
        <v>WorldCat Record</v>
      </c>
      <c r="AW880" s="6" t="s">
        <v>4822</v>
      </c>
      <c r="AX880" s="6" t="s">
        <v>4823</v>
      </c>
      <c r="AY880" s="6" t="s">
        <v>4824</v>
      </c>
      <c r="AZ880" s="6" t="s">
        <v>4824</v>
      </c>
      <c r="BA880" s="6" t="s">
        <v>4825</v>
      </c>
      <c r="BB880" s="28"/>
      <c r="BC880" s="6" t="s">
        <v>4826</v>
      </c>
      <c r="BE880" s="15" t="s">
        <v>2145</v>
      </c>
      <c r="BF880" s="6" t="s">
        <v>4827</v>
      </c>
    </row>
    <row r="881" customFormat="false" ht="71" hidden="false" customHeight="false" outlineLevel="0" collapsed="false">
      <c r="A881" s="26" t="s">
        <v>63</v>
      </c>
      <c r="B881" s="27" t="s">
        <v>2129</v>
      </c>
      <c r="C881" s="27" t="s">
        <v>2130</v>
      </c>
      <c r="D881" s="27" t="s">
        <v>4828</v>
      </c>
      <c r="E881" s="27" t="s">
        <v>4829</v>
      </c>
      <c r="F881" s="27" t="s">
        <v>4830</v>
      </c>
      <c r="G881" s="28"/>
      <c r="H881" s="6" t="s">
        <v>63</v>
      </c>
      <c r="I881" s="6" t="s">
        <v>62</v>
      </c>
      <c r="J881" s="6" t="s">
        <v>63</v>
      </c>
      <c r="K881" s="6" t="s">
        <v>63</v>
      </c>
      <c r="L881" s="6" t="s">
        <v>64</v>
      </c>
      <c r="M881" s="27" t="s">
        <v>4831</v>
      </c>
      <c r="N881" s="27" t="s">
        <v>4832</v>
      </c>
      <c r="O881" s="6" t="s">
        <v>4833</v>
      </c>
      <c r="P881" s="28"/>
      <c r="Q881" s="6" t="s">
        <v>67</v>
      </c>
      <c r="R881" s="6" t="s">
        <v>68</v>
      </c>
      <c r="S881" s="28"/>
      <c r="T881" s="6" t="s">
        <v>4225</v>
      </c>
      <c r="U881" s="7" t="n">
        <v>2</v>
      </c>
      <c r="V881" s="7" t="n">
        <v>2</v>
      </c>
      <c r="W881" s="8" t="s">
        <v>4834</v>
      </c>
      <c r="X881" s="8" t="s">
        <v>4834</v>
      </c>
      <c r="Y881" s="8" t="s">
        <v>4821</v>
      </c>
      <c r="Z881" s="8" t="s">
        <v>4821</v>
      </c>
      <c r="AA881" s="7" t="n">
        <v>572</v>
      </c>
      <c r="AB881" s="7" t="n">
        <v>481</v>
      </c>
      <c r="AC881" s="7" t="n">
        <v>535</v>
      </c>
      <c r="AD881" s="7" t="n">
        <v>3</v>
      </c>
      <c r="AE881" s="7" t="n">
        <v>3</v>
      </c>
      <c r="AF881" s="7" t="n">
        <v>21</v>
      </c>
      <c r="AG881" s="7" t="n">
        <v>24</v>
      </c>
      <c r="AH881" s="7" t="n">
        <v>6</v>
      </c>
      <c r="AI881" s="7" t="n">
        <v>7</v>
      </c>
      <c r="AJ881" s="7" t="n">
        <v>6</v>
      </c>
      <c r="AK881" s="7" t="n">
        <v>7</v>
      </c>
      <c r="AL881" s="7" t="n">
        <v>14</v>
      </c>
      <c r="AM881" s="7" t="n">
        <v>15</v>
      </c>
      <c r="AN881" s="7" t="n">
        <v>1</v>
      </c>
      <c r="AO881" s="7" t="n">
        <v>1</v>
      </c>
      <c r="AP881" s="7" t="n">
        <v>0</v>
      </c>
      <c r="AQ881" s="7" t="n">
        <v>0</v>
      </c>
      <c r="AR881" s="6" t="s">
        <v>57</v>
      </c>
      <c r="AS881" s="6" t="s">
        <v>63</v>
      </c>
      <c r="AT881" s="9" t="str">
        <f aca="false">HYPERLINK("http://catalog.hathitrust.org/Record/001388325","HathiTrust Record")</f>
        <v>HathiTrust Record</v>
      </c>
      <c r="AU881" s="9" t="str">
        <f aca="false">HYPERLINK("https://creighton-primo.hosted.exlibrisgroup.com/primo-explore/search?tab=default_tab&amp;search_scope=EVERYTHING&amp;vid=01CRU&amp;lang=en_US&amp;offset=0&amp;query=any,contains,991002580949702656","Catalog Record")</f>
        <v>Catalog Record</v>
      </c>
      <c r="AV881" s="9" t="str">
        <f aca="false">HYPERLINK("http://www.worldcat.org/oclc/375045","WorldCat Record")</f>
        <v>WorldCat Record</v>
      </c>
      <c r="AW881" s="6" t="s">
        <v>4835</v>
      </c>
      <c r="AX881" s="6" t="s">
        <v>4836</v>
      </c>
      <c r="AY881" s="6" t="s">
        <v>4837</v>
      </c>
      <c r="AZ881" s="6" t="s">
        <v>4837</v>
      </c>
      <c r="BA881" s="6" t="s">
        <v>4838</v>
      </c>
      <c r="BB881" s="28"/>
      <c r="BC881" s="6" t="s">
        <v>4839</v>
      </c>
      <c r="BE881" s="15" t="s">
        <v>2145</v>
      </c>
      <c r="BF881" s="6" t="s">
        <v>4840</v>
      </c>
    </row>
    <row r="882" customFormat="false" ht="117" hidden="false" customHeight="false" outlineLevel="0" collapsed="false">
      <c r="A882" s="26" t="s">
        <v>63</v>
      </c>
      <c r="B882" s="27" t="s">
        <v>2129</v>
      </c>
      <c r="C882" s="27" t="s">
        <v>2130</v>
      </c>
      <c r="D882" s="27" t="s">
        <v>4841</v>
      </c>
      <c r="E882" s="27" t="s">
        <v>4842</v>
      </c>
      <c r="F882" s="27" t="s">
        <v>4843</v>
      </c>
      <c r="G882" s="28"/>
      <c r="H882" s="6" t="s">
        <v>63</v>
      </c>
      <c r="I882" s="6" t="s">
        <v>62</v>
      </c>
      <c r="J882" s="6" t="s">
        <v>63</v>
      </c>
      <c r="K882" s="6" t="s">
        <v>63</v>
      </c>
      <c r="L882" s="6" t="s">
        <v>64</v>
      </c>
      <c r="M882" s="27" t="s">
        <v>4844</v>
      </c>
      <c r="N882" s="27" t="s">
        <v>4845</v>
      </c>
      <c r="O882" s="6" t="s">
        <v>2693</v>
      </c>
      <c r="P882" s="28"/>
      <c r="Q882" s="6" t="s">
        <v>67</v>
      </c>
      <c r="R882" s="6" t="s">
        <v>68</v>
      </c>
      <c r="S882" s="28"/>
      <c r="T882" s="6" t="s">
        <v>4225</v>
      </c>
      <c r="U882" s="7" t="n">
        <v>3</v>
      </c>
      <c r="V882" s="7" t="n">
        <v>3</v>
      </c>
      <c r="W882" s="8" t="s">
        <v>4758</v>
      </c>
      <c r="X882" s="8" t="s">
        <v>4758</v>
      </c>
      <c r="Y882" s="8" t="s">
        <v>4821</v>
      </c>
      <c r="Z882" s="8" t="s">
        <v>4821</v>
      </c>
      <c r="AA882" s="7" t="n">
        <v>230</v>
      </c>
      <c r="AB882" s="7" t="n">
        <v>203</v>
      </c>
      <c r="AC882" s="7" t="n">
        <v>498</v>
      </c>
      <c r="AD882" s="7" t="n">
        <v>1</v>
      </c>
      <c r="AE882" s="7" t="n">
        <v>3</v>
      </c>
      <c r="AF882" s="7" t="n">
        <v>12</v>
      </c>
      <c r="AG882" s="7" t="n">
        <v>24</v>
      </c>
      <c r="AH882" s="7" t="n">
        <v>4</v>
      </c>
      <c r="AI882" s="7" t="n">
        <v>10</v>
      </c>
      <c r="AJ882" s="7" t="n">
        <v>6</v>
      </c>
      <c r="AK882" s="7" t="n">
        <v>8</v>
      </c>
      <c r="AL882" s="7" t="n">
        <v>7</v>
      </c>
      <c r="AM882" s="7" t="n">
        <v>11</v>
      </c>
      <c r="AN882" s="7" t="n">
        <v>0</v>
      </c>
      <c r="AO882" s="7" t="n">
        <v>2</v>
      </c>
      <c r="AP882" s="7" t="n">
        <v>0</v>
      </c>
      <c r="AQ882" s="7" t="n">
        <v>0</v>
      </c>
      <c r="AR882" s="6" t="s">
        <v>63</v>
      </c>
      <c r="AS882" s="6" t="s">
        <v>63</v>
      </c>
      <c r="AT882" s="28"/>
      <c r="AU882" s="9" t="str">
        <f aca="false">HYPERLINK("https://creighton-primo.hosted.exlibrisgroup.com/primo-explore/search?tab=default_tab&amp;search_scope=EVERYTHING&amp;vid=01CRU&amp;lang=en_US&amp;offset=0&amp;query=any,contains,991002808369702656","Catalog Record")</f>
        <v>Catalog Record</v>
      </c>
      <c r="AV882" s="9" t="str">
        <f aca="false">HYPERLINK("http://www.worldcat.org/oclc/451430","WorldCat Record")</f>
        <v>WorldCat Record</v>
      </c>
      <c r="AW882" s="6" t="s">
        <v>4846</v>
      </c>
      <c r="AX882" s="6" t="s">
        <v>4847</v>
      </c>
      <c r="AY882" s="6" t="s">
        <v>4848</v>
      </c>
      <c r="AZ882" s="6" t="s">
        <v>4848</v>
      </c>
      <c r="BA882" s="6" t="s">
        <v>4849</v>
      </c>
      <c r="BB882" s="28"/>
      <c r="BC882" s="6" t="s">
        <v>4850</v>
      </c>
      <c r="BE882" s="15" t="s">
        <v>2145</v>
      </c>
      <c r="BF882" s="6" t="s">
        <v>4851</v>
      </c>
    </row>
    <row r="883" customFormat="false" ht="82.5" hidden="false" customHeight="false" outlineLevel="0" collapsed="false">
      <c r="A883" s="26" t="s">
        <v>63</v>
      </c>
      <c r="B883" s="27" t="s">
        <v>2129</v>
      </c>
      <c r="C883" s="27" t="s">
        <v>2130</v>
      </c>
      <c r="D883" s="27" t="s">
        <v>4852</v>
      </c>
      <c r="E883" s="27" t="s">
        <v>4853</v>
      </c>
      <c r="F883" s="27" t="s">
        <v>4854</v>
      </c>
      <c r="G883" s="28"/>
      <c r="H883" s="6" t="s">
        <v>63</v>
      </c>
      <c r="I883" s="6" t="s">
        <v>62</v>
      </c>
      <c r="J883" s="6" t="s">
        <v>63</v>
      </c>
      <c r="K883" s="6" t="s">
        <v>63</v>
      </c>
      <c r="L883" s="6" t="s">
        <v>64</v>
      </c>
      <c r="M883" s="27" t="s">
        <v>4855</v>
      </c>
      <c r="N883" s="27" t="s">
        <v>4856</v>
      </c>
      <c r="O883" s="6" t="s">
        <v>2797</v>
      </c>
      <c r="P883" s="28"/>
      <c r="Q883" s="6" t="s">
        <v>67</v>
      </c>
      <c r="R883" s="6" t="s">
        <v>272</v>
      </c>
      <c r="S883" s="28"/>
      <c r="T883" s="6" t="s">
        <v>4225</v>
      </c>
      <c r="U883" s="7" t="n">
        <v>1</v>
      </c>
      <c r="V883" s="7" t="n">
        <v>1</v>
      </c>
      <c r="W883" s="8" t="s">
        <v>4857</v>
      </c>
      <c r="X883" s="8" t="s">
        <v>4857</v>
      </c>
      <c r="Y883" s="8" t="s">
        <v>4821</v>
      </c>
      <c r="Z883" s="8" t="s">
        <v>4821</v>
      </c>
      <c r="AA883" s="7" t="n">
        <v>572</v>
      </c>
      <c r="AB883" s="7" t="n">
        <v>496</v>
      </c>
      <c r="AC883" s="7" t="n">
        <v>575</v>
      </c>
      <c r="AD883" s="7" t="n">
        <v>4</v>
      </c>
      <c r="AE883" s="7" t="n">
        <v>4</v>
      </c>
      <c r="AF883" s="7" t="n">
        <v>28</v>
      </c>
      <c r="AG883" s="7" t="n">
        <v>34</v>
      </c>
      <c r="AH883" s="7" t="n">
        <v>10</v>
      </c>
      <c r="AI883" s="7" t="n">
        <v>12</v>
      </c>
      <c r="AJ883" s="7" t="n">
        <v>6</v>
      </c>
      <c r="AK883" s="7" t="n">
        <v>8</v>
      </c>
      <c r="AL883" s="7" t="n">
        <v>14</v>
      </c>
      <c r="AM883" s="7" t="n">
        <v>19</v>
      </c>
      <c r="AN883" s="7" t="n">
        <v>3</v>
      </c>
      <c r="AO883" s="7" t="n">
        <v>3</v>
      </c>
      <c r="AP883" s="7" t="n">
        <v>0</v>
      </c>
      <c r="AQ883" s="7" t="n">
        <v>0</v>
      </c>
      <c r="AR883" s="6" t="s">
        <v>63</v>
      </c>
      <c r="AS883" s="6" t="s">
        <v>57</v>
      </c>
      <c r="AT883" s="9" t="str">
        <f aca="false">HYPERLINK("http://catalog.hathitrust.org/Record/001396667","HathiTrust Record")</f>
        <v>HathiTrust Record</v>
      </c>
      <c r="AU883" s="9" t="str">
        <f aca="false">HYPERLINK("https://creighton-primo.hosted.exlibrisgroup.com/primo-explore/search?tab=default_tab&amp;search_scope=EVERYTHING&amp;vid=01CRU&amp;lang=en_US&amp;offset=0&amp;query=any,contains,991002000389702656","Catalog Record")</f>
        <v>Catalog Record</v>
      </c>
      <c r="AV883" s="9" t="str">
        <f aca="false">HYPERLINK("http://www.worldcat.org/oclc/256114","WorldCat Record")</f>
        <v>WorldCat Record</v>
      </c>
      <c r="AW883" s="6" t="s">
        <v>4858</v>
      </c>
      <c r="AX883" s="6" t="s">
        <v>4859</v>
      </c>
      <c r="AY883" s="6" t="s">
        <v>4860</v>
      </c>
      <c r="AZ883" s="6" t="s">
        <v>4860</v>
      </c>
      <c r="BA883" s="6" t="s">
        <v>4861</v>
      </c>
      <c r="BB883" s="28"/>
      <c r="BC883" s="6" t="s">
        <v>4862</v>
      </c>
      <c r="BE883" s="15" t="s">
        <v>2145</v>
      </c>
      <c r="BF883" s="6" t="s">
        <v>4863</v>
      </c>
    </row>
    <row r="884" customFormat="false" ht="117" hidden="false" customHeight="false" outlineLevel="0" collapsed="false">
      <c r="A884" s="26" t="s">
        <v>63</v>
      </c>
      <c r="B884" s="27" t="s">
        <v>2129</v>
      </c>
      <c r="C884" s="27" t="s">
        <v>2130</v>
      </c>
      <c r="D884" s="27" t="s">
        <v>4864</v>
      </c>
      <c r="E884" s="27" t="s">
        <v>4865</v>
      </c>
      <c r="F884" s="27" t="s">
        <v>4866</v>
      </c>
      <c r="G884" s="28"/>
      <c r="H884" s="6" t="s">
        <v>63</v>
      </c>
      <c r="I884" s="6" t="s">
        <v>62</v>
      </c>
      <c r="J884" s="6" t="s">
        <v>63</v>
      </c>
      <c r="K884" s="6" t="s">
        <v>63</v>
      </c>
      <c r="L884" s="6" t="s">
        <v>64</v>
      </c>
      <c r="M884" s="27" t="s">
        <v>4867</v>
      </c>
      <c r="N884" s="27" t="s">
        <v>4868</v>
      </c>
      <c r="O884" s="6" t="s">
        <v>4869</v>
      </c>
      <c r="P884" s="28"/>
      <c r="Q884" s="6" t="s">
        <v>67</v>
      </c>
      <c r="R884" s="6" t="s">
        <v>222</v>
      </c>
      <c r="S884" s="28"/>
      <c r="T884" s="6" t="s">
        <v>4225</v>
      </c>
      <c r="U884" s="7" t="n">
        <v>2</v>
      </c>
      <c r="V884" s="7" t="n">
        <v>2</v>
      </c>
      <c r="W884" s="8" t="s">
        <v>4870</v>
      </c>
      <c r="X884" s="8" t="s">
        <v>4870</v>
      </c>
      <c r="Y884" s="8" t="s">
        <v>4821</v>
      </c>
      <c r="Z884" s="8" t="s">
        <v>4821</v>
      </c>
      <c r="AA884" s="7" t="n">
        <v>251</v>
      </c>
      <c r="AB884" s="7" t="n">
        <v>219</v>
      </c>
      <c r="AC884" s="7" t="n">
        <v>763</v>
      </c>
      <c r="AD884" s="7" t="n">
        <v>1</v>
      </c>
      <c r="AE884" s="7" t="n">
        <v>4</v>
      </c>
      <c r="AF884" s="7" t="n">
        <v>7</v>
      </c>
      <c r="AG884" s="7" t="n">
        <v>37</v>
      </c>
      <c r="AH884" s="7" t="n">
        <v>2</v>
      </c>
      <c r="AI884" s="7" t="n">
        <v>13</v>
      </c>
      <c r="AJ884" s="7" t="n">
        <v>1</v>
      </c>
      <c r="AK884" s="7" t="n">
        <v>9</v>
      </c>
      <c r="AL884" s="7" t="n">
        <v>7</v>
      </c>
      <c r="AM884" s="7" t="n">
        <v>24</v>
      </c>
      <c r="AN884" s="7" t="n">
        <v>0</v>
      </c>
      <c r="AO884" s="7" t="n">
        <v>3</v>
      </c>
      <c r="AP884" s="7" t="n">
        <v>0</v>
      </c>
      <c r="AQ884" s="7" t="n">
        <v>0</v>
      </c>
      <c r="AR884" s="6" t="s">
        <v>63</v>
      </c>
      <c r="AS884" s="6" t="s">
        <v>57</v>
      </c>
      <c r="AT884" s="9" t="str">
        <f aca="false">HYPERLINK("http://catalog.hathitrust.org/Record/006184321","HathiTrust Record")</f>
        <v>HathiTrust Record</v>
      </c>
      <c r="AU884" s="9" t="str">
        <f aca="false">HYPERLINK("https://creighton-primo.hosted.exlibrisgroup.com/primo-explore/search?tab=default_tab&amp;search_scope=EVERYTHING&amp;vid=01CRU&amp;lang=en_US&amp;offset=0&amp;query=any,contains,991002580919702656","Catalog Record")</f>
        <v>Catalog Record</v>
      </c>
      <c r="AV884" s="9" t="str">
        <f aca="false">HYPERLINK("http://www.worldcat.org/oclc/375043","WorldCat Record")</f>
        <v>WorldCat Record</v>
      </c>
      <c r="AW884" s="6" t="s">
        <v>4871</v>
      </c>
      <c r="AX884" s="6" t="s">
        <v>4872</v>
      </c>
      <c r="AY884" s="6" t="s">
        <v>4873</v>
      </c>
      <c r="AZ884" s="6" t="s">
        <v>4873</v>
      </c>
      <c r="BA884" s="6" t="s">
        <v>4874</v>
      </c>
      <c r="BB884" s="28"/>
      <c r="BC884" s="6" t="s">
        <v>4875</v>
      </c>
      <c r="BE884" s="15" t="s">
        <v>2145</v>
      </c>
      <c r="BF884" s="6" t="s">
        <v>4876</v>
      </c>
    </row>
    <row r="885" customFormat="false" ht="82.5" hidden="false" customHeight="false" outlineLevel="0" collapsed="false">
      <c r="A885" s="26" t="s">
        <v>57</v>
      </c>
      <c r="B885" s="27" t="s">
        <v>2129</v>
      </c>
      <c r="C885" s="27" t="s">
        <v>2130</v>
      </c>
      <c r="D885" s="27" t="s">
        <v>4877</v>
      </c>
      <c r="E885" s="27" t="s">
        <v>4878</v>
      </c>
      <c r="F885" s="27" t="s">
        <v>4879</v>
      </c>
      <c r="G885" s="28"/>
      <c r="H885" s="6" t="s">
        <v>63</v>
      </c>
      <c r="I885" s="6" t="s">
        <v>62</v>
      </c>
      <c r="J885" s="6" t="s">
        <v>63</v>
      </c>
      <c r="K885" s="6" t="s">
        <v>63</v>
      </c>
      <c r="L885" s="6" t="s">
        <v>64</v>
      </c>
      <c r="M885" s="27" t="s">
        <v>4782</v>
      </c>
      <c r="N885" s="27" t="s">
        <v>4880</v>
      </c>
      <c r="O885" s="6" t="s">
        <v>233</v>
      </c>
      <c r="P885" s="28"/>
      <c r="Q885" s="6" t="s">
        <v>67</v>
      </c>
      <c r="R885" s="6" t="s">
        <v>123</v>
      </c>
      <c r="S885" s="28"/>
      <c r="T885" s="6" t="s">
        <v>4225</v>
      </c>
      <c r="U885" s="7" t="n">
        <v>4</v>
      </c>
      <c r="V885" s="7" t="n">
        <v>4</v>
      </c>
      <c r="W885" s="8" t="s">
        <v>4881</v>
      </c>
      <c r="X885" s="8" t="s">
        <v>4881</v>
      </c>
      <c r="Y885" s="8" t="s">
        <v>4821</v>
      </c>
      <c r="Z885" s="8" t="s">
        <v>4821</v>
      </c>
      <c r="AA885" s="7" t="n">
        <v>416</v>
      </c>
      <c r="AB885" s="7" t="n">
        <v>354</v>
      </c>
      <c r="AC885" s="7" t="n">
        <v>690</v>
      </c>
      <c r="AD885" s="7" t="n">
        <v>2</v>
      </c>
      <c r="AE885" s="7" t="n">
        <v>6</v>
      </c>
      <c r="AF885" s="7" t="n">
        <v>24</v>
      </c>
      <c r="AG885" s="7" t="n">
        <v>39</v>
      </c>
      <c r="AH885" s="7" t="n">
        <v>9</v>
      </c>
      <c r="AI885" s="7" t="n">
        <v>15</v>
      </c>
      <c r="AJ885" s="7" t="n">
        <v>4</v>
      </c>
      <c r="AK885" s="7" t="n">
        <v>7</v>
      </c>
      <c r="AL885" s="7" t="n">
        <v>17</v>
      </c>
      <c r="AM885" s="7" t="n">
        <v>20</v>
      </c>
      <c r="AN885" s="7" t="n">
        <v>1</v>
      </c>
      <c r="AO885" s="7" t="n">
        <v>5</v>
      </c>
      <c r="AP885" s="7" t="n">
        <v>0</v>
      </c>
      <c r="AQ885" s="7" t="n">
        <v>1</v>
      </c>
      <c r="AR885" s="6" t="s">
        <v>63</v>
      </c>
      <c r="AS885" s="6" t="s">
        <v>63</v>
      </c>
      <c r="AT885" s="28"/>
      <c r="AU885" s="9" t="str">
        <f aca="false">HYPERLINK("https://creighton-primo.hosted.exlibrisgroup.com/primo-explore/search?tab=default_tab&amp;search_scope=EVERYTHING&amp;vid=01CRU&amp;lang=en_US&amp;offset=0&amp;query=any,contains,991003227659702656","Catalog Record")</f>
        <v>Catalog Record</v>
      </c>
      <c r="AV885" s="9" t="str">
        <f aca="false">HYPERLINK("http://www.worldcat.org/oclc/7663212","WorldCat Record")</f>
        <v>WorldCat Record</v>
      </c>
      <c r="AW885" s="6" t="s">
        <v>4882</v>
      </c>
      <c r="AX885" s="6" t="s">
        <v>4883</v>
      </c>
      <c r="AY885" s="6" t="s">
        <v>4884</v>
      </c>
      <c r="AZ885" s="6" t="s">
        <v>4884</v>
      </c>
      <c r="BA885" s="6" t="s">
        <v>4885</v>
      </c>
      <c r="BB885" s="28"/>
      <c r="BC885" s="6" t="s">
        <v>4886</v>
      </c>
      <c r="BE885" s="15" t="s">
        <v>2145</v>
      </c>
      <c r="BF885" s="6" t="s">
        <v>4887</v>
      </c>
    </row>
    <row r="886" customFormat="false" ht="82.5" hidden="false" customHeight="false" outlineLevel="0" collapsed="false">
      <c r="A886" s="26" t="s">
        <v>63</v>
      </c>
      <c r="B886" s="27" t="s">
        <v>2129</v>
      </c>
      <c r="C886" s="27" t="s">
        <v>2130</v>
      </c>
      <c r="D886" s="27" t="s">
        <v>4888</v>
      </c>
      <c r="E886" s="27" t="s">
        <v>4889</v>
      </c>
      <c r="F886" s="27" t="s">
        <v>4890</v>
      </c>
      <c r="G886" s="28"/>
      <c r="H886" s="6" t="s">
        <v>63</v>
      </c>
      <c r="I886" s="6" t="s">
        <v>62</v>
      </c>
      <c r="J886" s="6" t="s">
        <v>63</v>
      </c>
      <c r="K886" s="6" t="s">
        <v>63</v>
      </c>
      <c r="L886" s="6" t="s">
        <v>64</v>
      </c>
      <c r="M886" s="28"/>
      <c r="N886" s="27" t="s">
        <v>4891</v>
      </c>
      <c r="O886" s="6" t="s">
        <v>2811</v>
      </c>
      <c r="P886" s="28"/>
      <c r="Q886" s="6" t="s">
        <v>67</v>
      </c>
      <c r="R886" s="6" t="s">
        <v>68</v>
      </c>
      <c r="S886" s="28"/>
      <c r="T886" s="6" t="s">
        <v>4225</v>
      </c>
      <c r="U886" s="7" t="n">
        <v>4</v>
      </c>
      <c r="V886" s="7" t="n">
        <v>4</v>
      </c>
      <c r="W886" s="8" t="s">
        <v>4892</v>
      </c>
      <c r="X886" s="8" t="s">
        <v>4892</v>
      </c>
      <c r="Y886" s="8" t="s">
        <v>4487</v>
      </c>
      <c r="Z886" s="8" t="s">
        <v>4487</v>
      </c>
      <c r="AA886" s="7" t="n">
        <v>544</v>
      </c>
      <c r="AB886" s="7" t="n">
        <v>423</v>
      </c>
      <c r="AC886" s="7" t="n">
        <v>424</v>
      </c>
      <c r="AD886" s="7" t="n">
        <v>3</v>
      </c>
      <c r="AE886" s="7" t="n">
        <v>3</v>
      </c>
      <c r="AF886" s="7" t="n">
        <v>24</v>
      </c>
      <c r="AG886" s="7" t="n">
        <v>24</v>
      </c>
      <c r="AH886" s="7" t="n">
        <v>6</v>
      </c>
      <c r="AI886" s="7" t="n">
        <v>6</v>
      </c>
      <c r="AJ886" s="7" t="n">
        <v>6</v>
      </c>
      <c r="AK886" s="7" t="n">
        <v>6</v>
      </c>
      <c r="AL886" s="7" t="n">
        <v>15</v>
      </c>
      <c r="AM886" s="7" t="n">
        <v>15</v>
      </c>
      <c r="AN886" s="7" t="n">
        <v>2</v>
      </c>
      <c r="AO886" s="7" t="n">
        <v>2</v>
      </c>
      <c r="AP886" s="7" t="n">
        <v>0</v>
      </c>
      <c r="AQ886" s="7" t="n">
        <v>0</v>
      </c>
      <c r="AR886" s="6" t="s">
        <v>63</v>
      </c>
      <c r="AS886" s="6" t="s">
        <v>63</v>
      </c>
      <c r="AT886" s="28"/>
      <c r="AU886" s="9" t="str">
        <f aca="false">HYPERLINK("https://creighton-primo.hosted.exlibrisgroup.com/primo-explore/search?tab=default_tab&amp;search_scope=EVERYTHING&amp;vid=01CRU&amp;lang=en_US&amp;offset=0&amp;query=any,contains,991001284749702656","Catalog Record")</f>
        <v>Catalog Record</v>
      </c>
      <c r="AV886" s="9" t="str">
        <f aca="false">HYPERLINK("http://www.worldcat.org/oclc/215460","WorldCat Record")</f>
        <v>WorldCat Record</v>
      </c>
      <c r="AW886" s="6" t="s">
        <v>4893</v>
      </c>
      <c r="AX886" s="6" t="s">
        <v>4894</v>
      </c>
      <c r="AY886" s="6" t="s">
        <v>4895</v>
      </c>
      <c r="AZ886" s="6" t="s">
        <v>4895</v>
      </c>
      <c r="BA886" s="6" t="s">
        <v>4896</v>
      </c>
      <c r="BB886" s="6" t="s">
        <v>4897</v>
      </c>
      <c r="BC886" s="6" t="s">
        <v>4898</v>
      </c>
      <c r="BE886" s="15" t="s">
        <v>2145</v>
      </c>
      <c r="BF886" s="6" t="s">
        <v>4899</v>
      </c>
    </row>
    <row r="887" customFormat="false" ht="117" hidden="false" customHeight="false" outlineLevel="0" collapsed="false">
      <c r="A887" s="26" t="s">
        <v>63</v>
      </c>
      <c r="B887" s="27" t="s">
        <v>2129</v>
      </c>
      <c r="C887" s="27" t="s">
        <v>2130</v>
      </c>
      <c r="D887" s="27" t="s">
        <v>4900</v>
      </c>
      <c r="E887" s="27" t="s">
        <v>4901</v>
      </c>
      <c r="F887" s="27" t="s">
        <v>4902</v>
      </c>
      <c r="G887" s="28"/>
      <c r="H887" s="6" t="s">
        <v>63</v>
      </c>
      <c r="I887" s="6" t="s">
        <v>62</v>
      </c>
      <c r="J887" s="6" t="s">
        <v>63</v>
      </c>
      <c r="K887" s="6" t="s">
        <v>63</v>
      </c>
      <c r="L887" s="6" t="s">
        <v>64</v>
      </c>
      <c r="M887" s="27" t="s">
        <v>4903</v>
      </c>
      <c r="N887" s="27" t="s">
        <v>4904</v>
      </c>
      <c r="O887" s="6" t="s">
        <v>2343</v>
      </c>
      <c r="P887" s="28"/>
      <c r="Q887" s="6" t="s">
        <v>67</v>
      </c>
      <c r="R887" s="6" t="s">
        <v>181</v>
      </c>
      <c r="S887" s="28"/>
      <c r="T887" s="6" t="s">
        <v>4225</v>
      </c>
      <c r="U887" s="7" t="n">
        <v>2</v>
      </c>
      <c r="V887" s="7" t="n">
        <v>2</v>
      </c>
      <c r="W887" s="8" t="s">
        <v>3095</v>
      </c>
      <c r="X887" s="8" t="s">
        <v>3095</v>
      </c>
      <c r="Y887" s="8" t="s">
        <v>4905</v>
      </c>
      <c r="Z887" s="8" t="s">
        <v>4905</v>
      </c>
      <c r="AA887" s="7" t="n">
        <v>509</v>
      </c>
      <c r="AB887" s="7" t="n">
        <v>366</v>
      </c>
      <c r="AC887" s="7" t="n">
        <v>369</v>
      </c>
      <c r="AD887" s="7" t="n">
        <v>3</v>
      </c>
      <c r="AE887" s="7" t="n">
        <v>3</v>
      </c>
      <c r="AF887" s="7" t="n">
        <v>18</v>
      </c>
      <c r="AG887" s="7" t="n">
        <v>18</v>
      </c>
      <c r="AH887" s="7" t="n">
        <v>5</v>
      </c>
      <c r="AI887" s="7" t="n">
        <v>5</v>
      </c>
      <c r="AJ887" s="7" t="n">
        <v>5</v>
      </c>
      <c r="AK887" s="7" t="n">
        <v>5</v>
      </c>
      <c r="AL887" s="7" t="n">
        <v>12</v>
      </c>
      <c r="AM887" s="7" t="n">
        <v>12</v>
      </c>
      <c r="AN887" s="7" t="n">
        <v>2</v>
      </c>
      <c r="AO887" s="7" t="n">
        <v>2</v>
      </c>
      <c r="AP887" s="7" t="n">
        <v>0</v>
      </c>
      <c r="AQ887" s="7" t="n">
        <v>0</v>
      </c>
      <c r="AR887" s="6" t="s">
        <v>63</v>
      </c>
      <c r="AS887" s="6" t="s">
        <v>63</v>
      </c>
      <c r="AT887" s="28"/>
      <c r="AU887" s="9" t="str">
        <f aca="false">HYPERLINK("https://creighton-primo.hosted.exlibrisgroup.com/primo-explore/search?tab=default_tab&amp;search_scope=EVERYTHING&amp;vid=01CRU&amp;lang=en_US&amp;offset=0&amp;query=any,contains,991005029449702656","Catalog Record")</f>
        <v>Catalog Record</v>
      </c>
      <c r="AV887" s="9" t="str">
        <f aca="false">HYPERLINK("http://www.worldcat.org/oclc/6708856","WorldCat Record")</f>
        <v>WorldCat Record</v>
      </c>
      <c r="AW887" s="6" t="s">
        <v>4906</v>
      </c>
      <c r="AX887" s="6" t="s">
        <v>4907</v>
      </c>
      <c r="AY887" s="6" t="s">
        <v>4908</v>
      </c>
      <c r="AZ887" s="6" t="s">
        <v>4908</v>
      </c>
      <c r="BA887" s="6" t="s">
        <v>4909</v>
      </c>
      <c r="BB887" s="6" t="s">
        <v>4910</v>
      </c>
      <c r="BC887" s="6" t="s">
        <v>4911</v>
      </c>
      <c r="BE887" s="15" t="s">
        <v>2145</v>
      </c>
      <c r="BF887" s="6" t="s">
        <v>4912</v>
      </c>
    </row>
    <row r="888" customFormat="false" ht="117" hidden="false" customHeight="false" outlineLevel="0" collapsed="false">
      <c r="A888" s="26" t="s">
        <v>63</v>
      </c>
      <c r="B888" s="27" t="s">
        <v>2129</v>
      </c>
      <c r="C888" s="27" t="s">
        <v>2130</v>
      </c>
      <c r="D888" s="27" t="s">
        <v>4913</v>
      </c>
      <c r="E888" s="27" t="s">
        <v>4914</v>
      </c>
      <c r="F888" s="27" t="s">
        <v>4915</v>
      </c>
      <c r="G888" s="28"/>
      <c r="H888" s="6" t="s">
        <v>63</v>
      </c>
      <c r="I888" s="6" t="s">
        <v>62</v>
      </c>
      <c r="J888" s="6" t="s">
        <v>63</v>
      </c>
      <c r="K888" s="6" t="s">
        <v>63</v>
      </c>
      <c r="L888" s="6" t="s">
        <v>64</v>
      </c>
      <c r="M888" s="27" t="s">
        <v>4916</v>
      </c>
      <c r="N888" s="27" t="s">
        <v>4917</v>
      </c>
      <c r="O888" s="6" t="s">
        <v>2262</v>
      </c>
      <c r="P888" s="28"/>
      <c r="Q888" s="6" t="s">
        <v>67</v>
      </c>
      <c r="R888" s="6" t="s">
        <v>68</v>
      </c>
      <c r="S888" s="28"/>
      <c r="T888" s="6" t="s">
        <v>4225</v>
      </c>
      <c r="U888" s="7" t="n">
        <v>3</v>
      </c>
      <c r="V888" s="7" t="n">
        <v>3</v>
      </c>
      <c r="W888" s="8" t="s">
        <v>4918</v>
      </c>
      <c r="X888" s="8" t="s">
        <v>4918</v>
      </c>
      <c r="Y888" s="8" t="s">
        <v>4905</v>
      </c>
      <c r="Z888" s="8" t="s">
        <v>4905</v>
      </c>
      <c r="AA888" s="7" t="n">
        <v>524</v>
      </c>
      <c r="AB888" s="7" t="n">
        <v>417</v>
      </c>
      <c r="AC888" s="7" t="n">
        <v>432</v>
      </c>
      <c r="AD888" s="7" t="n">
        <v>3</v>
      </c>
      <c r="AE888" s="7" t="n">
        <v>3</v>
      </c>
      <c r="AF888" s="7" t="n">
        <v>23</v>
      </c>
      <c r="AG888" s="7" t="n">
        <v>23</v>
      </c>
      <c r="AH888" s="7" t="n">
        <v>7</v>
      </c>
      <c r="AI888" s="7" t="n">
        <v>7</v>
      </c>
      <c r="AJ888" s="7" t="n">
        <v>7</v>
      </c>
      <c r="AK888" s="7" t="n">
        <v>7</v>
      </c>
      <c r="AL888" s="7" t="n">
        <v>14</v>
      </c>
      <c r="AM888" s="7" t="n">
        <v>14</v>
      </c>
      <c r="AN888" s="7" t="n">
        <v>2</v>
      </c>
      <c r="AO888" s="7" t="n">
        <v>2</v>
      </c>
      <c r="AP888" s="7" t="n">
        <v>0</v>
      </c>
      <c r="AQ888" s="7" t="n">
        <v>0</v>
      </c>
      <c r="AR888" s="6" t="s">
        <v>63</v>
      </c>
      <c r="AS888" s="6" t="s">
        <v>57</v>
      </c>
      <c r="AT888" s="9" t="str">
        <f aca="false">HYPERLINK("http://catalog.hathitrust.org/Record/000669314","HathiTrust Record")</f>
        <v>HathiTrust Record</v>
      </c>
      <c r="AU888" s="9" t="str">
        <f aca="false">HYPERLINK("https://creighton-primo.hosted.exlibrisgroup.com/primo-explore/search?tab=default_tab&amp;search_scope=EVERYTHING&amp;vid=01CRU&amp;lang=en_US&amp;offset=0&amp;query=any,contains,991000730969702656","Catalog Record")</f>
        <v>Catalog Record</v>
      </c>
      <c r="AV888" s="9" t="str">
        <f aca="false">HYPERLINK("http://www.worldcat.org/oclc/12724274","WorldCat Record")</f>
        <v>WorldCat Record</v>
      </c>
      <c r="AW888" s="6" t="s">
        <v>4919</v>
      </c>
      <c r="AX888" s="6" t="s">
        <v>4920</v>
      </c>
      <c r="AY888" s="6" t="s">
        <v>4921</v>
      </c>
      <c r="AZ888" s="6" t="s">
        <v>4921</v>
      </c>
      <c r="BA888" s="6" t="s">
        <v>4922</v>
      </c>
      <c r="BB888" s="6" t="s">
        <v>4923</v>
      </c>
      <c r="BC888" s="6" t="s">
        <v>4924</v>
      </c>
      <c r="BE888" s="15" t="s">
        <v>2145</v>
      </c>
      <c r="BF888" s="6" t="s">
        <v>4925</v>
      </c>
    </row>
    <row r="889" customFormat="false" ht="71" hidden="false" customHeight="false" outlineLevel="0" collapsed="false">
      <c r="A889" s="26" t="s">
        <v>57</v>
      </c>
      <c r="B889" s="27" t="s">
        <v>2129</v>
      </c>
      <c r="C889" s="27" t="s">
        <v>2130</v>
      </c>
      <c r="D889" s="27" t="s">
        <v>4926</v>
      </c>
      <c r="E889" s="27" t="s">
        <v>4927</v>
      </c>
      <c r="F889" s="27" t="s">
        <v>4928</v>
      </c>
      <c r="G889" s="28"/>
      <c r="H889" s="6" t="s">
        <v>63</v>
      </c>
      <c r="I889" s="6" t="s">
        <v>62</v>
      </c>
      <c r="J889" s="6" t="s">
        <v>63</v>
      </c>
      <c r="K889" s="6" t="s">
        <v>63</v>
      </c>
      <c r="L889" s="6" t="s">
        <v>64</v>
      </c>
      <c r="M889" s="27" t="s">
        <v>4929</v>
      </c>
      <c r="N889" s="27" t="s">
        <v>4329</v>
      </c>
      <c r="O889" s="6" t="s">
        <v>208</v>
      </c>
      <c r="P889" s="28"/>
      <c r="Q889" s="6" t="s">
        <v>67</v>
      </c>
      <c r="R889" s="6" t="s">
        <v>222</v>
      </c>
      <c r="S889" s="27" t="s">
        <v>4930</v>
      </c>
      <c r="T889" s="6" t="s">
        <v>4225</v>
      </c>
      <c r="U889" s="7" t="n">
        <v>2</v>
      </c>
      <c r="V889" s="7" t="n">
        <v>2</v>
      </c>
      <c r="W889" s="8" t="s">
        <v>4931</v>
      </c>
      <c r="X889" s="8" t="s">
        <v>4931</v>
      </c>
      <c r="Y889" s="8" t="s">
        <v>4905</v>
      </c>
      <c r="Z889" s="8" t="s">
        <v>4905</v>
      </c>
      <c r="AA889" s="7" t="n">
        <v>687</v>
      </c>
      <c r="AB889" s="7" t="n">
        <v>551</v>
      </c>
      <c r="AC889" s="7" t="n">
        <v>585</v>
      </c>
      <c r="AD889" s="7" t="n">
        <v>3</v>
      </c>
      <c r="AE889" s="7" t="n">
        <v>3</v>
      </c>
      <c r="AF889" s="7" t="n">
        <v>28</v>
      </c>
      <c r="AG889" s="7" t="n">
        <v>30</v>
      </c>
      <c r="AH889" s="7" t="n">
        <v>10</v>
      </c>
      <c r="AI889" s="7" t="n">
        <v>11</v>
      </c>
      <c r="AJ889" s="7" t="n">
        <v>5</v>
      </c>
      <c r="AK889" s="7" t="n">
        <v>5</v>
      </c>
      <c r="AL889" s="7" t="n">
        <v>11</v>
      </c>
      <c r="AM889" s="7" t="n">
        <v>12</v>
      </c>
      <c r="AN889" s="7" t="n">
        <v>2</v>
      </c>
      <c r="AO889" s="7" t="n">
        <v>2</v>
      </c>
      <c r="AP889" s="7" t="n">
        <v>5</v>
      </c>
      <c r="AQ889" s="7" t="n">
        <v>5</v>
      </c>
      <c r="AR889" s="6" t="s">
        <v>63</v>
      </c>
      <c r="AS889" s="6" t="s">
        <v>57</v>
      </c>
      <c r="AT889" s="9" t="str">
        <f aca="false">HYPERLINK("http://catalog.hathitrust.org/Record/000913160","HathiTrust Record")</f>
        <v>HathiTrust Record</v>
      </c>
      <c r="AU889" s="9" t="str">
        <f aca="false">HYPERLINK("https://creighton-primo.hosted.exlibrisgroup.com/primo-explore/search?tab=default_tab&amp;search_scope=EVERYTHING&amp;vid=01CRU&amp;lang=en_US&amp;offset=0&amp;query=any,contains,991000885279702656","Catalog Record")</f>
        <v>Catalog Record</v>
      </c>
      <c r="AV889" s="9" t="str">
        <f aca="false">HYPERLINK("http://www.worldcat.org/oclc/13860755","WorldCat Record")</f>
        <v>WorldCat Record</v>
      </c>
      <c r="AW889" s="6" t="s">
        <v>4932</v>
      </c>
      <c r="AX889" s="6" t="s">
        <v>4933</v>
      </c>
      <c r="AY889" s="6" t="s">
        <v>4934</v>
      </c>
      <c r="AZ889" s="6" t="s">
        <v>4934</v>
      </c>
      <c r="BA889" s="6" t="s">
        <v>4935</v>
      </c>
      <c r="BB889" s="6" t="s">
        <v>4936</v>
      </c>
      <c r="BC889" s="6" t="s">
        <v>4937</v>
      </c>
      <c r="BE889" s="15" t="s">
        <v>2145</v>
      </c>
      <c r="BF889" s="6" t="s">
        <v>4938</v>
      </c>
    </row>
    <row r="890" customFormat="false" ht="117" hidden="false" customHeight="false" outlineLevel="0" collapsed="false">
      <c r="A890" s="26" t="s">
        <v>63</v>
      </c>
      <c r="B890" s="27" t="s">
        <v>2129</v>
      </c>
      <c r="C890" s="27" t="s">
        <v>2130</v>
      </c>
      <c r="D890" s="27" t="s">
        <v>4939</v>
      </c>
      <c r="E890" s="27" t="s">
        <v>4940</v>
      </c>
      <c r="F890" s="27" t="s">
        <v>4941</v>
      </c>
      <c r="G890" s="6" t="s">
        <v>498</v>
      </c>
      <c r="H890" s="6" t="s">
        <v>57</v>
      </c>
      <c r="I890" s="6" t="s">
        <v>62</v>
      </c>
      <c r="J890" s="6" t="s">
        <v>63</v>
      </c>
      <c r="K890" s="6" t="s">
        <v>63</v>
      </c>
      <c r="L890" s="6" t="s">
        <v>64</v>
      </c>
      <c r="M890" s="27" t="s">
        <v>4942</v>
      </c>
      <c r="N890" s="27" t="s">
        <v>4943</v>
      </c>
      <c r="O890" s="6" t="s">
        <v>4223</v>
      </c>
      <c r="P890" s="27" t="s">
        <v>4944</v>
      </c>
      <c r="Q890" s="6" t="s">
        <v>4945</v>
      </c>
      <c r="R890" s="6" t="s">
        <v>4946</v>
      </c>
      <c r="S890" s="28"/>
      <c r="T890" s="6" t="s">
        <v>4225</v>
      </c>
      <c r="U890" s="7" t="n">
        <v>3</v>
      </c>
      <c r="V890" s="7" t="n">
        <v>9</v>
      </c>
      <c r="W890" s="8" t="s">
        <v>4947</v>
      </c>
      <c r="X890" s="8" t="s">
        <v>4947</v>
      </c>
      <c r="Y890" s="8" t="s">
        <v>4948</v>
      </c>
      <c r="Z890" s="8" t="s">
        <v>4948</v>
      </c>
      <c r="AA890" s="7" t="n">
        <v>11</v>
      </c>
      <c r="AB890" s="7" t="n">
        <v>10</v>
      </c>
      <c r="AC890" s="7" t="n">
        <v>185</v>
      </c>
      <c r="AD890" s="7" t="n">
        <v>1</v>
      </c>
      <c r="AE890" s="7" t="n">
        <v>3</v>
      </c>
      <c r="AF890" s="7" t="n">
        <v>0</v>
      </c>
      <c r="AG890" s="7" t="n">
        <v>25</v>
      </c>
      <c r="AH890" s="7" t="n">
        <v>0</v>
      </c>
      <c r="AI890" s="7" t="n">
        <v>7</v>
      </c>
      <c r="AJ890" s="7" t="n">
        <v>0</v>
      </c>
      <c r="AK890" s="7" t="n">
        <v>7</v>
      </c>
      <c r="AL890" s="7" t="n">
        <v>0</v>
      </c>
      <c r="AM890" s="7" t="n">
        <v>22</v>
      </c>
      <c r="AN890" s="7" t="n">
        <v>0</v>
      </c>
      <c r="AO890" s="7" t="n">
        <v>0</v>
      </c>
      <c r="AP890" s="7" t="n">
        <v>0</v>
      </c>
      <c r="AQ890" s="7" t="n">
        <v>0</v>
      </c>
      <c r="AR890" s="6" t="s">
        <v>63</v>
      </c>
      <c r="AS890" s="6" t="s">
        <v>63</v>
      </c>
      <c r="AT890" s="28"/>
      <c r="AU890" s="9" t="str">
        <f aca="false">HYPERLINK("https://creighton-primo.hosted.exlibrisgroup.com/primo-explore/search?tab=default_tab&amp;search_scope=EVERYTHING&amp;vid=01CRU&amp;lang=en_US&amp;offset=0&amp;query=any,contains,991000088079702656","Catalog Record")</f>
        <v>Catalog Record</v>
      </c>
      <c r="AV890" s="9" t="str">
        <f aca="false">HYPERLINK("http://www.worldcat.org/oclc/8869571","WorldCat Record")</f>
        <v>WorldCat Record</v>
      </c>
      <c r="AW890" s="6" t="s">
        <v>4949</v>
      </c>
      <c r="AX890" s="6" t="s">
        <v>4950</v>
      </c>
      <c r="AY890" s="6" t="s">
        <v>4951</v>
      </c>
      <c r="AZ890" s="6" t="s">
        <v>4951</v>
      </c>
      <c r="BA890" s="6" t="s">
        <v>4952</v>
      </c>
      <c r="BB890" s="28"/>
      <c r="BC890" s="6" t="s">
        <v>4953</v>
      </c>
      <c r="BE890" s="15" t="s">
        <v>2145</v>
      </c>
      <c r="BF890" s="6" t="s">
        <v>4954</v>
      </c>
    </row>
    <row r="891" customFormat="false" ht="117" hidden="false" customHeight="false" outlineLevel="0" collapsed="false">
      <c r="A891" s="26" t="s">
        <v>63</v>
      </c>
      <c r="B891" s="27" t="s">
        <v>2129</v>
      </c>
      <c r="C891" s="27" t="s">
        <v>2130</v>
      </c>
      <c r="D891" s="27" t="s">
        <v>4939</v>
      </c>
      <c r="E891" s="27" t="s">
        <v>4940</v>
      </c>
      <c r="F891" s="27" t="s">
        <v>4941</v>
      </c>
      <c r="G891" s="6" t="s">
        <v>502</v>
      </c>
      <c r="H891" s="6" t="s">
        <v>57</v>
      </c>
      <c r="I891" s="6" t="s">
        <v>62</v>
      </c>
      <c r="J891" s="6" t="s">
        <v>63</v>
      </c>
      <c r="K891" s="6" t="s">
        <v>63</v>
      </c>
      <c r="L891" s="6" t="s">
        <v>64</v>
      </c>
      <c r="M891" s="27" t="s">
        <v>4942</v>
      </c>
      <c r="N891" s="27" t="s">
        <v>4943</v>
      </c>
      <c r="O891" s="6" t="s">
        <v>4223</v>
      </c>
      <c r="P891" s="27" t="s">
        <v>4944</v>
      </c>
      <c r="Q891" s="6" t="s">
        <v>4945</v>
      </c>
      <c r="R891" s="6" t="s">
        <v>4946</v>
      </c>
      <c r="S891" s="28"/>
      <c r="T891" s="6" t="s">
        <v>4225</v>
      </c>
      <c r="U891" s="7" t="n">
        <v>6</v>
      </c>
      <c r="V891" s="7" t="n">
        <v>9</v>
      </c>
      <c r="W891" s="8" t="s">
        <v>4947</v>
      </c>
      <c r="X891" s="8" t="s">
        <v>4947</v>
      </c>
      <c r="Y891" s="8" t="s">
        <v>4948</v>
      </c>
      <c r="Z891" s="8" t="s">
        <v>4948</v>
      </c>
      <c r="AA891" s="7" t="n">
        <v>11</v>
      </c>
      <c r="AB891" s="7" t="n">
        <v>10</v>
      </c>
      <c r="AC891" s="7" t="n">
        <v>185</v>
      </c>
      <c r="AD891" s="7" t="n">
        <v>1</v>
      </c>
      <c r="AE891" s="7" t="n">
        <v>3</v>
      </c>
      <c r="AF891" s="7" t="n">
        <v>0</v>
      </c>
      <c r="AG891" s="7" t="n">
        <v>25</v>
      </c>
      <c r="AH891" s="7" t="n">
        <v>0</v>
      </c>
      <c r="AI891" s="7" t="n">
        <v>7</v>
      </c>
      <c r="AJ891" s="7" t="n">
        <v>0</v>
      </c>
      <c r="AK891" s="7" t="n">
        <v>7</v>
      </c>
      <c r="AL891" s="7" t="n">
        <v>0</v>
      </c>
      <c r="AM891" s="7" t="n">
        <v>22</v>
      </c>
      <c r="AN891" s="7" t="n">
        <v>0</v>
      </c>
      <c r="AO891" s="7" t="n">
        <v>0</v>
      </c>
      <c r="AP891" s="7" t="n">
        <v>0</v>
      </c>
      <c r="AQ891" s="7" t="n">
        <v>0</v>
      </c>
      <c r="AR891" s="6" t="s">
        <v>63</v>
      </c>
      <c r="AS891" s="6" t="s">
        <v>63</v>
      </c>
      <c r="AT891" s="28"/>
      <c r="AU891" s="9" t="str">
        <f aca="false">HYPERLINK("https://creighton-primo.hosted.exlibrisgroup.com/primo-explore/search?tab=default_tab&amp;search_scope=EVERYTHING&amp;vid=01CRU&amp;lang=en_US&amp;offset=0&amp;query=any,contains,991000088079702656","Catalog Record")</f>
        <v>Catalog Record</v>
      </c>
      <c r="AV891" s="9" t="str">
        <f aca="false">HYPERLINK("http://www.worldcat.org/oclc/8869571","WorldCat Record")</f>
        <v>WorldCat Record</v>
      </c>
      <c r="AW891" s="6" t="s">
        <v>4949</v>
      </c>
      <c r="AX891" s="6" t="s">
        <v>4950</v>
      </c>
      <c r="AY891" s="6" t="s">
        <v>4951</v>
      </c>
      <c r="AZ891" s="6" t="s">
        <v>4951</v>
      </c>
      <c r="BA891" s="6" t="s">
        <v>4952</v>
      </c>
      <c r="BB891" s="28"/>
      <c r="BC891" s="6" t="s">
        <v>4955</v>
      </c>
      <c r="BE891" s="15" t="s">
        <v>2145</v>
      </c>
      <c r="BF891" s="6" t="s">
        <v>4956</v>
      </c>
    </row>
    <row r="892" customFormat="false" ht="186" hidden="false" customHeight="false" outlineLevel="0" collapsed="false">
      <c r="A892" s="26" t="s">
        <v>63</v>
      </c>
      <c r="B892" s="27" t="s">
        <v>2129</v>
      </c>
      <c r="C892" s="27" t="s">
        <v>2130</v>
      </c>
      <c r="D892" s="27" t="s">
        <v>4957</v>
      </c>
      <c r="E892" s="27" t="s">
        <v>4958</v>
      </c>
      <c r="F892" s="27" t="s">
        <v>4959</v>
      </c>
      <c r="G892" s="28"/>
      <c r="H892" s="6" t="s">
        <v>57</v>
      </c>
      <c r="I892" s="6" t="s">
        <v>62</v>
      </c>
      <c r="J892" s="6" t="s">
        <v>57</v>
      </c>
      <c r="K892" s="6" t="s">
        <v>63</v>
      </c>
      <c r="L892" s="6" t="s">
        <v>64</v>
      </c>
      <c r="M892" s="27" t="s">
        <v>4960</v>
      </c>
      <c r="N892" s="27" t="s">
        <v>4961</v>
      </c>
      <c r="O892" s="6" t="s">
        <v>3635</v>
      </c>
      <c r="P892" s="28"/>
      <c r="Q892" s="6" t="s">
        <v>4945</v>
      </c>
      <c r="R892" s="6" t="s">
        <v>671</v>
      </c>
      <c r="S892" s="28"/>
      <c r="T892" s="6" t="s">
        <v>4225</v>
      </c>
      <c r="U892" s="7" t="n">
        <v>1</v>
      </c>
      <c r="V892" s="7" t="n">
        <v>4</v>
      </c>
      <c r="W892" s="8" t="s">
        <v>4962</v>
      </c>
      <c r="X892" s="8" t="s">
        <v>4962</v>
      </c>
      <c r="Y892" s="8" t="s">
        <v>4948</v>
      </c>
      <c r="Z892" s="8" t="s">
        <v>4948</v>
      </c>
      <c r="AA892" s="7" t="n">
        <v>37</v>
      </c>
      <c r="AB892" s="7" t="n">
        <v>30</v>
      </c>
      <c r="AC892" s="7" t="n">
        <v>45</v>
      </c>
      <c r="AD892" s="7" t="n">
        <v>2</v>
      </c>
      <c r="AE892" s="7" t="n">
        <v>2</v>
      </c>
      <c r="AF892" s="7" t="n">
        <v>7</v>
      </c>
      <c r="AG892" s="7" t="n">
        <v>10</v>
      </c>
      <c r="AH892" s="7" t="n">
        <v>1</v>
      </c>
      <c r="AI892" s="7" t="n">
        <v>1</v>
      </c>
      <c r="AJ892" s="7" t="n">
        <v>5</v>
      </c>
      <c r="AK892" s="7" t="n">
        <v>6</v>
      </c>
      <c r="AL892" s="7" t="n">
        <v>5</v>
      </c>
      <c r="AM892" s="7" t="n">
        <v>7</v>
      </c>
      <c r="AN892" s="7" t="n">
        <v>0</v>
      </c>
      <c r="AO892" s="7" t="n">
        <v>0</v>
      </c>
      <c r="AP892" s="7" t="n">
        <v>0</v>
      </c>
      <c r="AQ892" s="7" t="n">
        <v>0</v>
      </c>
      <c r="AR892" s="6" t="s">
        <v>63</v>
      </c>
      <c r="AS892" s="6" t="s">
        <v>63</v>
      </c>
      <c r="AT892" s="28"/>
      <c r="AU892" s="9" t="str">
        <f aca="false">HYPERLINK("https://creighton-primo.hosted.exlibrisgroup.com/primo-explore/search?tab=default_tab&amp;search_scope=EVERYTHING&amp;vid=01CRU&amp;lang=en_US&amp;offset=0&amp;query=any,contains,991000896409702656","Catalog Record")</f>
        <v>Catalog Record</v>
      </c>
      <c r="AV892" s="9" t="str">
        <f aca="false">HYPERLINK("http://www.worldcat.org/oclc/13988934","WorldCat Record")</f>
        <v>WorldCat Record</v>
      </c>
      <c r="AW892" s="6" t="s">
        <v>4963</v>
      </c>
      <c r="AX892" s="6" t="s">
        <v>4964</v>
      </c>
      <c r="AY892" s="6" t="s">
        <v>4965</v>
      </c>
      <c r="AZ892" s="6" t="s">
        <v>4965</v>
      </c>
      <c r="BA892" s="6" t="s">
        <v>4966</v>
      </c>
      <c r="BB892" s="28"/>
      <c r="BC892" s="6" t="s">
        <v>4967</v>
      </c>
      <c r="BE892" s="15" t="s">
        <v>2145</v>
      </c>
      <c r="BF892" s="6" t="s">
        <v>4968</v>
      </c>
    </row>
    <row r="893" customFormat="false" ht="186" hidden="false" customHeight="false" outlineLevel="0" collapsed="false">
      <c r="A893" s="26" t="s">
        <v>63</v>
      </c>
      <c r="B893" s="27" t="s">
        <v>2129</v>
      </c>
      <c r="C893" s="27" t="s">
        <v>2130</v>
      </c>
      <c r="D893" s="27" t="s">
        <v>4969</v>
      </c>
      <c r="E893" s="27" t="s">
        <v>4970</v>
      </c>
      <c r="F893" s="27" t="s">
        <v>4959</v>
      </c>
      <c r="G893" s="6" t="s">
        <v>4971</v>
      </c>
      <c r="H893" s="6" t="s">
        <v>57</v>
      </c>
      <c r="I893" s="6" t="s">
        <v>62</v>
      </c>
      <c r="J893" s="6" t="s">
        <v>63</v>
      </c>
      <c r="K893" s="6" t="s">
        <v>63</v>
      </c>
      <c r="L893" s="6" t="s">
        <v>64</v>
      </c>
      <c r="M893" s="27" t="s">
        <v>4960</v>
      </c>
      <c r="N893" s="27" t="s">
        <v>4961</v>
      </c>
      <c r="O893" s="6" t="s">
        <v>3635</v>
      </c>
      <c r="P893" s="28"/>
      <c r="Q893" s="6" t="s">
        <v>4945</v>
      </c>
      <c r="R893" s="6" t="s">
        <v>671</v>
      </c>
      <c r="S893" s="28"/>
      <c r="T893" s="6" t="s">
        <v>4225</v>
      </c>
      <c r="U893" s="7" t="n">
        <v>1</v>
      </c>
      <c r="V893" s="7" t="n">
        <v>4</v>
      </c>
      <c r="W893" s="8" t="s">
        <v>4962</v>
      </c>
      <c r="X893" s="8" t="s">
        <v>4962</v>
      </c>
      <c r="Y893" s="8" t="s">
        <v>4948</v>
      </c>
      <c r="Z893" s="8" t="s">
        <v>4948</v>
      </c>
      <c r="AA893" s="7" t="n">
        <v>37</v>
      </c>
      <c r="AB893" s="7" t="n">
        <v>30</v>
      </c>
      <c r="AC893" s="7" t="n">
        <v>45</v>
      </c>
      <c r="AD893" s="7" t="n">
        <v>2</v>
      </c>
      <c r="AE893" s="7" t="n">
        <v>2</v>
      </c>
      <c r="AF893" s="7" t="n">
        <v>7</v>
      </c>
      <c r="AG893" s="7" t="n">
        <v>10</v>
      </c>
      <c r="AH893" s="7" t="n">
        <v>1</v>
      </c>
      <c r="AI893" s="7" t="n">
        <v>1</v>
      </c>
      <c r="AJ893" s="7" t="n">
        <v>5</v>
      </c>
      <c r="AK893" s="7" t="n">
        <v>6</v>
      </c>
      <c r="AL893" s="7" t="n">
        <v>5</v>
      </c>
      <c r="AM893" s="7" t="n">
        <v>7</v>
      </c>
      <c r="AN893" s="7" t="n">
        <v>0</v>
      </c>
      <c r="AO893" s="7" t="n">
        <v>0</v>
      </c>
      <c r="AP893" s="7" t="n">
        <v>0</v>
      </c>
      <c r="AQ893" s="7" t="n">
        <v>0</v>
      </c>
      <c r="AR893" s="6" t="s">
        <v>63</v>
      </c>
      <c r="AS893" s="6" t="s">
        <v>63</v>
      </c>
      <c r="AT893" s="28"/>
      <c r="AU893" s="9" t="str">
        <f aca="false">HYPERLINK("https://creighton-primo.hosted.exlibrisgroup.com/primo-explore/search?tab=default_tab&amp;search_scope=EVERYTHING&amp;vid=01CRU&amp;lang=en_US&amp;offset=0&amp;query=any,contains,991000896409702656","Catalog Record")</f>
        <v>Catalog Record</v>
      </c>
      <c r="AV893" s="9" t="str">
        <f aca="false">HYPERLINK("http://www.worldcat.org/oclc/13988934","WorldCat Record")</f>
        <v>WorldCat Record</v>
      </c>
      <c r="AW893" s="6" t="s">
        <v>4963</v>
      </c>
      <c r="AX893" s="6" t="s">
        <v>4964</v>
      </c>
      <c r="AY893" s="6" t="s">
        <v>4965</v>
      </c>
      <c r="AZ893" s="6" t="s">
        <v>4965</v>
      </c>
      <c r="BA893" s="6" t="s">
        <v>4966</v>
      </c>
      <c r="BB893" s="28"/>
      <c r="BC893" s="6" t="s">
        <v>4972</v>
      </c>
      <c r="BE893" s="15" t="s">
        <v>2145</v>
      </c>
      <c r="BF893" s="6" t="s">
        <v>4973</v>
      </c>
    </row>
    <row r="894" customFormat="false" ht="186" hidden="false" customHeight="false" outlineLevel="0" collapsed="false">
      <c r="A894" s="26" t="s">
        <v>63</v>
      </c>
      <c r="B894" s="27" t="s">
        <v>2129</v>
      </c>
      <c r="C894" s="27" t="s">
        <v>2130</v>
      </c>
      <c r="D894" s="27" t="s">
        <v>4974</v>
      </c>
      <c r="E894" s="27" t="s">
        <v>4975</v>
      </c>
      <c r="F894" s="27" t="s">
        <v>4959</v>
      </c>
      <c r="G894" s="6" t="s">
        <v>4976</v>
      </c>
      <c r="H894" s="6" t="s">
        <v>57</v>
      </c>
      <c r="I894" s="6" t="s">
        <v>62</v>
      </c>
      <c r="J894" s="6" t="s">
        <v>63</v>
      </c>
      <c r="K894" s="6" t="s">
        <v>63</v>
      </c>
      <c r="L894" s="6" t="s">
        <v>64</v>
      </c>
      <c r="M894" s="27" t="s">
        <v>4960</v>
      </c>
      <c r="N894" s="27" t="s">
        <v>4961</v>
      </c>
      <c r="O894" s="6" t="s">
        <v>3635</v>
      </c>
      <c r="P894" s="28"/>
      <c r="Q894" s="6" t="s">
        <v>4945</v>
      </c>
      <c r="R894" s="6" t="s">
        <v>671</v>
      </c>
      <c r="S894" s="28"/>
      <c r="T894" s="6" t="s">
        <v>4225</v>
      </c>
      <c r="U894" s="7" t="n">
        <v>1</v>
      </c>
      <c r="V894" s="7" t="n">
        <v>4</v>
      </c>
      <c r="W894" s="8" t="s">
        <v>4962</v>
      </c>
      <c r="X894" s="8" t="s">
        <v>4962</v>
      </c>
      <c r="Y894" s="8" t="s">
        <v>4948</v>
      </c>
      <c r="Z894" s="8" t="s">
        <v>4948</v>
      </c>
      <c r="AA894" s="7" t="n">
        <v>37</v>
      </c>
      <c r="AB894" s="7" t="n">
        <v>30</v>
      </c>
      <c r="AC894" s="7" t="n">
        <v>45</v>
      </c>
      <c r="AD894" s="7" t="n">
        <v>2</v>
      </c>
      <c r="AE894" s="7" t="n">
        <v>2</v>
      </c>
      <c r="AF894" s="7" t="n">
        <v>7</v>
      </c>
      <c r="AG894" s="7" t="n">
        <v>10</v>
      </c>
      <c r="AH894" s="7" t="n">
        <v>1</v>
      </c>
      <c r="AI894" s="7" t="n">
        <v>1</v>
      </c>
      <c r="AJ894" s="7" t="n">
        <v>5</v>
      </c>
      <c r="AK894" s="7" t="n">
        <v>6</v>
      </c>
      <c r="AL894" s="7" t="n">
        <v>5</v>
      </c>
      <c r="AM894" s="7" t="n">
        <v>7</v>
      </c>
      <c r="AN894" s="7" t="n">
        <v>0</v>
      </c>
      <c r="AO894" s="7" t="n">
        <v>0</v>
      </c>
      <c r="AP894" s="7" t="n">
        <v>0</v>
      </c>
      <c r="AQ894" s="7" t="n">
        <v>0</v>
      </c>
      <c r="AR894" s="6" t="s">
        <v>63</v>
      </c>
      <c r="AS894" s="6" t="s">
        <v>63</v>
      </c>
      <c r="AT894" s="28"/>
      <c r="AU894" s="9" t="str">
        <f aca="false">HYPERLINK("https://creighton-primo.hosted.exlibrisgroup.com/primo-explore/search?tab=default_tab&amp;search_scope=EVERYTHING&amp;vid=01CRU&amp;lang=en_US&amp;offset=0&amp;query=any,contains,991000896409702656","Catalog Record")</f>
        <v>Catalog Record</v>
      </c>
      <c r="AV894" s="9" t="str">
        <f aca="false">HYPERLINK("http://www.worldcat.org/oclc/13988934","WorldCat Record")</f>
        <v>WorldCat Record</v>
      </c>
      <c r="AW894" s="6" t="s">
        <v>4963</v>
      </c>
      <c r="AX894" s="6" t="s">
        <v>4964</v>
      </c>
      <c r="AY894" s="6" t="s">
        <v>4965</v>
      </c>
      <c r="AZ894" s="6" t="s">
        <v>4965</v>
      </c>
      <c r="BA894" s="6" t="s">
        <v>4966</v>
      </c>
      <c r="BB894" s="28"/>
      <c r="BC894" s="6" t="s">
        <v>4977</v>
      </c>
      <c r="BE894" s="15" t="s">
        <v>2145</v>
      </c>
      <c r="BF894" s="6" t="s">
        <v>4978</v>
      </c>
    </row>
    <row r="895" customFormat="false" ht="186" hidden="false" customHeight="false" outlineLevel="0" collapsed="false">
      <c r="A895" s="26" t="s">
        <v>63</v>
      </c>
      <c r="B895" s="27" t="s">
        <v>2129</v>
      </c>
      <c r="C895" s="27" t="s">
        <v>2130</v>
      </c>
      <c r="D895" s="27" t="s">
        <v>4979</v>
      </c>
      <c r="E895" s="27" t="s">
        <v>4980</v>
      </c>
      <c r="F895" s="27" t="s">
        <v>4959</v>
      </c>
      <c r="G895" s="6" t="s">
        <v>4981</v>
      </c>
      <c r="H895" s="6" t="s">
        <v>57</v>
      </c>
      <c r="I895" s="6" t="s">
        <v>62</v>
      </c>
      <c r="J895" s="6" t="s">
        <v>63</v>
      </c>
      <c r="K895" s="6" t="s">
        <v>63</v>
      </c>
      <c r="L895" s="6" t="s">
        <v>64</v>
      </c>
      <c r="M895" s="27" t="s">
        <v>4960</v>
      </c>
      <c r="N895" s="27" t="s">
        <v>4961</v>
      </c>
      <c r="O895" s="6" t="s">
        <v>3635</v>
      </c>
      <c r="P895" s="28"/>
      <c r="Q895" s="6" t="s">
        <v>4945</v>
      </c>
      <c r="R895" s="6" t="s">
        <v>671</v>
      </c>
      <c r="S895" s="28"/>
      <c r="T895" s="6" t="s">
        <v>4225</v>
      </c>
      <c r="U895" s="7" t="n">
        <v>1</v>
      </c>
      <c r="V895" s="7" t="n">
        <v>4</v>
      </c>
      <c r="W895" s="8" t="s">
        <v>4962</v>
      </c>
      <c r="X895" s="8" t="s">
        <v>4962</v>
      </c>
      <c r="Y895" s="8" t="s">
        <v>4948</v>
      </c>
      <c r="Z895" s="8" t="s">
        <v>4948</v>
      </c>
      <c r="AA895" s="7" t="n">
        <v>37</v>
      </c>
      <c r="AB895" s="7" t="n">
        <v>30</v>
      </c>
      <c r="AC895" s="7" t="n">
        <v>45</v>
      </c>
      <c r="AD895" s="7" t="n">
        <v>2</v>
      </c>
      <c r="AE895" s="7" t="n">
        <v>2</v>
      </c>
      <c r="AF895" s="7" t="n">
        <v>7</v>
      </c>
      <c r="AG895" s="7" t="n">
        <v>10</v>
      </c>
      <c r="AH895" s="7" t="n">
        <v>1</v>
      </c>
      <c r="AI895" s="7" t="n">
        <v>1</v>
      </c>
      <c r="AJ895" s="7" t="n">
        <v>5</v>
      </c>
      <c r="AK895" s="7" t="n">
        <v>6</v>
      </c>
      <c r="AL895" s="7" t="n">
        <v>5</v>
      </c>
      <c r="AM895" s="7" t="n">
        <v>7</v>
      </c>
      <c r="AN895" s="7" t="n">
        <v>0</v>
      </c>
      <c r="AO895" s="7" t="n">
        <v>0</v>
      </c>
      <c r="AP895" s="7" t="n">
        <v>0</v>
      </c>
      <c r="AQ895" s="7" t="n">
        <v>0</v>
      </c>
      <c r="AR895" s="6" t="s">
        <v>63</v>
      </c>
      <c r="AS895" s="6" t="s">
        <v>63</v>
      </c>
      <c r="AT895" s="28"/>
      <c r="AU895" s="9" t="str">
        <f aca="false">HYPERLINK("https://creighton-primo.hosted.exlibrisgroup.com/primo-explore/search?tab=default_tab&amp;search_scope=EVERYTHING&amp;vid=01CRU&amp;lang=en_US&amp;offset=0&amp;query=any,contains,991000896409702656","Catalog Record")</f>
        <v>Catalog Record</v>
      </c>
      <c r="AV895" s="9" t="str">
        <f aca="false">HYPERLINK("http://www.worldcat.org/oclc/13988934","WorldCat Record")</f>
        <v>WorldCat Record</v>
      </c>
      <c r="AW895" s="6" t="s">
        <v>4963</v>
      </c>
      <c r="AX895" s="6" t="s">
        <v>4964</v>
      </c>
      <c r="AY895" s="6" t="s">
        <v>4965</v>
      </c>
      <c r="AZ895" s="6" t="s">
        <v>4965</v>
      </c>
      <c r="BA895" s="6" t="s">
        <v>4966</v>
      </c>
      <c r="BB895" s="28"/>
      <c r="BC895" s="6" t="s">
        <v>4982</v>
      </c>
      <c r="BE895" s="15" t="s">
        <v>2145</v>
      </c>
      <c r="BF895" s="6" t="s">
        <v>4983</v>
      </c>
    </row>
    <row r="896" customFormat="false" ht="105.5" hidden="false" customHeight="false" outlineLevel="0" collapsed="false">
      <c r="A896" s="26" t="s">
        <v>63</v>
      </c>
      <c r="B896" s="27" t="s">
        <v>2129</v>
      </c>
      <c r="C896" s="27" t="s">
        <v>2130</v>
      </c>
      <c r="D896" s="27" t="s">
        <v>4984</v>
      </c>
      <c r="E896" s="27" t="s">
        <v>4985</v>
      </c>
      <c r="F896" s="27" t="s">
        <v>4986</v>
      </c>
      <c r="G896" s="28"/>
      <c r="H896" s="6" t="s">
        <v>63</v>
      </c>
      <c r="I896" s="6" t="s">
        <v>62</v>
      </c>
      <c r="J896" s="6" t="s">
        <v>63</v>
      </c>
      <c r="K896" s="6" t="s">
        <v>63</v>
      </c>
      <c r="L896" s="6" t="s">
        <v>64</v>
      </c>
      <c r="M896" s="27" t="s">
        <v>4987</v>
      </c>
      <c r="N896" s="27" t="s">
        <v>4988</v>
      </c>
      <c r="O896" s="6" t="s">
        <v>246</v>
      </c>
      <c r="P896" s="28"/>
      <c r="Q896" s="6" t="s">
        <v>67</v>
      </c>
      <c r="R896" s="6" t="s">
        <v>68</v>
      </c>
      <c r="S896" s="28"/>
      <c r="T896" s="6" t="s">
        <v>4225</v>
      </c>
      <c r="U896" s="7" t="n">
        <v>3</v>
      </c>
      <c r="V896" s="7" t="n">
        <v>3</v>
      </c>
      <c r="W896" s="8" t="s">
        <v>4989</v>
      </c>
      <c r="X896" s="8" t="s">
        <v>4989</v>
      </c>
      <c r="Y896" s="8" t="s">
        <v>4905</v>
      </c>
      <c r="Z896" s="8" t="s">
        <v>4905</v>
      </c>
      <c r="AA896" s="7" t="n">
        <v>224</v>
      </c>
      <c r="AB896" s="7" t="n">
        <v>201</v>
      </c>
      <c r="AC896" s="7" t="n">
        <v>201</v>
      </c>
      <c r="AD896" s="7" t="n">
        <v>3</v>
      </c>
      <c r="AE896" s="7" t="n">
        <v>3</v>
      </c>
      <c r="AF896" s="7" t="n">
        <v>13</v>
      </c>
      <c r="AG896" s="7" t="n">
        <v>13</v>
      </c>
      <c r="AH896" s="7" t="n">
        <v>3</v>
      </c>
      <c r="AI896" s="7" t="n">
        <v>3</v>
      </c>
      <c r="AJ896" s="7" t="n">
        <v>3</v>
      </c>
      <c r="AK896" s="7" t="n">
        <v>3</v>
      </c>
      <c r="AL896" s="7" t="n">
        <v>9</v>
      </c>
      <c r="AM896" s="7" t="n">
        <v>9</v>
      </c>
      <c r="AN896" s="7" t="n">
        <v>2</v>
      </c>
      <c r="AO896" s="7" t="n">
        <v>2</v>
      </c>
      <c r="AP896" s="7" t="n">
        <v>0</v>
      </c>
      <c r="AQ896" s="7" t="n">
        <v>0</v>
      </c>
      <c r="AR896" s="6" t="s">
        <v>63</v>
      </c>
      <c r="AS896" s="6" t="s">
        <v>63</v>
      </c>
      <c r="AT896" s="28"/>
      <c r="AU896" s="9" t="str">
        <f aca="false">HYPERLINK("https://creighton-primo.hosted.exlibrisgroup.com/primo-explore/search?tab=default_tab&amp;search_scope=EVERYTHING&amp;vid=01CRU&amp;lang=en_US&amp;offset=0&amp;query=any,contains,991004817699702656","Catalog Record")</f>
        <v>Catalog Record</v>
      </c>
      <c r="AV896" s="9" t="str">
        <f aca="false">HYPERLINK("http://www.worldcat.org/oclc/5311028","WorldCat Record")</f>
        <v>WorldCat Record</v>
      </c>
      <c r="AW896" s="6" t="s">
        <v>4990</v>
      </c>
      <c r="AX896" s="6" t="s">
        <v>4991</v>
      </c>
      <c r="AY896" s="6" t="s">
        <v>4992</v>
      </c>
      <c r="AZ896" s="6" t="s">
        <v>4992</v>
      </c>
      <c r="BA896" s="6" t="s">
        <v>4993</v>
      </c>
      <c r="BB896" s="6" t="s">
        <v>4994</v>
      </c>
      <c r="BC896" s="6" t="s">
        <v>4995</v>
      </c>
      <c r="BE896" s="15" t="s">
        <v>2145</v>
      </c>
      <c r="BF896" s="6" t="s">
        <v>4996</v>
      </c>
    </row>
    <row r="897" customFormat="false" ht="94" hidden="false" customHeight="false" outlineLevel="0" collapsed="false">
      <c r="A897" s="26" t="s">
        <v>63</v>
      </c>
      <c r="B897" s="27" t="s">
        <v>2129</v>
      </c>
      <c r="C897" s="27" t="s">
        <v>2130</v>
      </c>
      <c r="D897" s="27" t="s">
        <v>4997</v>
      </c>
      <c r="E897" s="27" t="s">
        <v>4998</v>
      </c>
      <c r="F897" s="27" t="s">
        <v>4999</v>
      </c>
      <c r="G897" s="28"/>
      <c r="H897" s="6" t="s">
        <v>63</v>
      </c>
      <c r="I897" s="6" t="s">
        <v>62</v>
      </c>
      <c r="J897" s="6" t="s">
        <v>57</v>
      </c>
      <c r="K897" s="6" t="s">
        <v>57</v>
      </c>
      <c r="L897" s="6" t="s">
        <v>64</v>
      </c>
      <c r="M897" s="27" t="s">
        <v>5000</v>
      </c>
      <c r="N897" s="27" t="s">
        <v>5001</v>
      </c>
      <c r="O897" s="6" t="s">
        <v>2136</v>
      </c>
      <c r="P897" s="28"/>
      <c r="Q897" s="6" t="s">
        <v>67</v>
      </c>
      <c r="R897" s="6" t="s">
        <v>367</v>
      </c>
      <c r="S897" s="28"/>
      <c r="T897" s="6" t="s">
        <v>4225</v>
      </c>
      <c r="U897" s="7" t="n">
        <v>2</v>
      </c>
      <c r="V897" s="7" t="n">
        <v>4</v>
      </c>
      <c r="W897" s="8" t="s">
        <v>5002</v>
      </c>
      <c r="X897" s="8" t="s">
        <v>5003</v>
      </c>
      <c r="Y897" s="8" t="s">
        <v>4639</v>
      </c>
      <c r="Z897" s="8" t="s">
        <v>4639</v>
      </c>
      <c r="AA897" s="7" t="n">
        <v>342</v>
      </c>
      <c r="AB897" s="7" t="n">
        <v>296</v>
      </c>
      <c r="AC897" s="7" t="n">
        <v>684</v>
      </c>
      <c r="AD897" s="7" t="n">
        <v>3</v>
      </c>
      <c r="AE897" s="7" t="n">
        <v>5</v>
      </c>
      <c r="AF897" s="7" t="n">
        <v>24</v>
      </c>
      <c r="AG897" s="7" t="n">
        <v>44</v>
      </c>
      <c r="AH897" s="7" t="n">
        <v>6</v>
      </c>
      <c r="AI897" s="7" t="n">
        <v>16</v>
      </c>
      <c r="AJ897" s="7" t="n">
        <v>7</v>
      </c>
      <c r="AK897" s="7" t="n">
        <v>10</v>
      </c>
      <c r="AL897" s="7" t="n">
        <v>15</v>
      </c>
      <c r="AM897" s="7" t="n">
        <v>28</v>
      </c>
      <c r="AN897" s="7" t="n">
        <v>1</v>
      </c>
      <c r="AO897" s="7" t="n">
        <v>3</v>
      </c>
      <c r="AP897" s="7" t="n">
        <v>0</v>
      </c>
      <c r="AQ897" s="7" t="n">
        <v>0</v>
      </c>
      <c r="AR897" s="6" t="s">
        <v>63</v>
      </c>
      <c r="AS897" s="6" t="s">
        <v>63</v>
      </c>
      <c r="AT897" s="28"/>
      <c r="AU897" s="9" t="str">
        <f aca="false">HYPERLINK("https://creighton-primo.hosted.exlibrisgroup.com/primo-explore/search?tab=default_tab&amp;search_scope=EVERYTHING&amp;vid=01CRU&amp;lang=en_US&amp;offset=0&amp;query=any,contains,991003710689702656","Catalog Record")</f>
        <v>Catalog Record</v>
      </c>
      <c r="AV897" s="9" t="str">
        <f aca="false">HYPERLINK("http://www.worldcat.org/oclc/1349583","WorldCat Record")</f>
        <v>WorldCat Record</v>
      </c>
      <c r="AW897" s="6" t="s">
        <v>5004</v>
      </c>
      <c r="AX897" s="6" t="s">
        <v>5005</v>
      </c>
      <c r="AY897" s="6" t="s">
        <v>5006</v>
      </c>
      <c r="AZ897" s="6" t="s">
        <v>5006</v>
      </c>
      <c r="BA897" s="6" t="s">
        <v>5007</v>
      </c>
      <c r="BB897" s="28"/>
      <c r="BC897" s="6" t="s">
        <v>5008</v>
      </c>
      <c r="BE897" s="15" t="s">
        <v>2145</v>
      </c>
      <c r="BF897" s="6" t="s">
        <v>5009</v>
      </c>
    </row>
    <row r="898" customFormat="false" ht="94" hidden="false" customHeight="false" outlineLevel="0" collapsed="false">
      <c r="A898" s="26" t="s">
        <v>63</v>
      </c>
      <c r="B898" s="27" t="s">
        <v>2129</v>
      </c>
      <c r="C898" s="27" t="s">
        <v>2130</v>
      </c>
      <c r="D898" s="27" t="s">
        <v>4997</v>
      </c>
      <c r="E898" s="27" t="s">
        <v>4998</v>
      </c>
      <c r="F898" s="27" t="s">
        <v>4999</v>
      </c>
      <c r="G898" s="28"/>
      <c r="H898" s="6" t="s">
        <v>63</v>
      </c>
      <c r="I898" s="6" t="s">
        <v>62</v>
      </c>
      <c r="J898" s="6" t="s">
        <v>57</v>
      </c>
      <c r="K898" s="6" t="s">
        <v>57</v>
      </c>
      <c r="L898" s="6" t="s">
        <v>64</v>
      </c>
      <c r="M898" s="27" t="s">
        <v>5000</v>
      </c>
      <c r="N898" s="27" t="s">
        <v>5001</v>
      </c>
      <c r="O898" s="6" t="s">
        <v>2136</v>
      </c>
      <c r="P898" s="28"/>
      <c r="Q898" s="6" t="s">
        <v>67</v>
      </c>
      <c r="R898" s="6" t="s">
        <v>367</v>
      </c>
      <c r="S898" s="28"/>
      <c r="T898" s="6" t="s">
        <v>4225</v>
      </c>
      <c r="U898" s="7" t="n">
        <v>2</v>
      </c>
      <c r="V898" s="7" t="n">
        <v>4</v>
      </c>
      <c r="W898" s="8" t="s">
        <v>5003</v>
      </c>
      <c r="X898" s="8" t="s">
        <v>5003</v>
      </c>
      <c r="Y898" s="8" t="s">
        <v>5010</v>
      </c>
      <c r="Z898" s="8" t="s">
        <v>4639</v>
      </c>
      <c r="AA898" s="7" t="n">
        <v>342</v>
      </c>
      <c r="AB898" s="7" t="n">
        <v>296</v>
      </c>
      <c r="AC898" s="7" t="n">
        <v>684</v>
      </c>
      <c r="AD898" s="7" t="n">
        <v>3</v>
      </c>
      <c r="AE898" s="7" t="n">
        <v>5</v>
      </c>
      <c r="AF898" s="7" t="n">
        <v>24</v>
      </c>
      <c r="AG898" s="7" t="n">
        <v>44</v>
      </c>
      <c r="AH898" s="7" t="n">
        <v>6</v>
      </c>
      <c r="AI898" s="7" t="n">
        <v>16</v>
      </c>
      <c r="AJ898" s="7" t="n">
        <v>7</v>
      </c>
      <c r="AK898" s="7" t="n">
        <v>10</v>
      </c>
      <c r="AL898" s="7" t="n">
        <v>15</v>
      </c>
      <c r="AM898" s="7" t="n">
        <v>28</v>
      </c>
      <c r="AN898" s="7" t="n">
        <v>1</v>
      </c>
      <c r="AO898" s="7" t="n">
        <v>3</v>
      </c>
      <c r="AP898" s="7" t="n">
        <v>0</v>
      </c>
      <c r="AQ898" s="7" t="n">
        <v>0</v>
      </c>
      <c r="AR898" s="6" t="s">
        <v>63</v>
      </c>
      <c r="AS898" s="6" t="s">
        <v>63</v>
      </c>
      <c r="AT898" s="28"/>
      <c r="AU898" s="9" t="str">
        <f aca="false">HYPERLINK("https://creighton-primo.hosted.exlibrisgroup.com/primo-explore/search?tab=default_tab&amp;search_scope=EVERYTHING&amp;vid=01CRU&amp;lang=en_US&amp;offset=0&amp;query=any,contains,991003710689702656","Catalog Record")</f>
        <v>Catalog Record</v>
      </c>
      <c r="AV898" s="9" t="str">
        <f aca="false">HYPERLINK("http://www.worldcat.org/oclc/1349583","WorldCat Record")</f>
        <v>WorldCat Record</v>
      </c>
      <c r="AW898" s="6" t="s">
        <v>5004</v>
      </c>
      <c r="AX898" s="6" t="s">
        <v>5005</v>
      </c>
      <c r="AY898" s="6" t="s">
        <v>5006</v>
      </c>
      <c r="AZ898" s="6" t="s">
        <v>5006</v>
      </c>
      <c r="BA898" s="6" t="s">
        <v>5007</v>
      </c>
      <c r="BB898" s="28"/>
      <c r="BC898" s="6" t="s">
        <v>5011</v>
      </c>
      <c r="BE898" s="15" t="s">
        <v>2145</v>
      </c>
      <c r="BF898" s="6" t="s">
        <v>5012</v>
      </c>
    </row>
    <row r="899" customFormat="false" ht="105.5" hidden="false" customHeight="false" outlineLevel="0" collapsed="false">
      <c r="A899" s="26" t="s">
        <v>63</v>
      </c>
      <c r="B899" s="27" t="s">
        <v>2129</v>
      </c>
      <c r="C899" s="27" t="s">
        <v>2130</v>
      </c>
      <c r="D899" s="27" t="s">
        <v>5013</v>
      </c>
      <c r="E899" s="27" t="s">
        <v>5014</v>
      </c>
      <c r="F899" s="27" t="s">
        <v>4999</v>
      </c>
      <c r="G899" s="28"/>
      <c r="H899" s="6" t="s">
        <v>63</v>
      </c>
      <c r="I899" s="6" t="s">
        <v>62</v>
      </c>
      <c r="J899" s="6" t="s">
        <v>63</v>
      </c>
      <c r="K899" s="6" t="s">
        <v>57</v>
      </c>
      <c r="L899" s="6" t="s">
        <v>64</v>
      </c>
      <c r="M899" s="27" t="s">
        <v>5000</v>
      </c>
      <c r="N899" s="27" t="s">
        <v>5015</v>
      </c>
      <c r="O899" s="6" t="s">
        <v>3405</v>
      </c>
      <c r="P899" s="27" t="s">
        <v>5016</v>
      </c>
      <c r="Q899" s="6" t="s">
        <v>67</v>
      </c>
      <c r="R899" s="6" t="s">
        <v>5017</v>
      </c>
      <c r="S899" s="28"/>
      <c r="T899" s="6" t="s">
        <v>4225</v>
      </c>
      <c r="U899" s="7" t="n">
        <v>8</v>
      </c>
      <c r="V899" s="7" t="n">
        <v>8</v>
      </c>
      <c r="W899" s="8" t="s">
        <v>4264</v>
      </c>
      <c r="X899" s="8" t="s">
        <v>4264</v>
      </c>
      <c r="Y899" s="8" t="s">
        <v>5010</v>
      </c>
      <c r="Z899" s="8" t="s">
        <v>5010</v>
      </c>
      <c r="AA899" s="7" t="n">
        <v>526</v>
      </c>
      <c r="AB899" s="7" t="n">
        <v>443</v>
      </c>
      <c r="AC899" s="7" t="n">
        <v>684</v>
      </c>
      <c r="AD899" s="7" t="n">
        <v>3</v>
      </c>
      <c r="AE899" s="7" t="n">
        <v>5</v>
      </c>
      <c r="AF899" s="7" t="n">
        <v>32</v>
      </c>
      <c r="AG899" s="7" t="n">
        <v>44</v>
      </c>
      <c r="AH899" s="7" t="n">
        <v>11</v>
      </c>
      <c r="AI899" s="7" t="n">
        <v>16</v>
      </c>
      <c r="AJ899" s="7" t="n">
        <v>9</v>
      </c>
      <c r="AK899" s="7" t="n">
        <v>10</v>
      </c>
      <c r="AL899" s="7" t="n">
        <v>21</v>
      </c>
      <c r="AM899" s="7" t="n">
        <v>28</v>
      </c>
      <c r="AN899" s="7" t="n">
        <v>2</v>
      </c>
      <c r="AO899" s="7" t="n">
        <v>3</v>
      </c>
      <c r="AP899" s="7" t="n">
        <v>0</v>
      </c>
      <c r="AQ899" s="7" t="n">
        <v>0</v>
      </c>
      <c r="AR899" s="6" t="s">
        <v>63</v>
      </c>
      <c r="AS899" s="6" t="s">
        <v>57</v>
      </c>
      <c r="AT899" s="9" t="str">
        <f aca="false">HYPERLINK("http://catalog.hathitrust.org/Record/004466522","HathiTrust Record")</f>
        <v>HathiTrust Record</v>
      </c>
      <c r="AU899" s="9" t="str">
        <f aca="false">HYPERLINK("https://creighton-primo.hosted.exlibrisgroup.com/primo-explore/search?tab=default_tab&amp;search_scope=EVERYTHING&amp;vid=01CRU&amp;lang=en_US&amp;offset=0&amp;query=any,contains,991003440849702656","Catalog Record")</f>
        <v>Catalog Record</v>
      </c>
      <c r="AV899" s="9" t="str">
        <f aca="false">HYPERLINK("http://www.worldcat.org/oclc/977373","WorldCat Record")</f>
        <v>WorldCat Record</v>
      </c>
      <c r="AW899" s="6" t="s">
        <v>5004</v>
      </c>
      <c r="AX899" s="6" t="s">
        <v>5018</v>
      </c>
      <c r="AY899" s="6" t="s">
        <v>5019</v>
      </c>
      <c r="AZ899" s="6" t="s">
        <v>5019</v>
      </c>
      <c r="BA899" s="6" t="s">
        <v>5020</v>
      </c>
      <c r="BB899" s="28"/>
      <c r="BC899" s="6" t="s">
        <v>5021</v>
      </c>
      <c r="BE899" s="15" t="s">
        <v>2145</v>
      </c>
      <c r="BF899" s="6" t="s">
        <v>5022</v>
      </c>
    </row>
    <row r="900" customFormat="false" ht="117" hidden="false" customHeight="false" outlineLevel="0" collapsed="false">
      <c r="A900" s="26" t="s">
        <v>63</v>
      </c>
      <c r="B900" s="27" t="s">
        <v>2129</v>
      </c>
      <c r="C900" s="27" t="s">
        <v>2130</v>
      </c>
      <c r="D900" s="27" t="s">
        <v>5023</v>
      </c>
      <c r="E900" s="27" t="s">
        <v>5024</v>
      </c>
      <c r="F900" s="27" t="s">
        <v>5025</v>
      </c>
      <c r="G900" s="28"/>
      <c r="H900" s="6" t="s">
        <v>63</v>
      </c>
      <c r="I900" s="6" t="s">
        <v>62</v>
      </c>
      <c r="J900" s="6" t="s">
        <v>63</v>
      </c>
      <c r="K900" s="6" t="s">
        <v>63</v>
      </c>
      <c r="L900" s="6" t="s">
        <v>64</v>
      </c>
      <c r="M900" s="28"/>
      <c r="N900" s="27" t="s">
        <v>5026</v>
      </c>
      <c r="O900" s="6" t="s">
        <v>3301</v>
      </c>
      <c r="P900" s="28"/>
      <c r="Q900" s="6" t="s">
        <v>67</v>
      </c>
      <c r="R900" s="6" t="s">
        <v>68</v>
      </c>
      <c r="S900" s="28"/>
      <c r="T900" s="6" t="s">
        <v>4225</v>
      </c>
      <c r="U900" s="7" t="n">
        <v>3</v>
      </c>
      <c r="V900" s="7" t="n">
        <v>3</v>
      </c>
      <c r="W900" s="8" t="s">
        <v>4096</v>
      </c>
      <c r="X900" s="8" t="s">
        <v>4096</v>
      </c>
      <c r="Y900" s="8" t="s">
        <v>4639</v>
      </c>
      <c r="Z900" s="8" t="s">
        <v>4639</v>
      </c>
      <c r="AA900" s="7" t="n">
        <v>519</v>
      </c>
      <c r="AB900" s="7" t="n">
        <v>441</v>
      </c>
      <c r="AC900" s="7" t="n">
        <v>443</v>
      </c>
      <c r="AD900" s="7" t="n">
        <v>3</v>
      </c>
      <c r="AE900" s="7" t="n">
        <v>3</v>
      </c>
      <c r="AF900" s="7" t="n">
        <v>29</v>
      </c>
      <c r="AG900" s="7" t="n">
        <v>29</v>
      </c>
      <c r="AH900" s="7" t="n">
        <v>11</v>
      </c>
      <c r="AI900" s="7" t="n">
        <v>11</v>
      </c>
      <c r="AJ900" s="7" t="n">
        <v>9</v>
      </c>
      <c r="AK900" s="7" t="n">
        <v>9</v>
      </c>
      <c r="AL900" s="7" t="n">
        <v>18</v>
      </c>
      <c r="AM900" s="7" t="n">
        <v>18</v>
      </c>
      <c r="AN900" s="7" t="n">
        <v>2</v>
      </c>
      <c r="AO900" s="7" t="n">
        <v>2</v>
      </c>
      <c r="AP900" s="7" t="n">
        <v>0</v>
      </c>
      <c r="AQ900" s="7" t="n">
        <v>0</v>
      </c>
      <c r="AR900" s="6" t="s">
        <v>63</v>
      </c>
      <c r="AS900" s="6" t="s">
        <v>57</v>
      </c>
      <c r="AT900" s="9" t="str">
        <f aca="false">HYPERLINK("http://catalog.hathitrust.org/Record/000304878","HathiTrust Record")</f>
        <v>HathiTrust Record</v>
      </c>
      <c r="AU900" s="9" t="str">
        <f aca="false">HYPERLINK("https://creighton-primo.hosted.exlibrisgroup.com/primo-explore/search?tab=default_tab&amp;search_scope=EVERYTHING&amp;vid=01CRU&amp;lang=en_US&amp;offset=0&amp;query=any,contains,991005235389702656","Catalog Record")</f>
        <v>Catalog Record</v>
      </c>
      <c r="AV900" s="9" t="str">
        <f aca="false">HYPERLINK("http://www.worldcat.org/oclc/8373158","WorldCat Record")</f>
        <v>WorldCat Record</v>
      </c>
      <c r="AW900" s="6" t="s">
        <v>5027</v>
      </c>
      <c r="AX900" s="6" t="s">
        <v>5028</v>
      </c>
      <c r="AY900" s="6" t="s">
        <v>5029</v>
      </c>
      <c r="AZ900" s="6" t="s">
        <v>5029</v>
      </c>
      <c r="BA900" s="6" t="s">
        <v>5030</v>
      </c>
      <c r="BB900" s="6" t="s">
        <v>5031</v>
      </c>
      <c r="BC900" s="6" t="s">
        <v>5032</v>
      </c>
      <c r="BE900" s="15" t="s">
        <v>2145</v>
      </c>
      <c r="BF900" s="6" t="s">
        <v>5033</v>
      </c>
    </row>
    <row r="901" customFormat="false" ht="163" hidden="false" customHeight="false" outlineLevel="0" collapsed="false">
      <c r="A901" s="26" t="s">
        <v>63</v>
      </c>
      <c r="B901" s="27" t="s">
        <v>2129</v>
      </c>
      <c r="C901" s="27" t="s">
        <v>2130</v>
      </c>
      <c r="D901" s="27" t="s">
        <v>5034</v>
      </c>
      <c r="E901" s="27" t="s">
        <v>5035</v>
      </c>
      <c r="F901" s="27" t="s">
        <v>5036</v>
      </c>
      <c r="G901" s="28"/>
      <c r="H901" s="6" t="s">
        <v>63</v>
      </c>
      <c r="I901" s="6" t="s">
        <v>62</v>
      </c>
      <c r="J901" s="6" t="s">
        <v>63</v>
      </c>
      <c r="K901" s="6" t="s">
        <v>63</v>
      </c>
      <c r="L901" s="6" t="s">
        <v>64</v>
      </c>
      <c r="M901" s="27" t="s">
        <v>5037</v>
      </c>
      <c r="N901" s="27" t="s">
        <v>5038</v>
      </c>
      <c r="O901" s="6" t="s">
        <v>221</v>
      </c>
      <c r="P901" s="28"/>
      <c r="Q901" s="6" t="s">
        <v>67</v>
      </c>
      <c r="R901" s="6" t="s">
        <v>1108</v>
      </c>
      <c r="S901" s="27" t="s">
        <v>5039</v>
      </c>
      <c r="T901" s="6" t="s">
        <v>4225</v>
      </c>
      <c r="U901" s="7" t="n">
        <v>2</v>
      </c>
      <c r="V901" s="7" t="n">
        <v>2</v>
      </c>
      <c r="W901" s="8" t="s">
        <v>5040</v>
      </c>
      <c r="X901" s="8" t="s">
        <v>5040</v>
      </c>
      <c r="Y901" s="8" t="s">
        <v>5041</v>
      </c>
      <c r="Z901" s="8" t="s">
        <v>5041</v>
      </c>
      <c r="AA901" s="7" t="n">
        <v>463</v>
      </c>
      <c r="AB901" s="7" t="n">
        <v>400</v>
      </c>
      <c r="AC901" s="7" t="n">
        <v>410</v>
      </c>
      <c r="AD901" s="7" t="n">
        <v>4</v>
      </c>
      <c r="AE901" s="7" t="n">
        <v>4</v>
      </c>
      <c r="AF901" s="7" t="n">
        <v>19</v>
      </c>
      <c r="AG901" s="7" t="n">
        <v>19</v>
      </c>
      <c r="AH901" s="7" t="n">
        <v>4</v>
      </c>
      <c r="AI901" s="7" t="n">
        <v>4</v>
      </c>
      <c r="AJ901" s="7" t="n">
        <v>5</v>
      </c>
      <c r="AK901" s="7" t="n">
        <v>5</v>
      </c>
      <c r="AL901" s="7" t="n">
        <v>10</v>
      </c>
      <c r="AM901" s="7" t="n">
        <v>10</v>
      </c>
      <c r="AN901" s="7" t="n">
        <v>2</v>
      </c>
      <c r="AO901" s="7" t="n">
        <v>2</v>
      </c>
      <c r="AP901" s="7" t="n">
        <v>0</v>
      </c>
      <c r="AQ901" s="7" t="n">
        <v>0</v>
      </c>
      <c r="AR901" s="6" t="s">
        <v>63</v>
      </c>
      <c r="AS901" s="6" t="s">
        <v>57</v>
      </c>
      <c r="AT901" s="9" t="str">
        <f aca="false">HYPERLINK("http://catalog.hathitrust.org/Record/000350002","HathiTrust Record")</f>
        <v>HathiTrust Record</v>
      </c>
      <c r="AU901" s="9" t="str">
        <f aca="false">HYPERLINK("https://creighton-primo.hosted.exlibrisgroup.com/primo-explore/search?tab=default_tab&amp;search_scope=EVERYTHING&amp;vid=01CRU&amp;lang=en_US&amp;offset=0&amp;query=any,contains,991001913849702656","Catalog Record")</f>
        <v>Catalog Record</v>
      </c>
      <c r="AV901" s="9" t="str">
        <f aca="false">HYPERLINK("http://www.worldcat.org/oclc/8762465","WorldCat Record")</f>
        <v>WorldCat Record</v>
      </c>
      <c r="AW901" s="6" t="s">
        <v>5042</v>
      </c>
      <c r="AX901" s="6" t="s">
        <v>5043</v>
      </c>
      <c r="AY901" s="6" t="s">
        <v>5044</v>
      </c>
      <c r="AZ901" s="6" t="s">
        <v>5044</v>
      </c>
      <c r="BA901" s="6" t="s">
        <v>5045</v>
      </c>
      <c r="BB901" s="6" t="s">
        <v>5046</v>
      </c>
      <c r="BC901" s="6" t="s">
        <v>5047</v>
      </c>
      <c r="BE901" s="15" t="s">
        <v>2145</v>
      </c>
      <c r="BF901" s="6" t="s">
        <v>5048</v>
      </c>
    </row>
    <row r="902" customFormat="false" ht="82.5" hidden="false" customHeight="false" outlineLevel="0" collapsed="false">
      <c r="A902" s="26" t="s">
        <v>63</v>
      </c>
      <c r="B902" s="27" t="s">
        <v>2129</v>
      </c>
      <c r="C902" s="27" t="s">
        <v>2130</v>
      </c>
      <c r="D902" s="27" t="s">
        <v>5049</v>
      </c>
      <c r="E902" s="27" t="s">
        <v>5050</v>
      </c>
      <c r="F902" s="27" t="s">
        <v>5051</v>
      </c>
      <c r="G902" s="28"/>
      <c r="H902" s="6" t="s">
        <v>63</v>
      </c>
      <c r="I902" s="6" t="s">
        <v>62</v>
      </c>
      <c r="J902" s="6" t="s">
        <v>63</v>
      </c>
      <c r="K902" s="6" t="s">
        <v>63</v>
      </c>
      <c r="L902" s="6" t="s">
        <v>64</v>
      </c>
      <c r="M902" s="27" t="s">
        <v>5052</v>
      </c>
      <c r="N902" s="27" t="s">
        <v>5053</v>
      </c>
      <c r="O902" s="6" t="s">
        <v>3919</v>
      </c>
      <c r="P902" s="27" t="s">
        <v>5054</v>
      </c>
      <c r="Q902" s="6" t="s">
        <v>67</v>
      </c>
      <c r="R902" s="6" t="s">
        <v>123</v>
      </c>
      <c r="S902" s="28"/>
      <c r="T902" s="6" t="s">
        <v>4225</v>
      </c>
      <c r="U902" s="7" t="n">
        <v>2</v>
      </c>
      <c r="V902" s="7" t="n">
        <v>2</v>
      </c>
      <c r="W902" s="8" t="s">
        <v>5055</v>
      </c>
      <c r="X902" s="8" t="s">
        <v>5055</v>
      </c>
      <c r="Y902" s="8" t="s">
        <v>4639</v>
      </c>
      <c r="Z902" s="8" t="s">
        <v>4639</v>
      </c>
      <c r="AA902" s="7" t="n">
        <v>168</v>
      </c>
      <c r="AB902" s="7" t="n">
        <v>107</v>
      </c>
      <c r="AC902" s="7" t="n">
        <v>418</v>
      </c>
      <c r="AD902" s="7" t="n">
        <v>1</v>
      </c>
      <c r="AE902" s="7" t="n">
        <v>4</v>
      </c>
      <c r="AF902" s="7" t="n">
        <v>7</v>
      </c>
      <c r="AG902" s="7" t="n">
        <v>25</v>
      </c>
      <c r="AH902" s="7" t="n">
        <v>2</v>
      </c>
      <c r="AI902" s="7" t="n">
        <v>7</v>
      </c>
      <c r="AJ902" s="7" t="n">
        <v>3</v>
      </c>
      <c r="AK902" s="7" t="n">
        <v>8</v>
      </c>
      <c r="AL902" s="7" t="n">
        <v>4</v>
      </c>
      <c r="AM902" s="7" t="n">
        <v>16</v>
      </c>
      <c r="AN902" s="7" t="n">
        <v>0</v>
      </c>
      <c r="AO902" s="7" t="n">
        <v>2</v>
      </c>
      <c r="AP902" s="7" t="n">
        <v>0</v>
      </c>
      <c r="AQ902" s="7" t="n">
        <v>0</v>
      </c>
      <c r="AR902" s="6" t="s">
        <v>63</v>
      </c>
      <c r="AS902" s="6" t="s">
        <v>57</v>
      </c>
      <c r="AT902" s="9" t="str">
        <f aca="false">HYPERLINK("http://catalog.hathitrust.org/Record/001919537","HathiTrust Record")</f>
        <v>HathiTrust Record</v>
      </c>
      <c r="AU902" s="9" t="str">
        <f aca="false">HYPERLINK("https://creighton-primo.hosted.exlibrisgroup.com/primo-explore/search?tab=default_tab&amp;search_scope=EVERYTHING&amp;vid=01CRU&amp;lang=en_US&amp;offset=0&amp;query=any,contains,991005407019702656","Catalog Record")</f>
        <v>Catalog Record</v>
      </c>
      <c r="AV902" s="9" t="str">
        <f aca="false">HYPERLINK("http://www.worldcat.org/oclc/14020649","WorldCat Record")</f>
        <v>WorldCat Record</v>
      </c>
      <c r="AW902" s="6" t="s">
        <v>5056</v>
      </c>
      <c r="AX902" s="6" t="s">
        <v>5057</v>
      </c>
      <c r="AY902" s="6" t="s">
        <v>5058</v>
      </c>
      <c r="AZ902" s="6" t="s">
        <v>5058</v>
      </c>
      <c r="BA902" s="6" t="s">
        <v>5059</v>
      </c>
      <c r="BB902" s="28"/>
      <c r="BC902" s="6" t="s">
        <v>5060</v>
      </c>
      <c r="BE902" s="15" t="s">
        <v>2145</v>
      </c>
      <c r="BF902" s="6" t="s">
        <v>5061</v>
      </c>
    </row>
    <row r="903" customFormat="false" ht="151.5" hidden="false" customHeight="false" outlineLevel="0" collapsed="false">
      <c r="A903" s="26" t="s">
        <v>63</v>
      </c>
      <c r="B903" s="27" t="s">
        <v>2129</v>
      </c>
      <c r="C903" s="27" t="s">
        <v>2130</v>
      </c>
      <c r="D903" s="27" t="s">
        <v>5062</v>
      </c>
      <c r="E903" s="27" t="s">
        <v>5063</v>
      </c>
      <c r="F903" s="27" t="s">
        <v>5064</v>
      </c>
      <c r="G903" s="28"/>
      <c r="H903" s="6" t="s">
        <v>63</v>
      </c>
      <c r="I903" s="6" t="s">
        <v>62</v>
      </c>
      <c r="J903" s="6" t="s">
        <v>63</v>
      </c>
      <c r="K903" s="6" t="s">
        <v>63</v>
      </c>
      <c r="L903" s="6" t="s">
        <v>64</v>
      </c>
      <c r="M903" s="28"/>
      <c r="N903" s="27" t="s">
        <v>5065</v>
      </c>
      <c r="O903" s="6" t="s">
        <v>66</v>
      </c>
      <c r="P903" s="28"/>
      <c r="Q903" s="6" t="s">
        <v>67</v>
      </c>
      <c r="R903" s="6" t="s">
        <v>1108</v>
      </c>
      <c r="S903" s="28"/>
      <c r="T903" s="6" t="s">
        <v>4225</v>
      </c>
      <c r="U903" s="7" t="n">
        <v>1</v>
      </c>
      <c r="V903" s="7" t="n">
        <v>1</v>
      </c>
      <c r="W903" s="8" t="s">
        <v>5066</v>
      </c>
      <c r="X903" s="8" t="s">
        <v>5066</v>
      </c>
      <c r="Y903" s="8" t="s">
        <v>5067</v>
      </c>
      <c r="Z903" s="8" t="s">
        <v>5067</v>
      </c>
      <c r="AA903" s="7" t="n">
        <v>291</v>
      </c>
      <c r="AB903" s="7" t="n">
        <v>217</v>
      </c>
      <c r="AC903" s="7" t="n">
        <v>240</v>
      </c>
      <c r="AD903" s="7" t="n">
        <v>3</v>
      </c>
      <c r="AE903" s="7" t="n">
        <v>3</v>
      </c>
      <c r="AF903" s="7" t="n">
        <v>13</v>
      </c>
      <c r="AG903" s="7" t="n">
        <v>13</v>
      </c>
      <c r="AH903" s="7" t="n">
        <v>4</v>
      </c>
      <c r="AI903" s="7" t="n">
        <v>4</v>
      </c>
      <c r="AJ903" s="7" t="n">
        <v>4</v>
      </c>
      <c r="AK903" s="7" t="n">
        <v>4</v>
      </c>
      <c r="AL903" s="7" t="n">
        <v>9</v>
      </c>
      <c r="AM903" s="7" t="n">
        <v>9</v>
      </c>
      <c r="AN903" s="7" t="n">
        <v>2</v>
      </c>
      <c r="AO903" s="7" t="n">
        <v>2</v>
      </c>
      <c r="AP903" s="7" t="n">
        <v>0</v>
      </c>
      <c r="AQ903" s="7" t="n">
        <v>0</v>
      </c>
      <c r="AR903" s="6" t="s">
        <v>63</v>
      </c>
      <c r="AS903" s="6" t="s">
        <v>63</v>
      </c>
      <c r="AT903" s="28"/>
      <c r="AU903" s="9" t="str">
        <f aca="false">HYPERLINK("https://creighton-primo.hosted.exlibrisgroup.com/primo-explore/search?tab=default_tab&amp;search_scope=EVERYTHING&amp;vid=01CRU&amp;lang=en_US&amp;offset=0&amp;query=any,contains,991002197529702656","Catalog Record")</f>
        <v>Catalog Record</v>
      </c>
      <c r="AV903" s="9" t="str">
        <f aca="false">HYPERLINK("http://www.worldcat.org/oclc/28256508","WorldCat Record")</f>
        <v>WorldCat Record</v>
      </c>
      <c r="AW903" s="6" t="s">
        <v>5068</v>
      </c>
      <c r="AX903" s="6" t="s">
        <v>5069</v>
      </c>
      <c r="AY903" s="6" t="s">
        <v>5070</v>
      </c>
      <c r="AZ903" s="6" t="s">
        <v>5070</v>
      </c>
      <c r="BA903" s="6" t="s">
        <v>5071</v>
      </c>
      <c r="BB903" s="6" t="s">
        <v>5072</v>
      </c>
      <c r="BC903" s="6" t="s">
        <v>5073</v>
      </c>
      <c r="BE903" s="15" t="s">
        <v>2145</v>
      </c>
      <c r="BF903" s="6" t="s">
        <v>5074</v>
      </c>
    </row>
    <row r="904" customFormat="false" ht="94" hidden="false" customHeight="false" outlineLevel="0" collapsed="false">
      <c r="A904" s="26" t="s">
        <v>63</v>
      </c>
      <c r="B904" s="27" t="s">
        <v>2129</v>
      </c>
      <c r="C904" s="27" t="s">
        <v>2130</v>
      </c>
      <c r="D904" s="27" t="s">
        <v>5075</v>
      </c>
      <c r="E904" s="27" t="s">
        <v>5076</v>
      </c>
      <c r="F904" s="27" t="s">
        <v>5077</v>
      </c>
      <c r="G904" s="28"/>
      <c r="H904" s="6" t="s">
        <v>63</v>
      </c>
      <c r="I904" s="6" t="s">
        <v>62</v>
      </c>
      <c r="J904" s="6" t="s">
        <v>63</v>
      </c>
      <c r="K904" s="6" t="s">
        <v>63</v>
      </c>
      <c r="L904" s="6" t="s">
        <v>64</v>
      </c>
      <c r="M904" s="27" t="s">
        <v>5078</v>
      </c>
      <c r="N904" s="27" t="s">
        <v>5079</v>
      </c>
      <c r="O904" s="6" t="s">
        <v>3094</v>
      </c>
      <c r="P904" s="28"/>
      <c r="Q904" s="6" t="s">
        <v>67</v>
      </c>
      <c r="R904" s="6" t="s">
        <v>68</v>
      </c>
      <c r="S904" s="28"/>
      <c r="T904" s="6" t="s">
        <v>4225</v>
      </c>
      <c r="U904" s="7" t="n">
        <v>4</v>
      </c>
      <c r="V904" s="7" t="n">
        <v>4</v>
      </c>
      <c r="W904" s="8" t="s">
        <v>5080</v>
      </c>
      <c r="X904" s="8" t="s">
        <v>5080</v>
      </c>
      <c r="Y904" s="8" t="s">
        <v>5081</v>
      </c>
      <c r="Z904" s="8" t="s">
        <v>5081</v>
      </c>
      <c r="AA904" s="7" t="n">
        <v>851</v>
      </c>
      <c r="AB904" s="7" t="n">
        <v>797</v>
      </c>
      <c r="AC904" s="7" t="n">
        <v>804</v>
      </c>
      <c r="AD904" s="7" t="n">
        <v>5</v>
      </c>
      <c r="AE904" s="7" t="n">
        <v>5</v>
      </c>
      <c r="AF904" s="7" t="n">
        <v>30</v>
      </c>
      <c r="AG904" s="7" t="n">
        <v>30</v>
      </c>
      <c r="AH904" s="7" t="n">
        <v>13</v>
      </c>
      <c r="AI904" s="7" t="n">
        <v>13</v>
      </c>
      <c r="AJ904" s="7" t="n">
        <v>4</v>
      </c>
      <c r="AK904" s="7" t="n">
        <v>4</v>
      </c>
      <c r="AL904" s="7" t="n">
        <v>16</v>
      </c>
      <c r="AM904" s="7" t="n">
        <v>16</v>
      </c>
      <c r="AN904" s="7" t="n">
        <v>4</v>
      </c>
      <c r="AO904" s="7" t="n">
        <v>4</v>
      </c>
      <c r="AP904" s="7" t="n">
        <v>0</v>
      </c>
      <c r="AQ904" s="7" t="n">
        <v>0</v>
      </c>
      <c r="AR904" s="6" t="s">
        <v>63</v>
      </c>
      <c r="AS904" s="6" t="s">
        <v>63</v>
      </c>
      <c r="AT904" s="9" t="str">
        <f aca="false">HYPERLINK("http://catalog.hathitrust.org/Record/001958449","HathiTrust Record")</f>
        <v>HathiTrust Record</v>
      </c>
      <c r="AU904" s="9" t="str">
        <f aca="false">HYPERLINK("https://creighton-primo.hosted.exlibrisgroup.com/primo-explore/search?tab=default_tab&amp;search_scope=EVERYTHING&amp;vid=01CRU&amp;lang=en_US&amp;offset=0&amp;query=any,contains,991003295379702656","Catalog Record")</f>
        <v>Catalog Record</v>
      </c>
      <c r="AV904" s="9" t="str">
        <f aca="false">HYPERLINK("http://www.worldcat.org/oclc/817671","WorldCat Record")</f>
        <v>WorldCat Record</v>
      </c>
      <c r="AW904" s="6" t="s">
        <v>5082</v>
      </c>
      <c r="AX904" s="6" t="s">
        <v>5083</v>
      </c>
      <c r="AY904" s="6" t="s">
        <v>5084</v>
      </c>
      <c r="AZ904" s="6" t="s">
        <v>5084</v>
      </c>
      <c r="BA904" s="6" t="s">
        <v>5085</v>
      </c>
      <c r="BB904" s="28"/>
      <c r="BC904" s="6" t="s">
        <v>5086</v>
      </c>
      <c r="BE904" s="15" t="s">
        <v>2145</v>
      </c>
      <c r="BF904" s="6" t="s">
        <v>5087</v>
      </c>
    </row>
    <row r="905" customFormat="false" ht="140" hidden="false" customHeight="false" outlineLevel="0" collapsed="false">
      <c r="A905" s="26" t="s">
        <v>63</v>
      </c>
      <c r="B905" s="27" t="s">
        <v>2129</v>
      </c>
      <c r="C905" s="27" t="s">
        <v>2130</v>
      </c>
      <c r="D905" s="27" t="s">
        <v>5088</v>
      </c>
      <c r="E905" s="27" t="s">
        <v>5089</v>
      </c>
      <c r="F905" s="27" t="s">
        <v>5090</v>
      </c>
      <c r="G905" s="28"/>
      <c r="H905" s="6" t="s">
        <v>63</v>
      </c>
      <c r="I905" s="6" t="s">
        <v>62</v>
      </c>
      <c r="J905" s="6" t="s">
        <v>63</v>
      </c>
      <c r="K905" s="6" t="s">
        <v>63</v>
      </c>
      <c r="L905" s="6" t="s">
        <v>64</v>
      </c>
      <c r="M905" s="27" t="s">
        <v>5091</v>
      </c>
      <c r="N905" s="27" t="s">
        <v>5092</v>
      </c>
      <c r="O905" s="6" t="s">
        <v>180</v>
      </c>
      <c r="P905" s="28"/>
      <c r="Q905" s="6" t="s">
        <v>67</v>
      </c>
      <c r="R905" s="6" t="s">
        <v>123</v>
      </c>
      <c r="S905" s="28"/>
      <c r="T905" s="6" t="s">
        <v>4225</v>
      </c>
      <c r="U905" s="7" t="n">
        <v>2</v>
      </c>
      <c r="V905" s="7" t="n">
        <v>2</v>
      </c>
      <c r="W905" s="8" t="s">
        <v>5093</v>
      </c>
      <c r="X905" s="8" t="s">
        <v>5093</v>
      </c>
      <c r="Y905" s="8" t="s">
        <v>5081</v>
      </c>
      <c r="Z905" s="8" t="s">
        <v>5081</v>
      </c>
      <c r="AA905" s="7" t="n">
        <v>165</v>
      </c>
      <c r="AB905" s="7" t="n">
        <v>146</v>
      </c>
      <c r="AC905" s="7" t="n">
        <v>148</v>
      </c>
      <c r="AD905" s="7" t="n">
        <v>1</v>
      </c>
      <c r="AE905" s="7" t="n">
        <v>1</v>
      </c>
      <c r="AF905" s="7" t="n">
        <v>25</v>
      </c>
      <c r="AG905" s="7" t="n">
        <v>25</v>
      </c>
      <c r="AH905" s="7" t="n">
        <v>8</v>
      </c>
      <c r="AI905" s="7" t="n">
        <v>8</v>
      </c>
      <c r="AJ905" s="7" t="n">
        <v>7</v>
      </c>
      <c r="AK905" s="7" t="n">
        <v>7</v>
      </c>
      <c r="AL905" s="7" t="n">
        <v>19</v>
      </c>
      <c r="AM905" s="7" t="n">
        <v>19</v>
      </c>
      <c r="AN905" s="7" t="n">
        <v>0</v>
      </c>
      <c r="AO905" s="7" t="n">
        <v>0</v>
      </c>
      <c r="AP905" s="7" t="n">
        <v>0</v>
      </c>
      <c r="AQ905" s="7" t="n">
        <v>0</v>
      </c>
      <c r="AR905" s="6" t="s">
        <v>63</v>
      </c>
      <c r="AS905" s="6" t="s">
        <v>57</v>
      </c>
      <c r="AT905" s="9" t="str">
        <f aca="false">HYPERLINK("http://catalog.hathitrust.org/Record/012270707","HathiTrust Record")</f>
        <v>HathiTrust Record</v>
      </c>
      <c r="AU905" s="9" t="str">
        <f aca="false">HYPERLINK("https://creighton-primo.hosted.exlibrisgroup.com/primo-explore/search?tab=default_tab&amp;search_scope=EVERYTHING&amp;vid=01CRU&amp;lang=en_US&amp;offset=0&amp;query=any,contains,991003710819702656","Catalog Record")</f>
        <v>Catalog Record</v>
      </c>
      <c r="AV905" s="9" t="str">
        <f aca="false">HYPERLINK("http://www.worldcat.org/oclc/1349665","WorldCat Record")</f>
        <v>WorldCat Record</v>
      </c>
      <c r="AW905" s="6" t="s">
        <v>5094</v>
      </c>
      <c r="AX905" s="6" t="s">
        <v>5095</v>
      </c>
      <c r="AY905" s="6" t="s">
        <v>5096</v>
      </c>
      <c r="AZ905" s="6" t="s">
        <v>5096</v>
      </c>
      <c r="BA905" s="6" t="s">
        <v>5097</v>
      </c>
      <c r="BB905" s="28"/>
      <c r="BC905" s="6" t="s">
        <v>5098</v>
      </c>
      <c r="BE905" s="15" t="s">
        <v>2145</v>
      </c>
      <c r="BF905" s="6" t="s">
        <v>5099</v>
      </c>
    </row>
    <row r="906" customFormat="false" ht="59.5" hidden="false" customHeight="false" outlineLevel="0" collapsed="false">
      <c r="A906" s="26" t="s">
        <v>63</v>
      </c>
      <c r="B906" s="27" t="s">
        <v>2129</v>
      </c>
      <c r="C906" s="27" t="s">
        <v>2130</v>
      </c>
      <c r="D906" s="27" t="s">
        <v>5100</v>
      </c>
      <c r="E906" s="27" t="s">
        <v>5101</v>
      </c>
      <c r="F906" s="27" t="s">
        <v>5102</v>
      </c>
      <c r="G906" s="28"/>
      <c r="H906" s="6" t="s">
        <v>63</v>
      </c>
      <c r="I906" s="6" t="s">
        <v>62</v>
      </c>
      <c r="J906" s="6" t="s">
        <v>63</v>
      </c>
      <c r="K906" s="6" t="s">
        <v>63</v>
      </c>
      <c r="L906" s="6" t="s">
        <v>64</v>
      </c>
      <c r="M906" s="27" t="s">
        <v>3352</v>
      </c>
      <c r="N906" s="27" t="s">
        <v>5103</v>
      </c>
      <c r="O906" s="6" t="s">
        <v>254</v>
      </c>
      <c r="P906" s="27" t="s">
        <v>255</v>
      </c>
      <c r="Q906" s="6" t="s">
        <v>67</v>
      </c>
      <c r="R906" s="6" t="s">
        <v>68</v>
      </c>
      <c r="S906" s="28"/>
      <c r="T906" s="6" t="s">
        <v>4225</v>
      </c>
      <c r="U906" s="7" t="n">
        <v>2</v>
      </c>
      <c r="V906" s="7" t="n">
        <v>2</v>
      </c>
      <c r="W906" s="8" t="s">
        <v>5104</v>
      </c>
      <c r="X906" s="8" t="s">
        <v>5104</v>
      </c>
      <c r="Y906" s="8" t="s">
        <v>5081</v>
      </c>
      <c r="Z906" s="8" t="s">
        <v>5081</v>
      </c>
      <c r="AA906" s="7" t="n">
        <v>384</v>
      </c>
      <c r="AB906" s="7" t="n">
        <v>343</v>
      </c>
      <c r="AC906" s="7" t="n">
        <v>706</v>
      </c>
      <c r="AD906" s="7" t="n">
        <v>3</v>
      </c>
      <c r="AE906" s="7" t="n">
        <v>6</v>
      </c>
      <c r="AF906" s="7" t="n">
        <v>30</v>
      </c>
      <c r="AG906" s="7" t="n">
        <v>44</v>
      </c>
      <c r="AH906" s="7" t="n">
        <v>8</v>
      </c>
      <c r="AI906" s="7" t="n">
        <v>18</v>
      </c>
      <c r="AJ906" s="7" t="n">
        <v>10</v>
      </c>
      <c r="AK906" s="7" t="n">
        <v>11</v>
      </c>
      <c r="AL906" s="7" t="n">
        <v>22</v>
      </c>
      <c r="AM906" s="7" t="n">
        <v>25</v>
      </c>
      <c r="AN906" s="7" t="n">
        <v>2</v>
      </c>
      <c r="AO906" s="7" t="n">
        <v>4</v>
      </c>
      <c r="AP906" s="7" t="n">
        <v>0</v>
      </c>
      <c r="AQ906" s="7" t="n">
        <v>0</v>
      </c>
      <c r="AR906" s="6" t="s">
        <v>63</v>
      </c>
      <c r="AS906" s="6" t="s">
        <v>57</v>
      </c>
      <c r="AT906" s="9" t="str">
        <f aca="false">HYPERLINK("http://catalog.hathitrust.org/Record/001388637","HathiTrust Record")</f>
        <v>HathiTrust Record</v>
      </c>
      <c r="AU906" s="9" t="str">
        <f aca="false">HYPERLINK("https://creighton-primo.hosted.exlibrisgroup.com/primo-explore/search?tab=default_tab&amp;search_scope=EVERYTHING&amp;vid=01CRU&amp;lang=en_US&amp;offset=0&amp;query=any,contains,991003172909702656","Catalog Record")</f>
        <v>Catalog Record</v>
      </c>
      <c r="AV906" s="9" t="str">
        <f aca="false">HYPERLINK("http://www.worldcat.org/oclc/708502","WorldCat Record")</f>
        <v>WorldCat Record</v>
      </c>
      <c r="AW906" s="6" t="s">
        <v>5105</v>
      </c>
      <c r="AX906" s="6" t="s">
        <v>5106</v>
      </c>
      <c r="AY906" s="6" t="s">
        <v>5107</v>
      </c>
      <c r="AZ906" s="6" t="s">
        <v>5107</v>
      </c>
      <c r="BA906" s="6" t="s">
        <v>5108</v>
      </c>
      <c r="BB906" s="6" t="s">
        <v>5109</v>
      </c>
      <c r="BC906" s="6" t="s">
        <v>5110</v>
      </c>
      <c r="BE906" s="15" t="s">
        <v>2145</v>
      </c>
      <c r="BF906" s="6" t="s">
        <v>5111</v>
      </c>
    </row>
    <row r="907" customFormat="false" ht="117" hidden="false" customHeight="false" outlineLevel="0" collapsed="false">
      <c r="A907" s="26" t="s">
        <v>63</v>
      </c>
      <c r="B907" s="27" t="s">
        <v>2129</v>
      </c>
      <c r="C907" s="27" t="s">
        <v>2130</v>
      </c>
      <c r="D907" s="27" t="s">
        <v>5112</v>
      </c>
      <c r="E907" s="27" t="s">
        <v>5113</v>
      </c>
      <c r="F907" s="27" t="s">
        <v>5114</v>
      </c>
      <c r="G907" s="28"/>
      <c r="H907" s="6" t="s">
        <v>63</v>
      </c>
      <c r="I907" s="6" t="s">
        <v>62</v>
      </c>
      <c r="J907" s="6" t="s">
        <v>63</v>
      </c>
      <c r="K907" s="6" t="s">
        <v>63</v>
      </c>
      <c r="L907" s="6" t="s">
        <v>64</v>
      </c>
      <c r="M907" s="27" t="s">
        <v>5115</v>
      </c>
      <c r="N907" s="27" t="s">
        <v>4718</v>
      </c>
      <c r="O907" s="6" t="s">
        <v>3697</v>
      </c>
      <c r="P907" s="28"/>
      <c r="Q907" s="6" t="s">
        <v>67</v>
      </c>
      <c r="R907" s="6" t="s">
        <v>68</v>
      </c>
      <c r="S907" s="27" t="s">
        <v>5116</v>
      </c>
      <c r="T907" s="6" t="s">
        <v>4225</v>
      </c>
      <c r="U907" s="7" t="n">
        <v>1</v>
      </c>
      <c r="V907" s="7" t="n">
        <v>1</v>
      </c>
      <c r="W907" s="8" t="s">
        <v>5117</v>
      </c>
      <c r="X907" s="8" t="s">
        <v>5117</v>
      </c>
      <c r="Y907" s="8" t="s">
        <v>5118</v>
      </c>
      <c r="Z907" s="8" t="s">
        <v>5118</v>
      </c>
      <c r="AA907" s="7" t="n">
        <v>119</v>
      </c>
      <c r="AB907" s="7" t="n">
        <v>85</v>
      </c>
      <c r="AC907" s="7" t="n">
        <v>86</v>
      </c>
      <c r="AD907" s="7" t="n">
        <v>1</v>
      </c>
      <c r="AE907" s="7" t="n">
        <v>1</v>
      </c>
      <c r="AF907" s="7" t="n">
        <v>10</v>
      </c>
      <c r="AG907" s="7" t="n">
        <v>10</v>
      </c>
      <c r="AH907" s="7" t="n">
        <v>2</v>
      </c>
      <c r="AI907" s="7" t="n">
        <v>2</v>
      </c>
      <c r="AJ907" s="7" t="n">
        <v>4</v>
      </c>
      <c r="AK907" s="7" t="n">
        <v>4</v>
      </c>
      <c r="AL907" s="7" t="n">
        <v>9</v>
      </c>
      <c r="AM907" s="7" t="n">
        <v>9</v>
      </c>
      <c r="AN907" s="7" t="n">
        <v>0</v>
      </c>
      <c r="AO907" s="7" t="n">
        <v>0</v>
      </c>
      <c r="AP907" s="7" t="n">
        <v>0</v>
      </c>
      <c r="AQ907" s="7" t="n">
        <v>0</v>
      </c>
      <c r="AR907" s="6" t="s">
        <v>63</v>
      </c>
      <c r="AS907" s="6" t="s">
        <v>63</v>
      </c>
      <c r="AT907" s="28"/>
      <c r="AU907" s="9" t="str">
        <f aca="false">HYPERLINK("https://creighton-primo.hosted.exlibrisgroup.com/primo-explore/search?tab=default_tab&amp;search_scope=EVERYTHING&amp;vid=01CRU&amp;lang=en_US&amp;offset=0&amp;query=any,contains,991001751539702656","Catalog Record")</f>
        <v>Catalog Record</v>
      </c>
      <c r="AV907" s="9" t="str">
        <f aca="false">HYPERLINK("http://www.worldcat.org/oclc/22182954","WorldCat Record")</f>
        <v>WorldCat Record</v>
      </c>
      <c r="AW907" s="6" t="s">
        <v>5119</v>
      </c>
      <c r="AX907" s="6" t="s">
        <v>5120</v>
      </c>
      <c r="AY907" s="6" t="s">
        <v>5121</v>
      </c>
      <c r="AZ907" s="6" t="s">
        <v>5121</v>
      </c>
      <c r="BA907" s="6" t="s">
        <v>5122</v>
      </c>
      <c r="BB907" s="6" t="s">
        <v>5123</v>
      </c>
      <c r="BC907" s="6" t="s">
        <v>5124</v>
      </c>
      <c r="BE907" s="15" t="s">
        <v>2145</v>
      </c>
      <c r="BF907" s="6" t="s">
        <v>5125</v>
      </c>
    </row>
    <row r="908" customFormat="false" ht="151.5" hidden="false" customHeight="false" outlineLevel="0" collapsed="false">
      <c r="A908" s="26" t="s">
        <v>63</v>
      </c>
      <c r="B908" s="27" t="s">
        <v>2129</v>
      </c>
      <c r="C908" s="27" t="s">
        <v>2130</v>
      </c>
      <c r="D908" s="27" t="s">
        <v>5126</v>
      </c>
      <c r="E908" s="27" t="s">
        <v>5127</v>
      </c>
      <c r="F908" s="27" t="s">
        <v>5128</v>
      </c>
      <c r="G908" s="28"/>
      <c r="H908" s="6" t="s">
        <v>63</v>
      </c>
      <c r="I908" s="6" t="s">
        <v>62</v>
      </c>
      <c r="J908" s="6" t="s">
        <v>63</v>
      </c>
      <c r="K908" s="6" t="s">
        <v>63</v>
      </c>
      <c r="L908" s="6" t="s">
        <v>64</v>
      </c>
      <c r="M908" s="28"/>
      <c r="N908" s="27" t="s">
        <v>5129</v>
      </c>
      <c r="O908" s="6" t="s">
        <v>3340</v>
      </c>
      <c r="P908" s="28"/>
      <c r="Q908" s="6" t="s">
        <v>67</v>
      </c>
      <c r="R908" s="6" t="s">
        <v>68</v>
      </c>
      <c r="S908" s="28"/>
      <c r="T908" s="6" t="s">
        <v>4225</v>
      </c>
      <c r="U908" s="7" t="n">
        <v>4</v>
      </c>
      <c r="V908" s="7" t="n">
        <v>4</v>
      </c>
      <c r="W908" s="8" t="s">
        <v>5130</v>
      </c>
      <c r="X908" s="8" t="s">
        <v>5130</v>
      </c>
      <c r="Y908" s="8" t="s">
        <v>5081</v>
      </c>
      <c r="Z908" s="8" t="s">
        <v>5081</v>
      </c>
      <c r="AA908" s="7" t="n">
        <v>342</v>
      </c>
      <c r="AB908" s="7" t="n">
        <v>321</v>
      </c>
      <c r="AC908" s="7" t="n">
        <v>321</v>
      </c>
      <c r="AD908" s="7" t="n">
        <v>4</v>
      </c>
      <c r="AE908" s="7" t="n">
        <v>4</v>
      </c>
      <c r="AF908" s="7" t="n">
        <v>17</v>
      </c>
      <c r="AG908" s="7" t="n">
        <v>17</v>
      </c>
      <c r="AH908" s="7" t="n">
        <v>5</v>
      </c>
      <c r="AI908" s="7" t="n">
        <v>5</v>
      </c>
      <c r="AJ908" s="7" t="n">
        <v>2</v>
      </c>
      <c r="AK908" s="7" t="n">
        <v>2</v>
      </c>
      <c r="AL908" s="7" t="n">
        <v>10</v>
      </c>
      <c r="AM908" s="7" t="n">
        <v>10</v>
      </c>
      <c r="AN908" s="7" t="n">
        <v>3</v>
      </c>
      <c r="AO908" s="7" t="n">
        <v>3</v>
      </c>
      <c r="AP908" s="7" t="n">
        <v>0</v>
      </c>
      <c r="AQ908" s="7" t="n">
        <v>0</v>
      </c>
      <c r="AR908" s="6" t="s">
        <v>63</v>
      </c>
      <c r="AS908" s="6" t="s">
        <v>63</v>
      </c>
      <c r="AT908" s="28"/>
      <c r="AU908" s="9" t="str">
        <f aca="false">HYPERLINK("https://creighton-primo.hosted.exlibrisgroup.com/primo-explore/search?tab=default_tab&amp;search_scope=EVERYTHING&amp;vid=01CRU&amp;lang=en_US&amp;offset=0&amp;query=any,contains,991004391469702656","Catalog Record")</f>
        <v>Catalog Record</v>
      </c>
      <c r="AV908" s="9" t="str">
        <f aca="false">HYPERLINK("http://www.worldcat.org/oclc/3266633","WorldCat Record")</f>
        <v>WorldCat Record</v>
      </c>
      <c r="AW908" s="6" t="s">
        <v>5131</v>
      </c>
      <c r="AX908" s="6" t="s">
        <v>5132</v>
      </c>
      <c r="AY908" s="6" t="s">
        <v>5133</v>
      </c>
      <c r="AZ908" s="6" t="s">
        <v>5133</v>
      </c>
      <c r="BA908" s="6" t="s">
        <v>5134</v>
      </c>
      <c r="BB908" s="6" t="s">
        <v>5135</v>
      </c>
      <c r="BC908" s="6" t="s">
        <v>5136</v>
      </c>
      <c r="BE908" s="15" t="s">
        <v>2145</v>
      </c>
      <c r="BF908" s="6" t="s">
        <v>5137</v>
      </c>
    </row>
    <row r="909" customFormat="false" ht="209" hidden="false" customHeight="false" outlineLevel="0" collapsed="false">
      <c r="A909" s="26" t="s">
        <v>63</v>
      </c>
      <c r="B909" s="27" t="s">
        <v>2129</v>
      </c>
      <c r="C909" s="27" t="s">
        <v>2130</v>
      </c>
      <c r="D909" s="27" t="s">
        <v>5138</v>
      </c>
      <c r="E909" s="27" t="s">
        <v>5139</v>
      </c>
      <c r="F909" s="27" t="s">
        <v>5140</v>
      </c>
      <c r="G909" s="28"/>
      <c r="H909" s="6" t="s">
        <v>63</v>
      </c>
      <c r="I909" s="6" t="s">
        <v>62</v>
      </c>
      <c r="J909" s="6" t="s">
        <v>63</v>
      </c>
      <c r="K909" s="6" t="s">
        <v>63</v>
      </c>
      <c r="L909" s="6" t="s">
        <v>64</v>
      </c>
      <c r="M909" s="27" t="s">
        <v>5141</v>
      </c>
      <c r="N909" s="27" t="s">
        <v>5142</v>
      </c>
      <c r="O909" s="6" t="s">
        <v>167</v>
      </c>
      <c r="P909" s="28"/>
      <c r="Q909" s="6" t="s">
        <v>67</v>
      </c>
      <c r="R909" s="6" t="s">
        <v>272</v>
      </c>
      <c r="S909" s="28"/>
      <c r="T909" s="6" t="s">
        <v>4225</v>
      </c>
      <c r="U909" s="7" t="n">
        <v>4</v>
      </c>
      <c r="V909" s="7" t="n">
        <v>4</v>
      </c>
      <c r="W909" s="8" t="s">
        <v>5143</v>
      </c>
      <c r="X909" s="8" t="s">
        <v>5143</v>
      </c>
      <c r="Y909" s="8" t="s">
        <v>5144</v>
      </c>
      <c r="Z909" s="8" t="s">
        <v>5144</v>
      </c>
      <c r="AA909" s="7" t="n">
        <v>549</v>
      </c>
      <c r="AB909" s="7" t="n">
        <v>486</v>
      </c>
      <c r="AC909" s="7" t="n">
        <v>486</v>
      </c>
      <c r="AD909" s="7" t="n">
        <v>5</v>
      </c>
      <c r="AE909" s="7" t="n">
        <v>5</v>
      </c>
      <c r="AF909" s="7" t="n">
        <v>30</v>
      </c>
      <c r="AG909" s="7" t="n">
        <v>30</v>
      </c>
      <c r="AH909" s="7" t="n">
        <v>10</v>
      </c>
      <c r="AI909" s="7" t="n">
        <v>10</v>
      </c>
      <c r="AJ909" s="7" t="n">
        <v>7</v>
      </c>
      <c r="AK909" s="7" t="n">
        <v>7</v>
      </c>
      <c r="AL909" s="7" t="n">
        <v>18</v>
      </c>
      <c r="AM909" s="7" t="n">
        <v>18</v>
      </c>
      <c r="AN909" s="7" t="n">
        <v>4</v>
      </c>
      <c r="AO909" s="7" t="n">
        <v>4</v>
      </c>
      <c r="AP909" s="7" t="n">
        <v>0</v>
      </c>
      <c r="AQ909" s="7" t="n">
        <v>0</v>
      </c>
      <c r="AR909" s="6" t="s">
        <v>63</v>
      </c>
      <c r="AS909" s="6" t="s">
        <v>63</v>
      </c>
      <c r="AT909" s="28"/>
      <c r="AU909" s="9" t="str">
        <f aca="false">HYPERLINK("https://creighton-primo.hosted.exlibrisgroup.com/primo-explore/search?tab=default_tab&amp;search_scope=EVERYTHING&amp;vid=01CRU&amp;lang=en_US&amp;offset=0&amp;query=any,contains,991003237839702656","Catalog Record")</f>
        <v>Catalog Record</v>
      </c>
      <c r="AV909" s="9" t="str">
        <f aca="false">HYPERLINK("http://www.worldcat.org/oclc/762002","WorldCat Record")</f>
        <v>WorldCat Record</v>
      </c>
      <c r="AW909" s="6" t="s">
        <v>5145</v>
      </c>
      <c r="AX909" s="6" t="s">
        <v>5146</v>
      </c>
      <c r="AY909" s="6" t="s">
        <v>5147</v>
      </c>
      <c r="AZ909" s="6" t="s">
        <v>5147</v>
      </c>
      <c r="BA909" s="6" t="s">
        <v>5148</v>
      </c>
      <c r="BB909" s="28"/>
      <c r="BC909" s="6" t="s">
        <v>5149</v>
      </c>
      <c r="BE909" s="15" t="s">
        <v>2145</v>
      </c>
      <c r="BF909" s="6" t="s">
        <v>5150</v>
      </c>
    </row>
    <row r="910" customFormat="false" ht="174.5" hidden="false" customHeight="false" outlineLevel="0" collapsed="false">
      <c r="A910" s="26" t="s">
        <v>63</v>
      </c>
      <c r="B910" s="27" t="s">
        <v>2129</v>
      </c>
      <c r="C910" s="27" t="s">
        <v>2130</v>
      </c>
      <c r="D910" s="27" t="s">
        <v>5151</v>
      </c>
      <c r="E910" s="27" t="s">
        <v>5152</v>
      </c>
      <c r="F910" s="27" t="s">
        <v>5153</v>
      </c>
      <c r="G910" s="28"/>
      <c r="H910" s="6" t="s">
        <v>63</v>
      </c>
      <c r="I910" s="6" t="s">
        <v>62</v>
      </c>
      <c r="J910" s="6" t="s">
        <v>63</v>
      </c>
      <c r="K910" s="6" t="s">
        <v>63</v>
      </c>
      <c r="L910" s="6" t="s">
        <v>64</v>
      </c>
      <c r="M910" s="27" t="s">
        <v>5154</v>
      </c>
      <c r="N910" s="27" t="s">
        <v>5155</v>
      </c>
      <c r="O910" s="6" t="s">
        <v>2343</v>
      </c>
      <c r="P910" s="28"/>
      <c r="Q910" s="6" t="s">
        <v>67</v>
      </c>
      <c r="R910" s="6" t="s">
        <v>68</v>
      </c>
      <c r="S910" s="27" t="s">
        <v>5156</v>
      </c>
      <c r="T910" s="6" t="s">
        <v>4225</v>
      </c>
      <c r="U910" s="7" t="n">
        <v>2</v>
      </c>
      <c r="V910" s="7" t="n">
        <v>2</v>
      </c>
      <c r="W910" s="8" t="s">
        <v>5157</v>
      </c>
      <c r="X910" s="8" t="s">
        <v>5157</v>
      </c>
      <c r="Y910" s="8" t="s">
        <v>5144</v>
      </c>
      <c r="Z910" s="8" t="s">
        <v>5144</v>
      </c>
      <c r="AA910" s="7" t="n">
        <v>418</v>
      </c>
      <c r="AB910" s="7" t="n">
        <v>387</v>
      </c>
      <c r="AC910" s="7" t="n">
        <v>437</v>
      </c>
      <c r="AD910" s="7" t="n">
        <v>2</v>
      </c>
      <c r="AE910" s="7" t="n">
        <v>2</v>
      </c>
      <c r="AF910" s="7" t="n">
        <v>9</v>
      </c>
      <c r="AG910" s="7" t="n">
        <v>9</v>
      </c>
      <c r="AH910" s="7" t="n">
        <v>5</v>
      </c>
      <c r="AI910" s="7" t="n">
        <v>5</v>
      </c>
      <c r="AJ910" s="7" t="n">
        <v>0</v>
      </c>
      <c r="AK910" s="7" t="n">
        <v>0</v>
      </c>
      <c r="AL910" s="7" t="n">
        <v>6</v>
      </c>
      <c r="AM910" s="7" t="n">
        <v>6</v>
      </c>
      <c r="AN910" s="7" t="n">
        <v>1</v>
      </c>
      <c r="AO910" s="7" t="n">
        <v>1</v>
      </c>
      <c r="AP910" s="7" t="n">
        <v>0</v>
      </c>
      <c r="AQ910" s="7" t="n">
        <v>0</v>
      </c>
      <c r="AR910" s="6" t="s">
        <v>63</v>
      </c>
      <c r="AS910" s="6" t="s">
        <v>57</v>
      </c>
      <c r="AT910" s="9" t="str">
        <f aca="false">HYPERLINK("http://catalog.hathitrust.org/Record/000222556","HathiTrust Record")</f>
        <v>HathiTrust Record</v>
      </c>
      <c r="AU910" s="9" t="str">
        <f aca="false">HYPERLINK("https://creighton-primo.hosted.exlibrisgroup.com/primo-explore/search?tab=default_tab&amp;search_scope=EVERYTHING&amp;vid=01CRU&amp;lang=en_US&amp;offset=0&amp;query=any,contains,991005100499702656","Catalog Record")</f>
        <v>Catalog Record</v>
      </c>
      <c r="AV910" s="9" t="str">
        <f aca="false">HYPERLINK("http://www.worldcat.org/oclc/7282815","WorldCat Record")</f>
        <v>WorldCat Record</v>
      </c>
      <c r="AW910" s="6" t="s">
        <v>5158</v>
      </c>
      <c r="AX910" s="6" t="s">
        <v>5159</v>
      </c>
      <c r="AY910" s="6" t="s">
        <v>5160</v>
      </c>
      <c r="AZ910" s="6" t="s">
        <v>5160</v>
      </c>
      <c r="BA910" s="6" t="s">
        <v>5161</v>
      </c>
      <c r="BB910" s="6" t="s">
        <v>5162</v>
      </c>
      <c r="BC910" s="6" t="s">
        <v>5163</v>
      </c>
      <c r="BE910" s="15" t="s">
        <v>2145</v>
      </c>
      <c r="BF910" s="6" t="s">
        <v>5164</v>
      </c>
    </row>
    <row r="911" customFormat="false" ht="94" hidden="false" customHeight="false" outlineLevel="0" collapsed="false">
      <c r="A911" s="26" t="s">
        <v>63</v>
      </c>
      <c r="B911" s="27" t="s">
        <v>2129</v>
      </c>
      <c r="C911" s="27" t="s">
        <v>2130</v>
      </c>
      <c r="D911" s="27" t="s">
        <v>5165</v>
      </c>
      <c r="E911" s="27" t="s">
        <v>5166</v>
      </c>
      <c r="F911" s="27" t="s">
        <v>5167</v>
      </c>
      <c r="G911" s="28"/>
      <c r="H911" s="6" t="s">
        <v>63</v>
      </c>
      <c r="I911" s="6" t="s">
        <v>62</v>
      </c>
      <c r="J911" s="6" t="s">
        <v>63</v>
      </c>
      <c r="K911" s="6" t="s">
        <v>63</v>
      </c>
      <c r="L911" s="6" t="s">
        <v>64</v>
      </c>
      <c r="M911" s="28"/>
      <c r="N911" s="27" t="s">
        <v>5168</v>
      </c>
      <c r="O911" s="6" t="s">
        <v>108</v>
      </c>
      <c r="P911" s="28"/>
      <c r="Q911" s="6" t="s">
        <v>67</v>
      </c>
      <c r="R911" s="6" t="s">
        <v>68</v>
      </c>
      <c r="S911" s="28"/>
      <c r="T911" s="6" t="s">
        <v>4225</v>
      </c>
      <c r="U911" s="7" t="n">
        <v>1</v>
      </c>
      <c r="V911" s="7" t="n">
        <v>1</v>
      </c>
      <c r="W911" s="8" t="s">
        <v>5143</v>
      </c>
      <c r="X911" s="8" t="s">
        <v>5143</v>
      </c>
      <c r="Y911" s="8" t="s">
        <v>5144</v>
      </c>
      <c r="Z911" s="8" t="s">
        <v>5144</v>
      </c>
      <c r="AA911" s="7" t="n">
        <v>772</v>
      </c>
      <c r="AB911" s="7" t="n">
        <v>682</v>
      </c>
      <c r="AC911" s="7" t="n">
        <v>1073</v>
      </c>
      <c r="AD911" s="7" t="n">
        <v>8</v>
      </c>
      <c r="AE911" s="7" t="n">
        <v>10</v>
      </c>
      <c r="AF911" s="7" t="n">
        <v>47</v>
      </c>
      <c r="AG911" s="7" t="n">
        <v>52</v>
      </c>
      <c r="AH911" s="7" t="n">
        <v>19</v>
      </c>
      <c r="AI911" s="7" t="n">
        <v>21</v>
      </c>
      <c r="AJ911" s="7" t="n">
        <v>9</v>
      </c>
      <c r="AK911" s="7" t="n">
        <v>9</v>
      </c>
      <c r="AL911" s="7" t="n">
        <v>22</v>
      </c>
      <c r="AM911" s="7" t="n">
        <v>23</v>
      </c>
      <c r="AN911" s="7" t="n">
        <v>7</v>
      </c>
      <c r="AO911" s="7" t="n">
        <v>9</v>
      </c>
      <c r="AP911" s="7" t="n">
        <v>0</v>
      </c>
      <c r="AQ911" s="7" t="n">
        <v>0</v>
      </c>
      <c r="AR911" s="6" t="s">
        <v>63</v>
      </c>
      <c r="AS911" s="6" t="s">
        <v>57</v>
      </c>
      <c r="AT911" s="9" t="str">
        <f aca="false">HYPERLINK("http://catalog.hathitrust.org/Record/000258562","HathiTrust Record")</f>
        <v>HathiTrust Record</v>
      </c>
      <c r="AU911" s="9" t="str">
        <f aca="false">HYPERLINK("https://creighton-primo.hosted.exlibrisgroup.com/primo-explore/search?tab=default_tab&amp;search_scope=EVERYTHING&amp;vid=01CRU&amp;lang=en_US&amp;offset=0&amp;query=any,contains,991004680669702656","Catalog Record")</f>
        <v>Catalog Record</v>
      </c>
      <c r="AV911" s="9" t="str">
        <f aca="false">HYPERLINK("http://www.worldcat.org/oclc/4565500","WorldCat Record")</f>
        <v>WorldCat Record</v>
      </c>
      <c r="AW911" s="6" t="s">
        <v>5169</v>
      </c>
      <c r="AX911" s="6" t="s">
        <v>5170</v>
      </c>
      <c r="AY911" s="6" t="s">
        <v>5171</v>
      </c>
      <c r="AZ911" s="6" t="s">
        <v>5171</v>
      </c>
      <c r="BA911" s="6" t="s">
        <v>5172</v>
      </c>
      <c r="BB911" s="6" t="s">
        <v>5173</v>
      </c>
      <c r="BC911" s="6" t="s">
        <v>5174</v>
      </c>
      <c r="BE911" s="15" t="s">
        <v>2145</v>
      </c>
      <c r="BF911" s="6" t="s">
        <v>5175</v>
      </c>
    </row>
    <row r="912" customFormat="false" ht="59.5" hidden="false" customHeight="false" outlineLevel="0" collapsed="false">
      <c r="A912" s="26" t="s">
        <v>63</v>
      </c>
      <c r="B912" s="27" t="s">
        <v>2129</v>
      </c>
      <c r="C912" s="27" t="s">
        <v>2130</v>
      </c>
      <c r="D912" s="27" t="s">
        <v>5176</v>
      </c>
      <c r="E912" s="27" t="s">
        <v>5177</v>
      </c>
      <c r="F912" s="27" t="s">
        <v>5178</v>
      </c>
      <c r="G912" s="28"/>
      <c r="H912" s="6" t="s">
        <v>63</v>
      </c>
      <c r="I912" s="6" t="s">
        <v>62</v>
      </c>
      <c r="J912" s="6" t="s">
        <v>63</v>
      </c>
      <c r="K912" s="6" t="s">
        <v>63</v>
      </c>
      <c r="L912" s="6" t="s">
        <v>64</v>
      </c>
      <c r="M912" s="27" t="s">
        <v>5179</v>
      </c>
      <c r="N912" s="27" t="s">
        <v>5180</v>
      </c>
      <c r="O912" s="6" t="s">
        <v>2893</v>
      </c>
      <c r="P912" s="28"/>
      <c r="Q912" s="6" t="s">
        <v>67</v>
      </c>
      <c r="R912" s="6" t="s">
        <v>68</v>
      </c>
      <c r="S912" s="28"/>
      <c r="T912" s="6" t="s">
        <v>4225</v>
      </c>
      <c r="U912" s="7" t="n">
        <v>3</v>
      </c>
      <c r="V912" s="7" t="n">
        <v>3</v>
      </c>
      <c r="W912" s="8" t="s">
        <v>5181</v>
      </c>
      <c r="X912" s="8" t="s">
        <v>5181</v>
      </c>
      <c r="Y912" s="8" t="s">
        <v>5182</v>
      </c>
      <c r="Z912" s="8" t="s">
        <v>5182</v>
      </c>
      <c r="AA912" s="7" t="n">
        <v>1190</v>
      </c>
      <c r="AB912" s="7" t="n">
        <v>1044</v>
      </c>
      <c r="AC912" s="7" t="n">
        <v>1075</v>
      </c>
      <c r="AD912" s="7" t="n">
        <v>6</v>
      </c>
      <c r="AE912" s="7" t="n">
        <v>6</v>
      </c>
      <c r="AF912" s="7" t="n">
        <v>43</v>
      </c>
      <c r="AG912" s="7" t="n">
        <v>44</v>
      </c>
      <c r="AH912" s="7" t="n">
        <v>18</v>
      </c>
      <c r="AI912" s="7" t="n">
        <v>19</v>
      </c>
      <c r="AJ912" s="7" t="n">
        <v>8</v>
      </c>
      <c r="AK912" s="7" t="n">
        <v>8</v>
      </c>
      <c r="AL912" s="7" t="n">
        <v>23</v>
      </c>
      <c r="AM912" s="7" t="n">
        <v>23</v>
      </c>
      <c r="AN912" s="7" t="n">
        <v>5</v>
      </c>
      <c r="AO912" s="7" t="n">
        <v>5</v>
      </c>
      <c r="AP912" s="7" t="n">
        <v>0</v>
      </c>
      <c r="AQ912" s="7" t="n">
        <v>0</v>
      </c>
      <c r="AR912" s="6" t="s">
        <v>63</v>
      </c>
      <c r="AS912" s="6" t="s">
        <v>57</v>
      </c>
      <c r="AT912" s="9" t="str">
        <f aca="false">HYPERLINK("http://catalog.hathitrust.org/Record/000020125","HathiTrust Record")</f>
        <v>HathiTrust Record</v>
      </c>
      <c r="AU912" s="9" t="str">
        <f aca="false">HYPERLINK("https://creighton-primo.hosted.exlibrisgroup.com/primo-explore/search?tab=default_tab&amp;search_scope=EVERYTHING&amp;vid=01CRU&amp;lang=en_US&amp;offset=0&amp;query=any,contains,991003807689702656","Catalog Record")</f>
        <v>Catalog Record</v>
      </c>
      <c r="AV912" s="9" t="str">
        <f aca="false">HYPERLINK("http://www.worldcat.org/oclc/1531747","WorldCat Record")</f>
        <v>WorldCat Record</v>
      </c>
      <c r="AW912" s="6" t="s">
        <v>5183</v>
      </c>
      <c r="AX912" s="6" t="s">
        <v>5184</v>
      </c>
      <c r="AY912" s="6" t="s">
        <v>5185</v>
      </c>
      <c r="AZ912" s="6" t="s">
        <v>5185</v>
      </c>
      <c r="BA912" s="6" t="s">
        <v>5186</v>
      </c>
      <c r="BB912" s="6" t="s">
        <v>5187</v>
      </c>
      <c r="BC912" s="6" t="s">
        <v>5188</v>
      </c>
      <c r="BE912" s="15" t="s">
        <v>2145</v>
      </c>
      <c r="BF912" s="6" t="s">
        <v>5189</v>
      </c>
    </row>
    <row r="913" customFormat="false" ht="163" hidden="false" customHeight="false" outlineLevel="0" collapsed="false">
      <c r="A913" s="26" t="s">
        <v>63</v>
      </c>
      <c r="B913" s="27" t="s">
        <v>2129</v>
      </c>
      <c r="C913" s="27" t="s">
        <v>2130</v>
      </c>
      <c r="D913" s="27" t="s">
        <v>5190</v>
      </c>
      <c r="E913" s="27" t="s">
        <v>5191</v>
      </c>
      <c r="F913" s="27" t="s">
        <v>5192</v>
      </c>
      <c r="G913" s="28"/>
      <c r="H913" s="6" t="s">
        <v>63</v>
      </c>
      <c r="I913" s="6" t="s">
        <v>62</v>
      </c>
      <c r="J913" s="6" t="s">
        <v>63</v>
      </c>
      <c r="K913" s="6" t="s">
        <v>63</v>
      </c>
      <c r="L913" s="6" t="s">
        <v>64</v>
      </c>
      <c r="M913" s="28"/>
      <c r="N913" s="27" t="s">
        <v>5193</v>
      </c>
      <c r="O913" s="6" t="s">
        <v>208</v>
      </c>
      <c r="P913" s="28"/>
      <c r="Q913" s="6" t="s">
        <v>67</v>
      </c>
      <c r="R913" s="6" t="s">
        <v>68</v>
      </c>
      <c r="S913" s="28"/>
      <c r="T913" s="6" t="s">
        <v>4225</v>
      </c>
      <c r="U913" s="7" t="n">
        <v>1</v>
      </c>
      <c r="V913" s="7" t="n">
        <v>1</v>
      </c>
      <c r="W913" s="8" t="s">
        <v>5194</v>
      </c>
      <c r="X913" s="8" t="s">
        <v>5194</v>
      </c>
      <c r="Y913" s="8" t="s">
        <v>5144</v>
      </c>
      <c r="Z913" s="8" t="s">
        <v>5144</v>
      </c>
      <c r="AA913" s="7" t="n">
        <v>379</v>
      </c>
      <c r="AB913" s="7" t="n">
        <v>330</v>
      </c>
      <c r="AC913" s="7" t="n">
        <v>336</v>
      </c>
      <c r="AD913" s="7" t="n">
        <v>3</v>
      </c>
      <c r="AE913" s="7" t="n">
        <v>3</v>
      </c>
      <c r="AF913" s="7" t="n">
        <v>15</v>
      </c>
      <c r="AG913" s="7" t="n">
        <v>15</v>
      </c>
      <c r="AH913" s="7" t="n">
        <v>6</v>
      </c>
      <c r="AI913" s="7" t="n">
        <v>6</v>
      </c>
      <c r="AJ913" s="7" t="n">
        <v>3</v>
      </c>
      <c r="AK913" s="7" t="n">
        <v>3</v>
      </c>
      <c r="AL913" s="7" t="n">
        <v>6</v>
      </c>
      <c r="AM913" s="7" t="n">
        <v>6</v>
      </c>
      <c r="AN913" s="7" t="n">
        <v>2</v>
      </c>
      <c r="AO913" s="7" t="n">
        <v>2</v>
      </c>
      <c r="AP913" s="7" t="n">
        <v>0</v>
      </c>
      <c r="AQ913" s="7" t="n">
        <v>0</v>
      </c>
      <c r="AR913" s="6" t="s">
        <v>63</v>
      </c>
      <c r="AS913" s="6" t="s">
        <v>63</v>
      </c>
      <c r="AT913" s="28"/>
      <c r="AU913" s="9" t="str">
        <f aca="false">HYPERLINK("https://creighton-primo.hosted.exlibrisgroup.com/primo-explore/search?tab=default_tab&amp;search_scope=EVERYTHING&amp;vid=01CRU&amp;lang=en_US&amp;offset=0&amp;query=any,contains,991001035619702656","Catalog Record")</f>
        <v>Catalog Record</v>
      </c>
      <c r="AV913" s="9" t="str">
        <f aca="false">HYPERLINK("http://www.worldcat.org/oclc/15548874","WorldCat Record")</f>
        <v>WorldCat Record</v>
      </c>
      <c r="AW913" s="6" t="s">
        <v>5195</v>
      </c>
      <c r="AX913" s="6" t="s">
        <v>5196</v>
      </c>
      <c r="AY913" s="6" t="s">
        <v>5197</v>
      </c>
      <c r="AZ913" s="6" t="s">
        <v>5197</v>
      </c>
      <c r="BA913" s="6" t="s">
        <v>5198</v>
      </c>
      <c r="BB913" s="6" t="s">
        <v>5199</v>
      </c>
      <c r="BC913" s="6" t="s">
        <v>5200</v>
      </c>
      <c r="BE913" s="15" t="s">
        <v>2145</v>
      </c>
      <c r="BF913" s="6" t="s">
        <v>5201</v>
      </c>
    </row>
    <row r="914" customFormat="false" ht="71" hidden="false" customHeight="false" outlineLevel="0" collapsed="false">
      <c r="A914" s="26" t="s">
        <v>63</v>
      </c>
      <c r="B914" s="27" t="s">
        <v>2129</v>
      </c>
      <c r="C914" s="27" t="s">
        <v>2130</v>
      </c>
      <c r="D914" s="27" t="s">
        <v>5202</v>
      </c>
      <c r="E914" s="27" t="s">
        <v>5203</v>
      </c>
      <c r="F914" s="27" t="s">
        <v>5204</v>
      </c>
      <c r="G914" s="28"/>
      <c r="H914" s="6" t="s">
        <v>63</v>
      </c>
      <c r="I914" s="6" t="s">
        <v>62</v>
      </c>
      <c r="J914" s="6" t="s">
        <v>63</v>
      </c>
      <c r="K914" s="6" t="s">
        <v>63</v>
      </c>
      <c r="L914" s="6" t="s">
        <v>64</v>
      </c>
      <c r="M914" s="27" t="s">
        <v>5205</v>
      </c>
      <c r="N914" s="27" t="s">
        <v>5206</v>
      </c>
      <c r="O914" s="6" t="s">
        <v>2343</v>
      </c>
      <c r="P914" s="28"/>
      <c r="Q914" s="6" t="s">
        <v>67</v>
      </c>
      <c r="R914" s="6" t="s">
        <v>2288</v>
      </c>
      <c r="S914" s="28"/>
      <c r="T914" s="6" t="s">
        <v>4225</v>
      </c>
      <c r="U914" s="7" t="n">
        <v>3</v>
      </c>
      <c r="V914" s="7" t="n">
        <v>3</v>
      </c>
      <c r="W914" s="8" t="s">
        <v>5207</v>
      </c>
      <c r="X914" s="8" t="s">
        <v>5207</v>
      </c>
      <c r="Y914" s="8" t="s">
        <v>5144</v>
      </c>
      <c r="Z914" s="8" t="s">
        <v>5144</v>
      </c>
      <c r="AA914" s="7" t="n">
        <v>109</v>
      </c>
      <c r="AB914" s="7" t="n">
        <v>95</v>
      </c>
      <c r="AC914" s="7" t="n">
        <v>97</v>
      </c>
      <c r="AD914" s="7" t="n">
        <v>2</v>
      </c>
      <c r="AE914" s="7" t="n">
        <v>2</v>
      </c>
      <c r="AF914" s="7" t="n">
        <v>16</v>
      </c>
      <c r="AG914" s="7" t="n">
        <v>16</v>
      </c>
      <c r="AH914" s="7" t="n">
        <v>5</v>
      </c>
      <c r="AI914" s="7" t="n">
        <v>5</v>
      </c>
      <c r="AJ914" s="7" t="n">
        <v>4</v>
      </c>
      <c r="AK914" s="7" t="n">
        <v>4</v>
      </c>
      <c r="AL914" s="7" t="n">
        <v>12</v>
      </c>
      <c r="AM914" s="7" t="n">
        <v>12</v>
      </c>
      <c r="AN914" s="7" t="n">
        <v>1</v>
      </c>
      <c r="AO914" s="7" t="n">
        <v>1</v>
      </c>
      <c r="AP914" s="7" t="n">
        <v>0</v>
      </c>
      <c r="AQ914" s="7" t="n">
        <v>0</v>
      </c>
      <c r="AR914" s="6" t="s">
        <v>63</v>
      </c>
      <c r="AS914" s="6" t="s">
        <v>57</v>
      </c>
      <c r="AT914" s="9" t="str">
        <f aca="false">HYPERLINK("http://catalog.hathitrust.org/Record/000761106","HathiTrust Record")</f>
        <v>HathiTrust Record</v>
      </c>
      <c r="AU914" s="9" t="str">
        <f aca="false">HYPERLINK("https://creighton-primo.hosted.exlibrisgroup.com/primo-explore/search?tab=default_tab&amp;search_scope=EVERYTHING&amp;vid=01CRU&amp;lang=en_US&amp;offset=0&amp;query=any,contains,991005153799702656","Catalog Record")</f>
        <v>Catalog Record</v>
      </c>
      <c r="AV914" s="9" t="str">
        <f aca="false">HYPERLINK("http://www.worldcat.org/oclc/7737251","WorldCat Record")</f>
        <v>WorldCat Record</v>
      </c>
      <c r="AW914" s="6" t="s">
        <v>5208</v>
      </c>
      <c r="AX914" s="6" t="s">
        <v>5209</v>
      </c>
      <c r="AY914" s="6" t="s">
        <v>5210</v>
      </c>
      <c r="AZ914" s="6" t="s">
        <v>5210</v>
      </c>
      <c r="BA914" s="6" t="s">
        <v>5211</v>
      </c>
      <c r="BB914" s="6" t="s">
        <v>5212</v>
      </c>
      <c r="BC914" s="6" t="s">
        <v>5213</v>
      </c>
      <c r="BE914" s="15" t="s">
        <v>2145</v>
      </c>
      <c r="BF914" s="6" t="s">
        <v>5214</v>
      </c>
    </row>
    <row r="915" customFormat="false" ht="94" hidden="false" customHeight="false" outlineLevel="0" collapsed="false">
      <c r="A915" s="26" t="s">
        <v>63</v>
      </c>
      <c r="B915" s="27" t="s">
        <v>2129</v>
      </c>
      <c r="C915" s="27" t="s">
        <v>2130</v>
      </c>
      <c r="D915" s="27" t="s">
        <v>5215</v>
      </c>
      <c r="E915" s="27" t="s">
        <v>5216</v>
      </c>
      <c r="F915" s="27" t="s">
        <v>5217</v>
      </c>
      <c r="G915" s="28"/>
      <c r="H915" s="6" t="s">
        <v>63</v>
      </c>
      <c r="I915" s="6" t="s">
        <v>62</v>
      </c>
      <c r="J915" s="6" t="s">
        <v>63</v>
      </c>
      <c r="K915" s="6" t="s">
        <v>63</v>
      </c>
      <c r="L915" s="6" t="s">
        <v>64</v>
      </c>
      <c r="M915" s="27" t="s">
        <v>5218</v>
      </c>
      <c r="N915" s="27" t="s">
        <v>5219</v>
      </c>
      <c r="O915" s="6" t="s">
        <v>264</v>
      </c>
      <c r="P915" s="28"/>
      <c r="Q915" s="6" t="s">
        <v>67</v>
      </c>
      <c r="R915" s="6" t="s">
        <v>401</v>
      </c>
      <c r="S915" s="28"/>
      <c r="T915" s="6" t="s">
        <v>4225</v>
      </c>
      <c r="U915" s="7" t="n">
        <v>2</v>
      </c>
      <c r="V915" s="7" t="n">
        <v>2</v>
      </c>
      <c r="W915" s="8" t="s">
        <v>5220</v>
      </c>
      <c r="X915" s="8" t="s">
        <v>5220</v>
      </c>
      <c r="Y915" s="8" t="s">
        <v>5182</v>
      </c>
      <c r="Z915" s="8" t="s">
        <v>5182</v>
      </c>
      <c r="AA915" s="7" t="n">
        <v>543</v>
      </c>
      <c r="AB915" s="7" t="n">
        <v>449</v>
      </c>
      <c r="AC915" s="7" t="n">
        <v>456</v>
      </c>
      <c r="AD915" s="7" t="n">
        <v>5</v>
      </c>
      <c r="AE915" s="7" t="n">
        <v>5</v>
      </c>
      <c r="AF915" s="7" t="n">
        <v>27</v>
      </c>
      <c r="AG915" s="7" t="n">
        <v>27</v>
      </c>
      <c r="AH915" s="7" t="n">
        <v>7</v>
      </c>
      <c r="AI915" s="7" t="n">
        <v>7</v>
      </c>
      <c r="AJ915" s="7" t="n">
        <v>6</v>
      </c>
      <c r="AK915" s="7" t="n">
        <v>6</v>
      </c>
      <c r="AL915" s="7" t="n">
        <v>16</v>
      </c>
      <c r="AM915" s="7" t="n">
        <v>16</v>
      </c>
      <c r="AN915" s="7" t="n">
        <v>4</v>
      </c>
      <c r="AO915" s="7" t="n">
        <v>4</v>
      </c>
      <c r="AP915" s="7" t="n">
        <v>0</v>
      </c>
      <c r="AQ915" s="7" t="n">
        <v>0</v>
      </c>
      <c r="AR915" s="6" t="s">
        <v>63</v>
      </c>
      <c r="AS915" s="6" t="s">
        <v>57</v>
      </c>
      <c r="AT915" s="9" t="str">
        <f aca="false">HYPERLINK("http://catalog.hathitrust.org/Record/001919672","HathiTrust Record")</f>
        <v>HathiTrust Record</v>
      </c>
      <c r="AU915" s="9" t="str">
        <f aca="false">HYPERLINK("https://creighton-primo.hosted.exlibrisgroup.com/primo-explore/search?tab=default_tab&amp;search_scope=EVERYTHING&amp;vid=01CRU&amp;lang=en_US&amp;offset=0&amp;query=any,contains,991000586979702656","Catalog Record")</f>
        <v>Catalog Record</v>
      </c>
      <c r="AV915" s="9" t="str">
        <f aca="false">HYPERLINK("http://www.worldcat.org/oclc/96307","WorldCat Record")</f>
        <v>WorldCat Record</v>
      </c>
      <c r="AW915" s="6" t="s">
        <v>5221</v>
      </c>
      <c r="AX915" s="6" t="s">
        <v>5222</v>
      </c>
      <c r="AY915" s="6" t="s">
        <v>5223</v>
      </c>
      <c r="AZ915" s="6" t="s">
        <v>5223</v>
      </c>
      <c r="BA915" s="6" t="s">
        <v>5224</v>
      </c>
      <c r="BB915" s="6" t="s">
        <v>5225</v>
      </c>
      <c r="BC915" s="6" t="s">
        <v>5226</v>
      </c>
      <c r="BE915" s="15" t="s">
        <v>2145</v>
      </c>
      <c r="BF915" s="6" t="s">
        <v>5227</v>
      </c>
    </row>
    <row r="916" customFormat="false" ht="117" hidden="false" customHeight="false" outlineLevel="0" collapsed="false">
      <c r="A916" s="26" t="s">
        <v>63</v>
      </c>
      <c r="B916" s="27" t="s">
        <v>2129</v>
      </c>
      <c r="C916" s="27" t="s">
        <v>2130</v>
      </c>
      <c r="D916" s="27" t="s">
        <v>5228</v>
      </c>
      <c r="E916" s="27" t="s">
        <v>5229</v>
      </c>
      <c r="F916" s="27" t="s">
        <v>5230</v>
      </c>
      <c r="G916" s="28"/>
      <c r="H916" s="6" t="s">
        <v>63</v>
      </c>
      <c r="I916" s="6" t="s">
        <v>62</v>
      </c>
      <c r="J916" s="6" t="s">
        <v>63</v>
      </c>
      <c r="K916" s="6" t="s">
        <v>63</v>
      </c>
      <c r="L916" s="6" t="s">
        <v>64</v>
      </c>
      <c r="M916" s="27" t="s">
        <v>5231</v>
      </c>
      <c r="N916" s="27" t="s">
        <v>5232</v>
      </c>
      <c r="O916" s="6" t="s">
        <v>2665</v>
      </c>
      <c r="P916" s="27" t="s">
        <v>4146</v>
      </c>
      <c r="Q916" s="6" t="s">
        <v>67</v>
      </c>
      <c r="R916" s="6" t="s">
        <v>68</v>
      </c>
      <c r="S916" s="28"/>
      <c r="T916" s="6" t="s">
        <v>4225</v>
      </c>
      <c r="U916" s="7" t="n">
        <v>3</v>
      </c>
      <c r="V916" s="7" t="n">
        <v>3</v>
      </c>
      <c r="W916" s="8" t="s">
        <v>5233</v>
      </c>
      <c r="X916" s="8" t="s">
        <v>5233</v>
      </c>
      <c r="Y916" s="8" t="s">
        <v>5144</v>
      </c>
      <c r="Z916" s="8" t="s">
        <v>5144</v>
      </c>
      <c r="AA916" s="7" t="n">
        <v>258</v>
      </c>
      <c r="AB916" s="7" t="n">
        <v>194</v>
      </c>
      <c r="AC916" s="7" t="n">
        <v>421</v>
      </c>
      <c r="AD916" s="7" t="n">
        <v>2</v>
      </c>
      <c r="AE916" s="7" t="n">
        <v>3</v>
      </c>
      <c r="AF916" s="7" t="n">
        <v>16</v>
      </c>
      <c r="AG916" s="7" t="n">
        <v>27</v>
      </c>
      <c r="AH916" s="7" t="n">
        <v>5</v>
      </c>
      <c r="AI916" s="7" t="n">
        <v>9</v>
      </c>
      <c r="AJ916" s="7" t="n">
        <v>5</v>
      </c>
      <c r="AK916" s="7" t="n">
        <v>6</v>
      </c>
      <c r="AL916" s="7" t="n">
        <v>11</v>
      </c>
      <c r="AM916" s="7" t="n">
        <v>21</v>
      </c>
      <c r="AN916" s="7" t="n">
        <v>1</v>
      </c>
      <c r="AO916" s="7" t="n">
        <v>1</v>
      </c>
      <c r="AP916" s="7" t="n">
        <v>0</v>
      </c>
      <c r="AQ916" s="7" t="n">
        <v>0</v>
      </c>
      <c r="AR916" s="6" t="s">
        <v>63</v>
      </c>
      <c r="AS916" s="6" t="s">
        <v>63</v>
      </c>
      <c r="AT916" s="28"/>
      <c r="AU916" s="9" t="str">
        <f aca="false">HYPERLINK("https://creighton-primo.hosted.exlibrisgroup.com/primo-explore/search?tab=default_tab&amp;search_scope=EVERYTHING&amp;vid=01CRU&amp;lang=en_US&amp;offset=0&amp;query=any,contains,991002461489702656","Catalog Record")</f>
        <v>Catalog Record</v>
      </c>
      <c r="AV916" s="9" t="str">
        <f aca="false">HYPERLINK("http://www.worldcat.org/oclc/356018","WorldCat Record")</f>
        <v>WorldCat Record</v>
      </c>
      <c r="AW916" s="6" t="s">
        <v>5234</v>
      </c>
      <c r="AX916" s="6" t="s">
        <v>5235</v>
      </c>
      <c r="AY916" s="6" t="s">
        <v>5236</v>
      </c>
      <c r="AZ916" s="6" t="s">
        <v>5236</v>
      </c>
      <c r="BA916" s="6" t="s">
        <v>5237</v>
      </c>
      <c r="BB916" s="28"/>
      <c r="BC916" s="6" t="s">
        <v>5238</v>
      </c>
      <c r="BE916" s="15" t="s">
        <v>2145</v>
      </c>
      <c r="BF916" s="6" t="s">
        <v>5239</v>
      </c>
    </row>
    <row r="917" customFormat="false" ht="82.5" hidden="false" customHeight="false" outlineLevel="0" collapsed="false">
      <c r="A917" s="26" t="s">
        <v>57</v>
      </c>
      <c r="B917" s="27" t="s">
        <v>2129</v>
      </c>
      <c r="C917" s="27" t="s">
        <v>2130</v>
      </c>
      <c r="D917" s="27" t="s">
        <v>5240</v>
      </c>
      <c r="E917" s="27" t="s">
        <v>5241</v>
      </c>
      <c r="F917" s="27" t="s">
        <v>5242</v>
      </c>
      <c r="G917" s="28"/>
      <c r="H917" s="6" t="s">
        <v>63</v>
      </c>
      <c r="I917" s="6" t="s">
        <v>62</v>
      </c>
      <c r="J917" s="6" t="s">
        <v>63</v>
      </c>
      <c r="K917" s="6" t="s">
        <v>63</v>
      </c>
      <c r="L917" s="6" t="s">
        <v>64</v>
      </c>
      <c r="M917" s="27" t="s">
        <v>5243</v>
      </c>
      <c r="N917" s="27" t="s">
        <v>5244</v>
      </c>
      <c r="O917" s="6" t="s">
        <v>2221</v>
      </c>
      <c r="P917" s="28"/>
      <c r="Q917" s="6" t="s">
        <v>67</v>
      </c>
      <c r="R917" s="6" t="s">
        <v>4707</v>
      </c>
      <c r="S917" s="27" t="s">
        <v>5245</v>
      </c>
      <c r="T917" s="6" t="s">
        <v>4225</v>
      </c>
      <c r="U917" s="7" t="n">
        <v>3</v>
      </c>
      <c r="V917" s="7" t="n">
        <v>3</v>
      </c>
      <c r="W917" s="8" t="s">
        <v>5246</v>
      </c>
      <c r="X917" s="8" t="s">
        <v>5246</v>
      </c>
      <c r="Y917" s="8" t="s">
        <v>5144</v>
      </c>
      <c r="Z917" s="8" t="s">
        <v>5144</v>
      </c>
      <c r="AA917" s="7" t="n">
        <v>283</v>
      </c>
      <c r="AB917" s="7" t="n">
        <v>237</v>
      </c>
      <c r="AC917" s="7" t="n">
        <v>385</v>
      </c>
      <c r="AD917" s="7" t="n">
        <v>2</v>
      </c>
      <c r="AE917" s="7" t="n">
        <v>2</v>
      </c>
      <c r="AF917" s="7" t="n">
        <v>26</v>
      </c>
      <c r="AG917" s="7" t="n">
        <v>27</v>
      </c>
      <c r="AH917" s="7" t="n">
        <v>8</v>
      </c>
      <c r="AI917" s="7" t="n">
        <v>8</v>
      </c>
      <c r="AJ917" s="7" t="n">
        <v>6</v>
      </c>
      <c r="AK917" s="7" t="n">
        <v>7</v>
      </c>
      <c r="AL917" s="7" t="n">
        <v>20</v>
      </c>
      <c r="AM917" s="7" t="n">
        <v>21</v>
      </c>
      <c r="AN917" s="7" t="n">
        <v>1</v>
      </c>
      <c r="AO917" s="7" t="n">
        <v>1</v>
      </c>
      <c r="AP917" s="7" t="n">
        <v>0</v>
      </c>
      <c r="AQ917" s="7" t="n">
        <v>0</v>
      </c>
      <c r="AR917" s="6" t="s">
        <v>63</v>
      </c>
      <c r="AS917" s="6" t="s">
        <v>57</v>
      </c>
      <c r="AT917" s="9" t="str">
        <f aca="false">HYPERLINK("http://catalog.hathitrust.org/Record/000949598","HathiTrust Record")</f>
        <v>HathiTrust Record</v>
      </c>
      <c r="AU917" s="9" t="str">
        <f aca="false">HYPERLINK("https://creighton-primo.hosted.exlibrisgroup.com/primo-explore/search?tab=default_tab&amp;search_scope=EVERYTHING&amp;vid=01CRU&amp;lang=en_US&amp;offset=0&amp;query=any,contains,991001273339702656","Catalog Record")</f>
        <v>Catalog Record</v>
      </c>
      <c r="AV917" s="9" t="str">
        <f aca="false">HYPERLINK("http://www.worldcat.org/oclc/17843286","WorldCat Record")</f>
        <v>WorldCat Record</v>
      </c>
      <c r="AW917" s="6" t="s">
        <v>5247</v>
      </c>
      <c r="AX917" s="6" t="s">
        <v>5248</v>
      </c>
      <c r="AY917" s="6" t="s">
        <v>5249</v>
      </c>
      <c r="AZ917" s="6" t="s">
        <v>5249</v>
      </c>
      <c r="BA917" s="6" t="s">
        <v>5250</v>
      </c>
      <c r="BB917" s="6" t="s">
        <v>5251</v>
      </c>
      <c r="BC917" s="6" t="s">
        <v>5252</v>
      </c>
      <c r="BE917" s="15" t="s">
        <v>2145</v>
      </c>
      <c r="BF917" s="6" t="s">
        <v>5253</v>
      </c>
    </row>
    <row r="918" customFormat="false" ht="94" hidden="false" customHeight="false" outlineLevel="0" collapsed="false">
      <c r="A918" s="26" t="s">
        <v>63</v>
      </c>
      <c r="B918" s="27" t="s">
        <v>2129</v>
      </c>
      <c r="C918" s="27" t="s">
        <v>2130</v>
      </c>
      <c r="D918" s="27" t="s">
        <v>5254</v>
      </c>
      <c r="E918" s="27" t="s">
        <v>5255</v>
      </c>
      <c r="F918" s="27" t="s">
        <v>5256</v>
      </c>
      <c r="G918" s="28"/>
      <c r="H918" s="6" t="s">
        <v>63</v>
      </c>
      <c r="I918" s="6" t="s">
        <v>62</v>
      </c>
      <c r="J918" s="6" t="s">
        <v>63</v>
      </c>
      <c r="K918" s="6" t="s">
        <v>63</v>
      </c>
      <c r="L918" s="6" t="s">
        <v>64</v>
      </c>
      <c r="M918" s="27" t="s">
        <v>5257</v>
      </c>
      <c r="N918" s="27" t="s">
        <v>5258</v>
      </c>
      <c r="O918" s="6" t="s">
        <v>2426</v>
      </c>
      <c r="P918" s="28"/>
      <c r="Q918" s="6" t="s">
        <v>67</v>
      </c>
      <c r="R918" s="6" t="s">
        <v>401</v>
      </c>
      <c r="S918" s="28"/>
      <c r="T918" s="6" t="s">
        <v>4225</v>
      </c>
      <c r="U918" s="7" t="n">
        <v>2</v>
      </c>
      <c r="V918" s="7" t="n">
        <v>2</v>
      </c>
      <c r="W918" s="8" t="s">
        <v>5259</v>
      </c>
      <c r="X918" s="8" t="s">
        <v>5259</v>
      </c>
      <c r="Y918" s="8" t="s">
        <v>5182</v>
      </c>
      <c r="Z918" s="8" t="s">
        <v>5182</v>
      </c>
      <c r="AA918" s="7" t="n">
        <v>651</v>
      </c>
      <c r="AB918" s="7" t="n">
        <v>575</v>
      </c>
      <c r="AC918" s="7" t="n">
        <v>581</v>
      </c>
      <c r="AD918" s="7" t="n">
        <v>4</v>
      </c>
      <c r="AE918" s="7" t="n">
        <v>4</v>
      </c>
      <c r="AF918" s="7" t="n">
        <v>33</v>
      </c>
      <c r="AG918" s="7" t="n">
        <v>33</v>
      </c>
      <c r="AH918" s="7" t="n">
        <v>14</v>
      </c>
      <c r="AI918" s="7" t="n">
        <v>14</v>
      </c>
      <c r="AJ918" s="7" t="n">
        <v>7</v>
      </c>
      <c r="AK918" s="7" t="n">
        <v>7</v>
      </c>
      <c r="AL918" s="7" t="n">
        <v>17</v>
      </c>
      <c r="AM918" s="7" t="n">
        <v>17</v>
      </c>
      <c r="AN918" s="7" t="n">
        <v>3</v>
      </c>
      <c r="AO918" s="7" t="n">
        <v>3</v>
      </c>
      <c r="AP918" s="7" t="n">
        <v>0</v>
      </c>
      <c r="AQ918" s="7" t="n">
        <v>0</v>
      </c>
      <c r="AR918" s="6" t="s">
        <v>63</v>
      </c>
      <c r="AS918" s="6" t="s">
        <v>57</v>
      </c>
      <c r="AT918" s="9" t="str">
        <f aca="false">HYPERLINK("http://catalog.hathitrust.org/Record/001388812","HathiTrust Record")</f>
        <v>HathiTrust Record</v>
      </c>
      <c r="AU918" s="9" t="str">
        <f aca="false">HYPERLINK("https://creighton-primo.hosted.exlibrisgroup.com/primo-explore/search?tab=default_tab&amp;search_scope=EVERYTHING&amp;vid=01CRU&amp;lang=en_US&amp;offset=0&amp;query=any,contains,991003240759702656","Catalog Record")</f>
        <v>Catalog Record</v>
      </c>
      <c r="AV918" s="9" t="str">
        <f aca="false">HYPERLINK("http://www.worldcat.org/oclc/763607","WorldCat Record")</f>
        <v>WorldCat Record</v>
      </c>
      <c r="AW918" s="6" t="s">
        <v>5260</v>
      </c>
      <c r="AX918" s="6" t="s">
        <v>5261</v>
      </c>
      <c r="AY918" s="6" t="s">
        <v>5262</v>
      </c>
      <c r="AZ918" s="6" t="s">
        <v>5262</v>
      </c>
      <c r="BA918" s="6" t="s">
        <v>5263</v>
      </c>
      <c r="BB918" s="6" t="s">
        <v>5264</v>
      </c>
      <c r="BC918" s="6" t="s">
        <v>5265</v>
      </c>
      <c r="BE918" s="15" t="s">
        <v>2145</v>
      </c>
      <c r="BF918" s="6" t="s">
        <v>5266</v>
      </c>
    </row>
    <row r="919" customFormat="false" ht="105.5" hidden="false" customHeight="false" outlineLevel="0" collapsed="false">
      <c r="A919" s="26" t="s">
        <v>63</v>
      </c>
      <c r="B919" s="27" t="s">
        <v>2129</v>
      </c>
      <c r="C919" s="27" t="s">
        <v>2130</v>
      </c>
      <c r="D919" s="27" t="s">
        <v>5267</v>
      </c>
      <c r="E919" s="27" t="s">
        <v>5268</v>
      </c>
      <c r="F919" s="27" t="s">
        <v>5269</v>
      </c>
      <c r="G919" s="28"/>
      <c r="H919" s="6" t="s">
        <v>63</v>
      </c>
      <c r="I919" s="6" t="s">
        <v>62</v>
      </c>
      <c r="J919" s="6" t="s">
        <v>63</v>
      </c>
      <c r="K919" s="6" t="s">
        <v>63</v>
      </c>
      <c r="L919" s="6" t="s">
        <v>64</v>
      </c>
      <c r="M919" s="27" t="s">
        <v>5270</v>
      </c>
      <c r="N919" s="27" t="s">
        <v>5271</v>
      </c>
      <c r="O919" s="6" t="s">
        <v>2665</v>
      </c>
      <c r="P919" s="28"/>
      <c r="Q919" s="6" t="s">
        <v>67</v>
      </c>
      <c r="R919" s="6" t="s">
        <v>1059</v>
      </c>
      <c r="S919" s="27" t="s">
        <v>4303</v>
      </c>
      <c r="T919" s="6" t="s">
        <v>4225</v>
      </c>
      <c r="U919" s="7" t="n">
        <v>4</v>
      </c>
      <c r="V919" s="7" t="n">
        <v>4</v>
      </c>
      <c r="W919" s="8" t="s">
        <v>5259</v>
      </c>
      <c r="X919" s="8" t="s">
        <v>5259</v>
      </c>
      <c r="Y919" s="8" t="s">
        <v>5182</v>
      </c>
      <c r="Z919" s="8" t="s">
        <v>5182</v>
      </c>
      <c r="AA919" s="7" t="n">
        <v>412</v>
      </c>
      <c r="AB919" s="7" t="n">
        <v>336</v>
      </c>
      <c r="AC919" s="7" t="n">
        <v>340</v>
      </c>
      <c r="AD919" s="7" t="n">
        <v>3</v>
      </c>
      <c r="AE919" s="7" t="n">
        <v>3</v>
      </c>
      <c r="AF919" s="7" t="n">
        <v>20</v>
      </c>
      <c r="AG919" s="7" t="n">
        <v>20</v>
      </c>
      <c r="AH919" s="7" t="n">
        <v>8</v>
      </c>
      <c r="AI919" s="7" t="n">
        <v>8</v>
      </c>
      <c r="AJ919" s="7" t="n">
        <v>4</v>
      </c>
      <c r="AK919" s="7" t="n">
        <v>4</v>
      </c>
      <c r="AL919" s="7" t="n">
        <v>15</v>
      </c>
      <c r="AM919" s="7" t="n">
        <v>15</v>
      </c>
      <c r="AN919" s="7" t="n">
        <v>2</v>
      </c>
      <c r="AO919" s="7" t="n">
        <v>2</v>
      </c>
      <c r="AP919" s="7" t="n">
        <v>0</v>
      </c>
      <c r="AQ919" s="7" t="n">
        <v>0</v>
      </c>
      <c r="AR919" s="6" t="s">
        <v>63</v>
      </c>
      <c r="AS919" s="6" t="s">
        <v>57</v>
      </c>
      <c r="AT919" s="9" t="str">
        <f aca="false">HYPERLINK("http://catalog.hathitrust.org/Record/001388814","HathiTrust Record")</f>
        <v>HathiTrust Record</v>
      </c>
      <c r="AU919" s="9" t="str">
        <f aca="false">HYPERLINK("https://creighton-primo.hosted.exlibrisgroup.com/primo-explore/search?tab=default_tab&amp;search_scope=EVERYTHING&amp;vid=01CRU&amp;lang=en_US&amp;offset=0&amp;query=any,contains,991002694099702656","Catalog Record")</f>
        <v>Catalog Record</v>
      </c>
      <c r="AV919" s="9" t="str">
        <f aca="false">HYPERLINK("http://www.worldcat.org/oclc/402696","WorldCat Record")</f>
        <v>WorldCat Record</v>
      </c>
      <c r="AW919" s="6" t="s">
        <v>5272</v>
      </c>
      <c r="AX919" s="6" t="s">
        <v>5273</v>
      </c>
      <c r="AY919" s="6" t="s">
        <v>5274</v>
      </c>
      <c r="AZ919" s="6" t="s">
        <v>5274</v>
      </c>
      <c r="BA919" s="6" t="s">
        <v>5275</v>
      </c>
      <c r="BB919" s="6" t="s">
        <v>5276</v>
      </c>
      <c r="BC919" s="6" t="s">
        <v>5277</v>
      </c>
      <c r="BE919" s="15" t="s">
        <v>2145</v>
      </c>
      <c r="BF919" s="6" t="s">
        <v>5278</v>
      </c>
    </row>
    <row r="920" customFormat="false" ht="82.5" hidden="false" customHeight="false" outlineLevel="0" collapsed="false">
      <c r="A920" s="26" t="s">
        <v>63</v>
      </c>
      <c r="B920" s="27" t="s">
        <v>2129</v>
      </c>
      <c r="C920" s="27" t="s">
        <v>2130</v>
      </c>
      <c r="D920" s="27" t="s">
        <v>5279</v>
      </c>
      <c r="E920" s="27" t="s">
        <v>5280</v>
      </c>
      <c r="F920" s="27" t="s">
        <v>5281</v>
      </c>
      <c r="G920" s="28"/>
      <c r="H920" s="6" t="s">
        <v>63</v>
      </c>
      <c r="I920" s="6" t="s">
        <v>62</v>
      </c>
      <c r="J920" s="6" t="s">
        <v>63</v>
      </c>
      <c r="K920" s="6" t="s">
        <v>63</v>
      </c>
      <c r="L920" s="6" t="s">
        <v>64</v>
      </c>
      <c r="M920" s="27" t="s">
        <v>5282</v>
      </c>
      <c r="N920" s="27" t="s">
        <v>5283</v>
      </c>
      <c r="O920" s="6" t="s">
        <v>2811</v>
      </c>
      <c r="P920" s="28"/>
      <c r="Q920" s="6" t="s">
        <v>67</v>
      </c>
      <c r="R920" s="6" t="s">
        <v>68</v>
      </c>
      <c r="S920" s="28"/>
      <c r="T920" s="6" t="s">
        <v>4225</v>
      </c>
      <c r="U920" s="7" t="n">
        <v>1</v>
      </c>
      <c r="V920" s="7" t="n">
        <v>1</v>
      </c>
      <c r="W920" s="8" t="s">
        <v>5284</v>
      </c>
      <c r="X920" s="8" t="s">
        <v>5284</v>
      </c>
      <c r="Y920" s="8" t="s">
        <v>5285</v>
      </c>
      <c r="Z920" s="8" t="s">
        <v>5285</v>
      </c>
      <c r="AA920" s="7" t="n">
        <v>406</v>
      </c>
      <c r="AB920" s="7" t="n">
        <v>374</v>
      </c>
      <c r="AC920" s="7" t="n">
        <v>657</v>
      </c>
      <c r="AD920" s="7" t="n">
        <v>4</v>
      </c>
      <c r="AE920" s="7" t="n">
        <v>5</v>
      </c>
      <c r="AF920" s="7" t="n">
        <v>26</v>
      </c>
      <c r="AG920" s="7" t="n">
        <v>41</v>
      </c>
      <c r="AH920" s="7" t="n">
        <v>10</v>
      </c>
      <c r="AI920" s="7" t="n">
        <v>14</v>
      </c>
      <c r="AJ920" s="7" t="n">
        <v>4</v>
      </c>
      <c r="AK920" s="7" t="n">
        <v>9</v>
      </c>
      <c r="AL920" s="7" t="n">
        <v>16</v>
      </c>
      <c r="AM920" s="7" t="n">
        <v>22</v>
      </c>
      <c r="AN920" s="7" t="n">
        <v>3</v>
      </c>
      <c r="AO920" s="7" t="n">
        <v>4</v>
      </c>
      <c r="AP920" s="7" t="n">
        <v>1</v>
      </c>
      <c r="AQ920" s="7" t="n">
        <v>3</v>
      </c>
      <c r="AR920" s="6" t="s">
        <v>63</v>
      </c>
      <c r="AS920" s="6" t="s">
        <v>63</v>
      </c>
      <c r="AT920" s="28"/>
      <c r="AU920" s="9" t="str">
        <f aca="false">HYPERLINK("https://creighton-primo.hosted.exlibrisgroup.com/primo-explore/search?tab=default_tab&amp;search_scope=EVERYTHING&amp;vid=01CRU&amp;lang=en_US&amp;offset=0&amp;query=any,contains,991000679909702656","Catalog Record")</f>
        <v>Catalog Record</v>
      </c>
      <c r="AV920" s="9" t="str">
        <f aca="false">HYPERLINK("http://www.worldcat.org/oclc/121410","WorldCat Record")</f>
        <v>WorldCat Record</v>
      </c>
      <c r="AW920" s="6" t="s">
        <v>5286</v>
      </c>
      <c r="AX920" s="6" t="s">
        <v>5287</v>
      </c>
      <c r="AY920" s="6" t="s">
        <v>5288</v>
      </c>
      <c r="AZ920" s="6" t="s">
        <v>5288</v>
      </c>
      <c r="BA920" s="6" t="s">
        <v>5289</v>
      </c>
      <c r="BB920" s="28"/>
      <c r="BC920" s="6" t="s">
        <v>5290</v>
      </c>
      <c r="BE920" s="15" t="s">
        <v>2145</v>
      </c>
      <c r="BF920" s="6" t="s">
        <v>5291</v>
      </c>
    </row>
    <row r="921" customFormat="false" ht="163" hidden="false" customHeight="false" outlineLevel="0" collapsed="false">
      <c r="A921" s="26" t="s">
        <v>63</v>
      </c>
      <c r="B921" s="27" t="s">
        <v>2129</v>
      </c>
      <c r="C921" s="27" t="s">
        <v>2130</v>
      </c>
      <c r="D921" s="27" t="s">
        <v>5292</v>
      </c>
      <c r="E921" s="27" t="s">
        <v>5293</v>
      </c>
      <c r="F921" s="27" t="s">
        <v>5294</v>
      </c>
      <c r="G921" s="6" t="s">
        <v>5295</v>
      </c>
      <c r="H921" s="6" t="s">
        <v>63</v>
      </c>
      <c r="I921" s="6" t="s">
        <v>62</v>
      </c>
      <c r="J921" s="6" t="s">
        <v>63</v>
      </c>
      <c r="K921" s="6" t="s">
        <v>63</v>
      </c>
      <c r="L921" s="6" t="s">
        <v>64</v>
      </c>
      <c r="M921" s="27" t="s">
        <v>3143</v>
      </c>
      <c r="N921" s="27" t="s">
        <v>5296</v>
      </c>
      <c r="O921" s="6" t="s">
        <v>2262</v>
      </c>
      <c r="P921" s="28"/>
      <c r="Q921" s="6" t="s">
        <v>67</v>
      </c>
      <c r="R921" s="6" t="s">
        <v>68</v>
      </c>
      <c r="S921" s="27" t="s">
        <v>5297</v>
      </c>
      <c r="T921" s="6" t="s">
        <v>4225</v>
      </c>
      <c r="U921" s="7" t="n">
        <v>1</v>
      </c>
      <c r="V921" s="7" t="n">
        <v>1</v>
      </c>
      <c r="W921" s="8" t="s">
        <v>5298</v>
      </c>
      <c r="X921" s="8" t="s">
        <v>5298</v>
      </c>
      <c r="Y921" s="8" t="s">
        <v>5144</v>
      </c>
      <c r="Z921" s="8" t="s">
        <v>5144</v>
      </c>
      <c r="AA921" s="7" t="n">
        <v>492</v>
      </c>
      <c r="AB921" s="7" t="n">
        <v>398</v>
      </c>
      <c r="AC921" s="7" t="n">
        <v>890</v>
      </c>
      <c r="AD921" s="7" t="n">
        <v>3</v>
      </c>
      <c r="AE921" s="7" t="n">
        <v>5</v>
      </c>
      <c r="AF921" s="7" t="n">
        <v>23</v>
      </c>
      <c r="AG921" s="7" t="n">
        <v>39</v>
      </c>
      <c r="AH921" s="7" t="n">
        <v>9</v>
      </c>
      <c r="AI921" s="7" t="n">
        <v>14</v>
      </c>
      <c r="AJ921" s="7" t="n">
        <v>5</v>
      </c>
      <c r="AK921" s="7" t="n">
        <v>9</v>
      </c>
      <c r="AL921" s="7" t="n">
        <v>14</v>
      </c>
      <c r="AM921" s="7" t="n">
        <v>23</v>
      </c>
      <c r="AN921" s="7" t="n">
        <v>2</v>
      </c>
      <c r="AO921" s="7" t="n">
        <v>4</v>
      </c>
      <c r="AP921" s="7" t="n">
        <v>0</v>
      </c>
      <c r="AQ921" s="7" t="n">
        <v>0</v>
      </c>
      <c r="AR921" s="6" t="s">
        <v>63</v>
      </c>
      <c r="AS921" s="6" t="s">
        <v>57</v>
      </c>
      <c r="AT921" s="9" t="str">
        <f aca="false">HYPERLINK("http://catalog.hathitrust.org/Record/000813908","HathiTrust Record")</f>
        <v>HathiTrust Record</v>
      </c>
      <c r="AU921" s="9" t="str">
        <f aca="false">HYPERLINK("https://creighton-primo.hosted.exlibrisgroup.com/primo-explore/search?tab=default_tab&amp;search_scope=EVERYTHING&amp;vid=01CRU&amp;lang=en_US&amp;offset=0&amp;query=any,contains,991000989499702656","Catalog Record")</f>
        <v>Catalog Record</v>
      </c>
      <c r="AV921" s="9" t="str">
        <f aca="false">HYPERLINK("http://www.worldcat.org/oclc/15092393","WorldCat Record")</f>
        <v>WorldCat Record</v>
      </c>
      <c r="AW921" s="6" t="s">
        <v>5299</v>
      </c>
      <c r="AX921" s="6" t="s">
        <v>5300</v>
      </c>
      <c r="AY921" s="6" t="s">
        <v>5301</v>
      </c>
      <c r="AZ921" s="6" t="s">
        <v>5301</v>
      </c>
      <c r="BA921" s="6" t="s">
        <v>5302</v>
      </c>
      <c r="BB921" s="6" t="s">
        <v>5303</v>
      </c>
      <c r="BC921" s="6" t="s">
        <v>5304</v>
      </c>
      <c r="BE921" s="15" t="s">
        <v>2145</v>
      </c>
      <c r="BF921" s="6" t="s">
        <v>5305</v>
      </c>
    </row>
    <row r="922" customFormat="false" ht="71" hidden="false" customHeight="false" outlineLevel="0" collapsed="false">
      <c r="A922" s="26" t="s">
        <v>63</v>
      </c>
      <c r="B922" s="27" t="s">
        <v>2129</v>
      </c>
      <c r="C922" s="27" t="s">
        <v>2130</v>
      </c>
      <c r="D922" s="27" t="s">
        <v>5306</v>
      </c>
      <c r="E922" s="27" t="s">
        <v>5307</v>
      </c>
      <c r="F922" s="27" t="s">
        <v>5308</v>
      </c>
      <c r="G922" s="28"/>
      <c r="H922" s="6" t="s">
        <v>63</v>
      </c>
      <c r="I922" s="6" t="s">
        <v>62</v>
      </c>
      <c r="J922" s="6" t="s">
        <v>63</v>
      </c>
      <c r="K922" s="6" t="s">
        <v>63</v>
      </c>
      <c r="L922" s="6" t="s">
        <v>64</v>
      </c>
      <c r="M922" s="27" t="s">
        <v>5309</v>
      </c>
      <c r="N922" s="27" t="s">
        <v>5310</v>
      </c>
      <c r="O922" s="6" t="s">
        <v>2262</v>
      </c>
      <c r="P922" s="28"/>
      <c r="Q922" s="6" t="s">
        <v>67</v>
      </c>
      <c r="R922" s="6" t="s">
        <v>401</v>
      </c>
      <c r="S922" s="28"/>
      <c r="T922" s="6" t="s">
        <v>4225</v>
      </c>
      <c r="U922" s="7" t="n">
        <v>1</v>
      </c>
      <c r="V922" s="7" t="n">
        <v>1</v>
      </c>
      <c r="W922" s="8" t="s">
        <v>5311</v>
      </c>
      <c r="X922" s="8" t="s">
        <v>5311</v>
      </c>
      <c r="Y922" s="8" t="s">
        <v>5144</v>
      </c>
      <c r="Z922" s="8" t="s">
        <v>5144</v>
      </c>
      <c r="AA922" s="7" t="n">
        <v>398</v>
      </c>
      <c r="AB922" s="7" t="n">
        <v>330</v>
      </c>
      <c r="AC922" s="7" t="n">
        <v>331</v>
      </c>
      <c r="AD922" s="7" t="n">
        <v>3</v>
      </c>
      <c r="AE922" s="7" t="n">
        <v>3</v>
      </c>
      <c r="AF922" s="7" t="n">
        <v>25</v>
      </c>
      <c r="AG922" s="7" t="n">
        <v>25</v>
      </c>
      <c r="AH922" s="7" t="n">
        <v>9</v>
      </c>
      <c r="AI922" s="7" t="n">
        <v>9</v>
      </c>
      <c r="AJ922" s="7" t="n">
        <v>7</v>
      </c>
      <c r="AK922" s="7" t="n">
        <v>7</v>
      </c>
      <c r="AL922" s="7" t="n">
        <v>16</v>
      </c>
      <c r="AM922" s="7" t="n">
        <v>16</v>
      </c>
      <c r="AN922" s="7" t="n">
        <v>2</v>
      </c>
      <c r="AO922" s="7" t="n">
        <v>2</v>
      </c>
      <c r="AP922" s="7" t="n">
        <v>0</v>
      </c>
      <c r="AQ922" s="7" t="n">
        <v>0</v>
      </c>
      <c r="AR922" s="6" t="s">
        <v>63</v>
      </c>
      <c r="AS922" s="6" t="s">
        <v>63</v>
      </c>
      <c r="AT922" s="28"/>
      <c r="AU922" s="9" t="str">
        <f aca="false">HYPERLINK("https://creighton-primo.hosted.exlibrisgroup.com/primo-explore/search?tab=default_tab&amp;search_scope=EVERYTHING&amp;vid=01CRU&amp;lang=en_US&amp;offset=0&amp;query=any,contains,991000817259702656","Catalog Record")</f>
        <v>Catalog Record</v>
      </c>
      <c r="AV922" s="9" t="str">
        <f aca="false">HYPERLINK("http://www.worldcat.org/oclc/13359623","WorldCat Record")</f>
        <v>WorldCat Record</v>
      </c>
      <c r="AW922" s="6" t="s">
        <v>5312</v>
      </c>
      <c r="AX922" s="6" t="s">
        <v>5313</v>
      </c>
      <c r="AY922" s="6" t="s">
        <v>5314</v>
      </c>
      <c r="AZ922" s="6" t="s">
        <v>5314</v>
      </c>
      <c r="BA922" s="6" t="s">
        <v>5315</v>
      </c>
      <c r="BB922" s="6" t="s">
        <v>5316</v>
      </c>
      <c r="BC922" s="6" t="s">
        <v>5317</v>
      </c>
      <c r="BE922" s="15" t="s">
        <v>2145</v>
      </c>
      <c r="BF922" s="6" t="s">
        <v>5318</v>
      </c>
    </row>
    <row r="923" customFormat="false" ht="71" hidden="false" customHeight="false" outlineLevel="0" collapsed="false">
      <c r="A923" s="26" t="s">
        <v>57</v>
      </c>
      <c r="B923" s="27" t="s">
        <v>2129</v>
      </c>
      <c r="C923" s="27" t="s">
        <v>2130</v>
      </c>
      <c r="D923" s="27" t="s">
        <v>5319</v>
      </c>
      <c r="E923" s="27" t="s">
        <v>5320</v>
      </c>
      <c r="F923" s="27" t="s">
        <v>5321</v>
      </c>
      <c r="G923" s="28"/>
      <c r="H923" s="6" t="s">
        <v>63</v>
      </c>
      <c r="I923" s="6" t="s">
        <v>62</v>
      </c>
      <c r="J923" s="6" t="s">
        <v>63</v>
      </c>
      <c r="K923" s="6" t="s">
        <v>63</v>
      </c>
      <c r="L923" s="6" t="s">
        <v>64</v>
      </c>
      <c r="M923" s="27" t="s">
        <v>5322</v>
      </c>
      <c r="N923" s="27" t="s">
        <v>5323</v>
      </c>
      <c r="O923" s="6" t="s">
        <v>3029</v>
      </c>
      <c r="P923" s="28"/>
      <c r="Q923" s="6" t="s">
        <v>67</v>
      </c>
      <c r="R923" s="6" t="s">
        <v>68</v>
      </c>
      <c r="S923" s="27" t="s">
        <v>5324</v>
      </c>
      <c r="T923" s="6" t="s">
        <v>4225</v>
      </c>
      <c r="U923" s="7" t="n">
        <v>3</v>
      </c>
      <c r="V923" s="7" t="n">
        <v>3</v>
      </c>
      <c r="W923" s="8" t="s">
        <v>5325</v>
      </c>
      <c r="X923" s="8" t="s">
        <v>5325</v>
      </c>
      <c r="Y923" s="8" t="s">
        <v>5326</v>
      </c>
      <c r="Z923" s="8" t="s">
        <v>5326</v>
      </c>
      <c r="AA923" s="7" t="n">
        <v>789</v>
      </c>
      <c r="AB923" s="7" t="n">
        <v>632</v>
      </c>
      <c r="AC923" s="7" t="n">
        <v>646</v>
      </c>
      <c r="AD923" s="7" t="n">
        <v>3</v>
      </c>
      <c r="AE923" s="7" t="n">
        <v>3</v>
      </c>
      <c r="AF923" s="7" t="n">
        <v>35</v>
      </c>
      <c r="AG923" s="7" t="n">
        <v>36</v>
      </c>
      <c r="AH923" s="7" t="n">
        <v>15</v>
      </c>
      <c r="AI923" s="7" t="n">
        <v>16</v>
      </c>
      <c r="AJ923" s="7" t="n">
        <v>8</v>
      </c>
      <c r="AK923" s="7" t="n">
        <v>8</v>
      </c>
      <c r="AL923" s="7" t="n">
        <v>22</v>
      </c>
      <c r="AM923" s="7" t="n">
        <v>22</v>
      </c>
      <c r="AN923" s="7" t="n">
        <v>2</v>
      </c>
      <c r="AO923" s="7" t="n">
        <v>2</v>
      </c>
      <c r="AP923" s="7" t="n">
        <v>0</v>
      </c>
      <c r="AQ923" s="7" t="n">
        <v>0</v>
      </c>
      <c r="AR923" s="6" t="s">
        <v>63</v>
      </c>
      <c r="AS923" s="6" t="s">
        <v>57</v>
      </c>
      <c r="AT923" s="9" t="str">
        <f aca="false">HYPERLINK("http://catalog.hathitrust.org/Record/001388859","HathiTrust Record")</f>
        <v>HathiTrust Record</v>
      </c>
      <c r="AU923" s="9" t="str">
        <f aca="false">HYPERLINK("https://creighton-primo.hosted.exlibrisgroup.com/primo-explore/search?tab=default_tab&amp;search_scope=EVERYTHING&amp;vid=01CRU&amp;lang=en_US&amp;offset=0&amp;query=any,contains,991003105439702656","Catalog Record")</f>
        <v>Catalog Record</v>
      </c>
      <c r="AV923" s="9" t="str">
        <f aca="false">HYPERLINK("http://www.worldcat.org/oclc/653676","WorldCat Record")</f>
        <v>WorldCat Record</v>
      </c>
      <c r="AW923" s="6" t="s">
        <v>5327</v>
      </c>
      <c r="AX923" s="6" t="s">
        <v>5328</v>
      </c>
      <c r="AY923" s="6" t="s">
        <v>5329</v>
      </c>
      <c r="AZ923" s="6" t="s">
        <v>5329</v>
      </c>
      <c r="BA923" s="6" t="s">
        <v>5330</v>
      </c>
      <c r="BB923" s="28"/>
      <c r="BC923" s="6" t="s">
        <v>5331</v>
      </c>
      <c r="BE923" s="15" t="s">
        <v>2145</v>
      </c>
      <c r="BF923" s="6" t="s">
        <v>5332</v>
      </c>
    </row>
    <row r="924" customFormat="false" ht="163" hidden="false" customHeight="false" outlineLevel="0" collapsed="false">
      <c r="A924" s="26" t="s">
        <v>63</v>
      </c>
      <c r="B924" s="27" t="s">
        <v>2129</v>
      </c>
      <c r="C924" s="27" t="s">
        <v>2130</v>
      </c>
      <c r="D924" s="27" t="s">
        <v>5333</v>
      </c>
      <c r="E924" s="27" t="s">
        <v>5334</v>
      </c>
      <c r="F924" s="27" t="s">
        <v>5335</v>
      </c>
      <c r="G924" s="28"/>
      <c r="H924" s="6" t="s">
        <v>63</v>
      </c>
      <c r="I924" s="6" t="s">
        <v>62</v>
      </c>
      <c r="J924" s="6" t="s">
        <v>63</v>
      </c>
      <c r="K924" s="6" t="s">
        <v>63</v>
      </c>
      <c r="L924" s="6" t="s">
        <v>64</v>
      </c>
      <c r="M924" s="28"/>
      <c r="N924" s="27" t="s">
        <v>2356</v>
      </c>
      <c r="O924" s="6" t="s">
        <v>2343</v>
      </c>
      <c r="P924" s="28"/>
      <c r="Q924" s="6" t="s">
        <v>67</v>
      </c>
      <c r="R924" s="6" t="s">
        <v>68</v>
      </c>
      <c r="S924" s="28"/>
      <c r="T924" s="6" t="s">
        <v>4225</v>
      </c>
      <c r="U924" s="7" t="n">
        <v>4</v>
      </c>
      <c r="V924" s="7" t="n">
        <v>4</v>
      </c>
      <c r="W924" s="8" t="s">
        <v>5336</v>
      </c>
      <c r="X924" s="8" t="s">
        <v>5336</v>
      </c>
      <c r="Y924" s="8" t="s">
        <v>5144</v>
      </c>
      <c r="Z924" s="8" t="s">
        <v>5144</v>
      </c>
      <c r="AA924" s="7" t="n">
        <v>535</v>
      </c>
      <c r="AB924" s="7" t="n">
        <v>384</v>
      </c>
      <c r="AC924" s="7" t="n">
        <v>399</v>
      </c>
      <c r="AD924" s="7" t="n">
        <v>2</v>
      </c>
      <c r="AE924" s="7" t="n">
        <v>2</v>
      </c>
      <c r="AF924" s="7" t="n">
        <v>21</v>
      </c>
      <c r="AG924" s="7" t="n">
        <v>22</v>
      </c>
      <c r="AH924" s="7" t="n">
        <v>9</v>
      </c>
      <c r="AI924" s="7" t="n">
        <v>10</v>
      </c>
      <c r="AJ924" s="7" t="n">
        <v>6</v>
      </c>
      <c r="AK924" s="7" t="n">
        <v>6</v>
      </c>
      <c r="AL924" s="7" t="n">
        <v>14</v>
      </c>
      <c r="AM924" s="7" t="n">
        <v>14</v>
      </c>
      <c r="AN924" s="7" t="n">
        <v>1</v>
      </c>
      <c r="AO924" s="7" t="n">
        <v>1</v>
      </c>
      <c r="AP924" s="7" t="n">
        <v>0</v>
      </c>
      <c r="AQ924" s="7" t="n">
        <v>0</v>
      </c>
      <c r="AR924" s="6" t="s">
        <v>63</v>
      </c>
      <c r="AS924" s="6" t="s">
        <v>57</v>
      </c>
      <c r="AT924" s="9" t="str">
        <f aca="false">HYPERLINK("http://catalog.hathitrust.org/Record/000144976","HathiTrust Record")</f>
        <v>HathiTrust Record</v>
      </c>
      <c r="AU924" s="9" t="str">
        <f aca="false">HYPERLINK("https://creighton-primo.hosted.exlibrisgroup.com/primo-explore/search?tab=default_tab&amp;search_scope=EVERYTHING&amp;vid=01CRU&amp;lang=en_US&amp;offset=0&amp;query=any,contains,991004984449702656","Catalog Record")</f>
        <v>Catalog Record</v>
      </c>
      <c r="AV924" s="9" t="str">
        <f aca="false">HYPERLINK("http://www.worldcat.org/oclc/6446716","WorldCat Record")</f>
        <v>WorldCat Record</v>
      </c>
      <c r="AW924" s="6" t="s">
        <v>5337</v>
      </c>
      <c r="AX924" s="6" t="s">
        <v>5338</v>
      </c>
      <c r="AY924" s="6" t="s">
        <v>5339</v>
      </c>
      <c r="AZ924" s="6" t="s">
        <v>5339</v>
      </c>
      <c r="BA924" s="6" t="s">
        <v>5340</v>
      </c>
      <c r="BB924" s="6" t="s">
        <v>5341</v>
      </c>
      <c r="BC924" s="6" t="s">
        <v>5342</v>
      </c>
      <c r="BE924" s="15" t="s">
        <v>2145</v>
      </c>
      <c r="BF924" s="6" t="s">
        <v>5343</v>
      </c>
    </row>
    <row r="925" customFormat="false" ht="71" hidden="false" customHeight="false" outlineLevel="0" collapsed="false">
      <c r="A925" s="26" t="s">
        <v>63</v>
      </c>
      <c r="B925" s="27" t="s">
        <v>2129</v>
      </c>
      <c r="C925" s="27" t="s">
        <v>2130</v>
      </c>
      <c r="D925" s="27" t="s">
        <v>5344</v>
      </c>
      <c r="E925" s="27" t="s">
        <v>5345</v>
      </c>
      <c r="F925" s="27" t="s">
        <v>5346</v>
      </c>
      <c r="G925" s="28"/>
      <c r="H925" s="6" t="s">
        <v>63</v>
      </c>
      <c r="I925" s="6" t="s">
        <v>62</v>
      </c>
      <c r="J925" s="6" t="s">
        <v>63</v>
      </c>
      <c r="K925" s="6" t="s">
        <v>63</v>
      </c>
      <c r="L925" s="6" t="s">
        <v>64</v>
      </c>
      <c r="M925" s="27" t="s">
        <v>5347</v>
      </c>
      <c r="N925" s="27" t="s">
        <v>5348</v>
      </c>
      <c r="O925" s="6" t="s">
        <v>254</v>
      </c>
      <c r="P925" s="28"/>
      <c r="Q925" s="6" t="s">
        <v>67</v>
      </c>
      <c r="R925" s="6" t="s">
        <v>68</v>
      </c>
      <c r="S925" s="28"/>
      <c r="T925" s="6" t="s">
        <v>4225</v>
      </c>
      <c r="U925" s="7" t="n">
        <v>4</v>
      </c>
      <c r="V925" s="7" t="n">
        <v>4</v>
      </c>
      <c r="W925" s="8" t="s">
        <v>3095</v>
      </c>
      <c r="X925" s="8" t="s">
        <v>3095</v>
      </c>
      <c r="Y925" s="8" t="s">
        <v>5349</v>
      </c>
      <c r="Z925" s="8" t="s">
        <v>5349</v>
      </c>
      <c r="AA925" s="7" t="n">
        <v>153</v>
      </c>
      <c r="AB925" s="7" t="n">
        <v>135</v>
      </c>
      <c r="AC925" s="7" t="n">
        <v>575</v>
      </c>
      <c r="AD925" s="7" t="n">
        <v>1</v>
      </c>
      <c r="AE925" s="7" t="n">
        <v>6</v>
      </c>
      <c r="AF925" s="7" t="n">
        <v>9</v>
      </c>
      <c r="AG925" s="7" t="n">
        <v>33</v>
      </c>
      <c r="AH925" s="7" t="n">
        <v>3</v>
      </c>
      <c r="AI925" s="7" t="n">
        <v>13</v>
      </c>
      <c r="AJ925" s="7" t="n">
        <v>3</v>
      </c>
      <c r="AK925" s="7" t="n">
        <v>7</v>
      </c>
      <c r="AL925" s="7" t="n">
        <v>8</v>
      </c>
      <c r="AM925" s="7" t="n">
        <v>20</v>
      </c>
      <c r="AN925" s="7" t="n">
        <v>0</v>
      </c>
      <c r="AO925" s="7" t="n">
        <v>4</v>
      </c>
      <c r="AP925" s="7" t="n">
        <v>0</v>
      </c>
      <c r="AQ925" s="7" t="n">
        <v>0</v>
      </c>
      <c r="AR925" s="6" t="s">
        <v>63</v>
      </c>
      <c r="AS925" s="6" t="s">
        <v>63</v>
      </c>
      <c r="AT925" s="28"/>
      <c r="AU925" s="9" t="str">
        <f aca="false">HYPERLINK("https://creighton-primo.hosted.exlibrisgroup.com/primo-explore/search?tab=default_tab&amp;search_scope=EVERYTHING&amp;vid=01CRU&amp;lang=en_US&amp;offset=0&amp;query=any,contains,991003116859702656","Catalog Record")</f>
        <v>Catalog Record</v>
      </c>
      <c r="AV925" s="9" t="str">
        <f aca="false">HYPERLINK("http://www.worldcat.org/oclc/662211","WorldCat Record")</f>
        <v>WorldCat Record</v>
      </c>
      <c r="AW925" s="6" t="s">
        <v>5350</v>
      </c>
      <c r="AX925" s="6" t="s">
        <v>5351</v>
      </c>
      <c r="AY925" s="6" t="s">
        <v>5352</v>
      </c>
      <c r="AZ925" s="6" t="s">
        <v>5352</v>
      </c>
      <c r="BA925" s="6" t="s">
        <v>5353</v>
      </c>
      <c r="BB925" s="6" t="s">
        <v>5354</v>
      </c>
      <c r="BC925" s="6" t="s">
        <v>5355</v>
      </c>
      <c r="BE925" s="15" t="s">
        <v>2145</v>
      </c>
      <c r="BF925" s="6" t="s">
        <v>5356</v>
      </c>
    </row>
    <row r="926" customFormat="false" ht="94" hidden="false" customHeight="false" outlineLevel="0" collapsed="false">
      <c r="A926" s="26" t="s">
        <v>63</v>
      </c>
      <c r="B926" s="27" t="s">
        <v>2129</v>
      </c>
      <c r="C926" s="27" t="s">
        <v>2130</v>
      </c>
      <c r="D926" s="27" t="s">
        <v>5357</v>
      </c>
      <c r="E926" s="27" t="s">
        <v>5358</v>
      </c>
      <c r="F926" s="27" t="s">
        <v>5359</v>
      </c>
      <c r="G926" s="6" t="s">
        <v>498</v>
      </c>
      <c r="H926" s="6" t="s">
        <v>63</v>
      </c>
      <c r="I926" s="6" t="s">
        <v>62</v>
      </c>
      <c r="J926" s="6" t="s">
        <v>63</v>
      </c>
      <c r="K926" s="6" t="s">
        <v>63</v>
      </c>
      <c r="L926" s="6" t="s">
        <v>64</v>
      </c>
      <c r="M926" s="27" t="s">
        <v>5360</v>
      </c>
      <c r="N926" s="27" t="s">
        <v>5361</v>
      </c>
      <c r="O926" s="6" t="s">
        <v>208</v>
      </c>
      <c r="P926" s="28"/>
      <c r="Q926" s="6" t="s">
        <v>67</v>
      </c>
      <c r="R926" s="6" t="s">
        <v>384</v>
      </c>
      <c r="S926" s="28"/>
      <c r="T926" s="6" t="s">
        <v>4225</v>
      </c>
      <c r="U926" s="7" t="n">
        <v>2</v>
      </c>
      <c r="V926" s="7" t="n">
        <v>2</v>
      </c>
      <c r="W926" s="8" t="s">
        <v>5362</v>
      </c>
      <c r="X926" s="8" t="s">
        <v>5362</v>
      </c>
      <c r="Y926" s="8" t="s">
        <v>5363</v>
      </c>
      <c r="Z926" s="8" t="s">
        <v>5363</v>
      </c>
      <c r="AA926" s="7" t="n">
        <v>568</v>
      </c>
      <c r="AB926" s="7" t="n">
        <v>454</v>
      </c>
      <c r="AC926" s="7" t="n">
        <v>465</v>
      </c>
      <c r="AD926" s="7" t="n">
        <v>4</v>
      </c>
      <c r="AE926" s="7" t="n">
        <v>4</v>
      </c>
      <c r="AF926" s="7" t="n">
        <v>25</v>
      </c>
      <c r="AG926" s="7" t="n">
        <v>25</v>
      </c>
      <c r="AH926" s="7" t="n">
        <v>7</v>
      </c>
      <c r="AI926" s="7" t="n">
        <v>7</v>
      </c>
      <c r="AJ926" s="7" t="n">
        <v>7</v>
      </c>
      <c r="AK926" s="7" t="n">
        <v>7</v>
      </c>
      <c r="AL926" s="7" t="n">
        <v>14</v>
      </c>
      <c r="AM926" s="7" t="n">
        <v>14</v>
      </c>
      <c r="AN926" s="7" t="n">
        <v>3</v>
      </c>
      <c r="AO926" s="7" t="n">
        <v>3</v>
      </c>
      <c r="AP926" s="7" t="n">
        <v>0</v>
      </c>
      <c r="AQ926" s="7" t="n">
        <v>0</v>
      </c>
      <c r="AR926" s="6" t="s">
        <v>63</v>
      </c>
      <c r="AS926" s="6" t="s">
        <v>57</v>
      </c>
      <c r="AT926" s="9" t="str">
        <f aca="false">HYPERLINK("http://catalog.hathitrust.org/Record/004505362","HathiTrust Record")</f>
        <v>HathiTrust Record</v>
      </c>
      <c r="AU926" s="9" t="str">
        <f aca="false">HYPERLINK("https://creighton-primo.hosted.exlibrisgroup.com/primo-explore/search?tab=default_tab&amp;search_scope=EVERYTHING&amp;vid=01CRU&amp;lang=en_US&amp;offset=0&amp;query=any,contains,991000937549702656","Catalog Record")</f>
        <v>Catalog Record</v>
      </c>
      <c r="AV926" s="9" t="str">
        <f aca="false">HYPERLINK("http://www.worldcat.org/oclc/14376739","WorldCat Record")</f>
        <v>WorldCat Record</v>
      </c>
      <c r="AW926" s="6" t="s">
        <v>5364</v>
      </c>
      <c r="AX926" s="6" t="s">
        <v>5365</v>
      </c>
      <c r="AY926" s="6" t="s">
        <v>5366</v>
      </c>
      <c r="AZ926" s="6" t="s">
        <v>5366</v>
      </c>
      <c r="BA926" s="6" t="s">
        <v>5367</v>
      </c>
      <c r="BB926" s="6" t="s">
        <v>5368</v>
      </c>
      <c r="BC926" s="6" t="s">
        <v>5369</v>
      </c>
      <c r="BE926" s="15" t="s">
        <v>2145</v>
      </c>
      <c r="BF926" s="6" t="s">
        <v>5370</v>
      </c>
    </row>
    <row r="927" customFormat="false" ht="242.6" hidden="false" customHeight="false" outlineLevel="0" collapsed="false">
      <c r="A927" s="26" t="s">
        <v>57</v>
      </c>
      <c r="B927" s="27" t="s">
        <v>2129</v>
      </c>
      <c r="C927" s="27" t="s">
        <v>2130</v>
      </c>
      <c r="D927" s="27" t="s">
        <v>5371</v>
      </c>
      <c r="E927" s="27" t="s">
        <v>5372</v>
      </c>
      <c r="F927" s="27" t="s">
        <v>5373</v>
      </c>
      <c r="G927" s="28"/>
      <c r="H927" s="6" t="s">
        <v>63</v>
      </c>
      <c r="I927" s="6" t="s">
        <v>62</v>
      </c>
      <c r="J927" s="6" t="s">
        <v>63</v>
      </c>
      <c r="K927" s="6" t="s">
        <v>63</v>
      </c>
      <c r="L927" s="6" t="s">
        <v>64</v>
      </c>
      <c r="M927" s="27" t="s">
        <v>5374</v>
      </c>
      <c r="N927" s="27" t="s">
        <v>5375</v>
      </c>
      <c r="O927" s="6" t="s">
        <v>2315</v>
      </c>
      <c r="P927" s="28"/>
      <c r="Q927" s="6" t="s">
        <v>67</v>
      </c>
      <c r="R927" s="6" t="s">
        <v>1059</v>
      </c>
      <c r="S927" s="28"/>
      <c r="T927" s="6" t="s">
        <v>4225</v>
      </c>
      <c r="U927" s="7" t="n">
        <v>3</v>
      </c>
      <c r="V927" s="7" t="n">
        <v>3</v>
      </c>
      <c r="W927" s="8" t="s">
        <v>5376</v>
      </c>
      <c r="X927" s="8" t="s">
        <v>5376</v>
      </c>
      <c r="Y927" s="8" t="s">
        <v>5377</v>
      </c>
      <c r="Z927" s="8" t="s">
        <v>5377</v>
      </c>
      <c r="AA927" s="7" t="n">
        <v>641</v>
      </c>
      <c r="AB927" s="7" t="n">
        <v>493</v>
      </c>
      <c r="AC927" s="7" t="n">
        <v>1085</v>
      </c>
      <c r="AD927" s="7" t="n">
        <v>5</v>
      </c>
      <c r="AE927" s="7" t="n">
        <v>10</v>
      </c>
      <c r="AF927" s="7" t="n">
        <v>30</v>
      </c>
      <c r="AG927" s="7" t="n">
        <v>45</v>
      </c>
      <c r="AH927" s="7" t="n">
        <v>10</v>
      </c>
      <c r="AI927" s="7" t="n">
        <v>15</v>
      </c>
      <c r="AJ927" s="7" t="n">
        <v>7</v>
      </c>
      <c r="AK927" s="7" t="n">
        <v>10</v>
      </c>
      <c r="AL927" s="7" t="n">
        <v>20</v>
      </c>
      <c r="AM927" s="7" t="n">
        <v>23</v>
      </c>
      <c r="AN927" s="7" t="n">
        <v>3</v>
      </c>
      <c r="AO927" s="7" t="n">
        <v>8</v>
      </c>
      <c r="AP927" s="7" t="n">
        <v>0</v>
      </c>
      <c r="AQ927" s="7" t="n">
        <v>1</v>
      </c>
      <c r="AR927" s="6" t="s">
        <v>63</v>
      </c>
      <c r="AS927" s="6" t="s">
        <v>63</v>
      </c>
      <c r="AT927" s="28"/>
      <c r="AU927" s="9" t="str">
        <f aca="false">HYPERLINK("https://creighton-primo.hosted.exlibrisgroup.com/primo-explore/search?tab=default_tab&amp;search_scope=EVERYTHING&amp;vid=01CRU&amp;lang=en_US&amp;offset=0&amp;query=any,contains,991000635039702656","Catalog Record")</f>
        <v>Catalog Record</v>
      </c>
      <c r="AV927" s="9" t="str">
        <f aca="false">HYPERLINK("http://www.worldcat.org/oclc/12080192","WorldCat Record")</f>
        <v>WorldCat Record</v>
      </c>
      <c r="AW927" s="6" t="s">
        <v>5378</v>
      </c>
      <c r="AX927" s="6" t="s">
        <v>5379</v>
      </c>
      <c r="AY927" s="6" t="s">
        <v>5380</v>
      </c>
      <c r="AZ927" s="6" t="s">
        <v>5380</v>
      </c>
      <c r="BA927" s="6" t="s">
        <v>5381</v>
      </c>
      <c r="BB927" s="6" t="s">
        <v>5382</v>
      </c>
      <c r="BC927" s="6" t="s">
        <v>5383</v>
      </c>
      <c r="BE927" s="15" t="s">
        <v>2145</v>
      </c>
      <c r="BF927" s="6" t="s">
        <v>5384</v>
      </c>
    </row>
    <row r="928" customFormat="false" ht="94" hidden="false" customHeight="false" outlineLevel="0" collapsed="false">
      <c r="A928" s="26" t="s">
        <v>63</v>
      </c>
      <c r="B928" s="27" t="s">
        <v>2129</v>
      </c>
      <c r="C928" s="27" t="s">
        <v>2130</v>
      </c>
      <c r="D928" s="27" t="s">
        <v>5385</v>
      </c>
      <c r="E928" s="27" t="s">
        <v>5386</v>
      </c>
      <c r="F928" s="27" t="s">
        <v>5387</v>
      </c>
      <c r="G928" s="28"/>
      <c r="H928" s="6" t="s">
        <v>63</v>
      </c>
      <c r="I928" s="6" t="s">
        <v>62</v>
      </c>
      <c r="J928" s="6" t="s">
        <v>63</v>
      </c>
      <c r="K928" s="6" t="s">
        <v>63</v>
      </c>
      <c r="L928" s="6" t="s">
        <v>64</v>
      </c>
      <c r="M928" s="27" t="s">
        <v>5388</v>
      </c>
      <c r="N928" s="27" t="s">
        <v>5389</v>
      </c>
      <c r="O928" s="6" t="s">
        <v>3661</v>
      </c>
      <c r="P928" s="27" t="s">
        <v>5390</v>
      </c>
      <c r="Q928" s="6" t="s">
        <v>67</v>
      </c>
      <c r="R928" s="6" t="s">
        <v>123</v>
      </c>
      <c r="S928" s="28"/>
      <c r="T928" s="6" t="s">
        <v>4225</v>
      </c>
      <c r="U928" s="7" t="n">
        <v>1</v>
      </c>
      <c r="V928" s="7" t="n">
        <v>1</v>
      </c>
      <c r="W928" s="8" t="s">
        <v>5376</v>
      </c>
      <c r="X928" s="8" t="s">
        <v>5376</v>
      </c>
      <c r="Y928" s="8" t="s">
        <v>5285</v>
      </c>
      <c r="Z928" s="8" t="s">
        <v>5285</v>
      </c>
      <c r="AA928" s="7" t="n">
        <v>76</v>
      </c>
      <c r="AB928" s="7" t="n">
        <v>67</v>
      </c>
      <c r="AC928" s="7" t="n">
        <v>189</v>
      </c>
      <c r="AD928" s="7" t="n">
        <v>1</v>
      </c>
      <c r="AE928" s="7" t="n">
        <v>3</v>
      </c>
      <c r="AF928" s="7" t="n">
        <v>10</v>
      </c>
      <c r="AG928" s="7" t="n">
        <v>27</v>
      </c>
      <c r="AH928" s="7" t="n">
        <v>2</v>
      </c>
      <c r="AI928" s="7" t="n">
        <v>8</v>
      </c>
      <c r="AJ928" s="7" t="n">
        <v>4</v>
      </c>
      <c r="AK928" s="7" t="n">
        <v>6</v>
      </c>
      <c r="AL928" s="7" t="n">
        <v>8</v>
      </c>
      <c r="AM928" s="7" t="n">
        <v>22</v>
      </c>
      <c r="AN928" s="7" t="n">
        <v>0</v>
      </c>
      <c r="AO928" s="7" t="n">
        <v>1</v>
      </c>
      <c r="AP928" s="7" t="n">
        <v>0</v>
      </c>
      <c r="AQ928" s="7" t="n">
        <v>0</v>
      </c>
      <c r="AR928" s="6" t="s">
        <v>63</v>
      </c>
      <c r="AS928" s="6" t="s">
        <v>63</v>
      </c>
      <c r="AT928" s="28"/>
      <c r="AU928" s="9" t="str">
        <f aca="false">HYPERLINK("https://creighton-primo.hosted.exlibrisgroup.com/primo-explore/search?tab=default_tab&amp;search_scope=EVERYTHING&amp;vid=01CRU&amp;lang=en_US&amp;offset=0&amp;query=any,contains,991003346329702656","Catalog Record")</f>
        <v>Catalog Record</v>
      </c>
      <c r="AV928" s="9" t="str">
        <f aca="false">HYPERLINK("http://www.worldcat.org/oclc/878194","WorldCat Record")</f>
        <v>WorldCat Record</v>
      </c>
      <c r="AW928" s="6" t="s">
        <v>5391</v>
      </c>
      <c r="AX928" s="6" t="s">
        <v>5392</v>
      </c>
      <c r="AY928" s="6" t="s">
        <v>5393</v>
      </c>
      <c r="AZ928" s="6" t="s">
        <v>5393</v>
      </c>
      <c r="BA928" s="6" t="s">
        <v>5394</v>
      </c>
      <c r="BB928" s="28"/>
      <c r="BC928" s="6" t="s">
        <v>5395</v>
      </c>
      <c r="BE928" s="15" t="s">
        <v>2145</v>
      </c>
      <c r="BF928" s="6" t="s">
        <v>5396</v>
      </c>
    </row>
    <row r="929" customFormat="false" ht="82.5" hidden="false" customHeight="false" outlineLevel="0" collapsed="false">
      <c r="A929" s="26" t="s">
        <v>63</v>
      </c>
      <c r="B929" s="27" t="s">
        <v>2129</v>
      </c>
      <c r="C929" s="27" t="s">
        <v>2130</v>
      </c>
      <c r="D929" s="27" t="s">
        <v>5397</v>
      </c>
      <c r="E929" s="27" t="s">
        <v>5398</v>
      </c>
      <c r="F929" s="27" t="s">
        <v>5399</v>
      </c>
      <c r="G929" s="28"/>
      <c r="H929" s="6" t="s">
        <v>63</v>
      </c>
      <c r="I929" s="6" t="s">
        <v>62</v>
      </c>
      <c r="J929" s="6" t="s">
        <v>63</v>
      </c>
      <c r="K929" s="6" t="s">
        <v>63</v>
      </c>
      <c r="L929" s="6" t="s">
        <v>64</v>
      </c>
      <c r="M929" s="27" t="s">
        <v>5400</v>
      </c>
      <c r="N929" s="27" t="s">
        <v>5401</v>
      </c>
      <c r="O929" s="6" t="s">
        <v>3301</v>
      </c>
      <c r="P929" s="28"/>
      <c r="Q929" s="6" t="s">
        <v>67</v>
      </c>
      <c r="R929" s="6" t="s">
        <v>4707</v>
      </c>
      <c r="S929" s="27" t="s">
        <v>5402</v>
      </c>
      <c r="T929" s="6" t="s">
        <v>4225</v>
      </c>
      <c r="U929" s="7" t="n">
        <v>1</v>
      </c>
      <c r="V929" s="7" t="n">
        <v>1</v>
      </c>
      <c r="W929" s="8" t="s">
        <v>5403</v>
      </c>
      <c r="X929" s="8" t="s">
        <v>5403</v>
      </c>
      <c r="Y929" s="8" t="s">
        <v>5144</v>
      </c>
      <c r="Z929" s="8" t="s">
        <v>5144</v>
      </c>
      <c r="AA929" s="7" t="n">
        <v>268</v>
      </c>
      <c r="AB929" s="7" t="n">
        <v>231</v>
      </c>
      <c r="AC929" s="7" t="n">
        <v>399</v>
      </c>
      <c r="AD929" s="7" t="n">
        <v>2</v>
      </c>
      <c r="AE929" s="7" t="n">
        <v>2</v>
      </c>
      <c r="AF929" s="7" t="n">
        <v>27</v>
      </c>
      <c r="AG929" s="7" t="n">
        <v>29</v>
      </c>
      <c r="AH929" s="7" t="n">
        <v>8</v>
      </c>
      <c r="AI929" s="7" t="n">
        <v>9</v>
      </c>
      <c r="AJ929" s="7" t="n">
        <v>7</v>
      </c>
      <c r="AK929" s="7" t="n">
        <v>8</v>
      </c>
      <c r="AL929" s="7" t="n">
        <v>21</v>
      </c>
      <c r="AM929" s="7" t="n">
        <v>22</v>
      </c>
      <c r="AN929" s="7" t="n">
        <v>1</v>
      </c>
      <c r="AO929" s="7" t="n">
        <v>1</v>
      </c>
      <c r="AP929" s="7" t="n">
        <v>0</v>
      </c>
      <c r="AQ929" s="7" t="n">
        <v>0</v>
      </c>
      <c r="AR929" s="6" t="s">
        <v>63</v>
      </c>
      <c r="AS929" s="6" t="s">
        <v>57</v>
      </c>
      <c r="AT929" s="9" t="str">
        <f aca="false">HYPERLINK("http://catalog.hathitrust.org/Record/000288191","HathiTrust Record")</f>
        <v>HathiTrust Record</v>
      </c>
      <c r="AU929" s="9" t="str">
        <f aca="false">HYPERLINK("https://creighton-primo.hosted.exlibrisgroup.com/primo-explore/search?tab=default_tab&amp;search_scope=EVERYTHING&amp;vid=01CRU&amp;lang=en_US&amp;offset=0&amp;query=any,contains,991005222439702656","Catalog Record")</f>
        <v>Catalog Record</v>
      </c>
      <c r="AV929" s="9" t="str">
        <f aca="false">HYPERLINK("http://www.worldcat.org/oclc/8475764","WorldCat Record")</f>
        <v>WorldCat Record</v>
      </c>
      <c r="AW929" s="6" t="s">
        <v>5404</v>
      </c>
      <c r="AX929" s="6" t="s">
        <v>5405</v>
      </c>
      <c r="AY929" s="6" t="s">
        <v>5406</v>
      </c>
      <c r="AZ929" s="6" t="s">
        <v>5406</v>
      </c>
      <c r="BA929" s="6" t="s">
        <v>5407</v>
      </c>
      <c r="BB929" s="6" t="s">
        <v>5408</v>
      </c>
      <c r="BC929" s="6" t="s">
        <v>5409</v>
      </c>
      <c r="BE929" s="15" t="s">
        <v>2145</v>
      </c>
      <c r="BF929" s="6" t="s">
        <v>5410</v>
      </c>
    </row>
    <row r="930" customFormat="false" ht="59.5" hidden="false" customHeight="false" outlineLevel="0" collapsed="false">
      <c r="A930" s="26" t="s">
        <v>63</v>
      </c>
      <c r="B930" s="27" t="s">
        <v>2129</v>
      </c>
      <c r="C930" s="27" t="s">
        <v>2130</v>
      </c>
      <c r="D930" s="27" t="s">
        <v>5411</v>
      </c>
      <c r="E930" s="27" t="s">
        <v>5412</v>
      </c>
      <c r="F930" s="27" t="s">
        <v>5413</v>
      </c>
      <c r="G930" s="28"/>
      <c r="H930" s="6" t="s">
        <v>63</v>
      </c>
      <c r="I930" s="6" t="s">
        <v>62</v>
      </c>
      <c r="J930" s="6" t="s">
        <v>63</v>
      </c>
      <c r="K930" s="6" t="s">
        <v>63</v>
      </c>
      <c r="L930" s="6" t="s">
        <v>64</v>
      </c>
      <c r="M930" s="27" t="s">
        <v>5414</v>
      </c>
      <c r="N930" s="27" t="s">
        <v>5415</v>
      </c>
      <c r="O930" s="6" t="s">
        <v>3919</v>
      </c>
      <c r="P930" s="28"/>
      <c r="Q930" s="6" t="s">
        <v>67</v>
      </c>
      <c r="R930" s="6" t="s">
        <v>1059</v>
      </c>
      <c r="S930" s="28"/>
      <c r="T930" s="6" t="s">
        <v>4225</v>
      </c>
      <c r="U930" s="7" t="n">
        <v>11</v>
      </c>
      <c r="V930" s="7" t="n">
        <v>11</v>
      </c>
      <c r="W930" s="8" t="s">
        <v>4264</v>
      </c>
      <c r="X930" s="8" t="s">
        <v>4264</v>
      </c>
      <c r="Y930" s="8" t="s">
        <v>5285</v>
      </c>
      <c r="Z930" s="8" t="s">
        <v>5285</v>
      </c>
      <c r="AA930" s="7" t="n">
        <v>803</v>
      </c>
      <c r="AB930" s="7" t="n">
        <v>720</v>
      </c>
      <c r="AC930" s="7" t="n">
        <v>837</v>
      </c>
      <c r="AD930" s="7" t="n">
        <v>4</v>
      </c>
      <c r="AE930" s="7" t="n">
        <v>4</v>
      </c>
      <c r="AF930" s="7" t="n">
        <v>43</v>
      </c>
      <c r="AG930" s="7" t="n">
        <v>44</v>
      </c>
      <c r="AH930" s="7" t="n">
        <v>21</v>
      </c>
      <c r="AI930" s="7" t="n">
        <v>22</v>
      </c>
      <c r="AJ930" s="7" t="n">
        <v>7</v>
      </c>
      <c r="AK930" s="7" t="n">
        <v>7</v>
      </c>
      <c r="AL930" s="7" t="n">
        <v>26</v>
      </c>
      <c r="AM930" s="7" t="n">
        <v>26</v>
      </c>
      <c r="AN930" s="7" t="n">
        <v>2</v>
      </c>
      <c r="AO930" s="7" t="n">
        <v>2</v>
      </c>
      <c r="AP930" s="7" t="n">
        <v>0</v>
      </c>
      <c r="AQ930" s="7" t="n">
        <v>0</v>
      </c>
      <c r="AR930" s="6" t="s">
        <v>63</v>
      </c>
      <c r="AS930" s="6" t="s">
        <v>57</v>
      </c>
      <c r="AT930" s="9" t="str">
        <f aca="false">HYPERLINK("http://catalog.hathitrust.org/Record/001400483","HathiTrust Record")</f>
        <v>HathiTrust Record</v>
      </c>
      <c r="AU930" s="9" t="str">
        <f aca="false">HYPERLINK("https://creighton-primo.hosted.exlibrisgroup.com/primo-explore/search?tab=default_tab&amp;search_scope=EVERYTHING&amp;vid=01CRU&amp;lang=en_US&amp;offset=0&amp;query=any,contains,991002588799702656","Catalog Record")</f>
        <v>Catalog Record</v>
      </c>
      <c r="AV930" s="9" t="str">
        <f aca="false">HYPERLINK("http://www.worldcat.org/oclc/375363","WorldCat Record")</f>
        <v>WorldCat Record</v>
      </c>
      <c r="AW930" s="6" t="s">
        <v>5416</v>
      </c>
      <c r="AX930" s="6" t="s">
        <v>5417</v>
      </c>
      <c r="AY930" s="6" t="s">
        <v>5418</v>
      </c>
      <c r="AZ930" s="6" t="s">
        <v>5418</v>
      </c>
      <c r="BA930" s="6" t="s">
        <v>5419</v>
      </c>
      <c r="BB930" s="28"/>
      <c r="BC930" s="6" t="s">
        <v>5420</v>
      </c>
      <c r="BE930" s="15" t="s">
        <v>2145</v>
      </c>
      <c r="BF930" s="6" t="s">
        <v>5421</v>
      </c>
    </row>
    <row r="931" customFormat="false" ht="117" hidden="false" customHeight="false" outlineLevel="0" collapsed="false">
      <c r="A931" s="26" t="s">
        <v>63</v>
      </c>
      <c r="B931" s="27" t="s">
        <v>2129</v>
      </c>
      <c r="C931" s="27" t="s">
        <v>2130</v>
      </c>
      <c r="D931" s="27" t="s">
        <v>5422</v>
      </c>
      <c r="E931" s="27" t="s">
        <v>5423</v>
      </c>
      <c r="F931" s="27" t="s">
        <v>5424</v>
      </c>
      <c r="G931" s="28"/>
      <c r="H931" s="6" t="s">
        <v>63</v>
      </c>
      <c r="I931" s="6" t="s">
        <v>62</v>
      </c>
      <c r="J931" s="6" t="s">
        <v>63</v>
      </c>
      <c r="K931" s="6" t="s">
        <v>63</v>
      </c>
      <c r="L931" s="6" t="s">
        <v>64</v>
      </c>
      <c r="M931" s="27" t="s">
        <v>5425</v>
      </c>
      <c r="N931" s="27" t="s">
        <v>5426</v>
      </c>
      <c r="O931" s="6" t="s">
        <v>2329</v>
      </c>
      <c r="P931" s="28"/>
      <c r="Q931" s="6" t="s">
        <v>67</v>
      </c>
      <c r="R931" s="6" t="s">
        <v>1059</v>
      </c>
      <c r="S931" s="28"/>
      <c r="T931" s="6" t="s">
        <v>4225</v>
      </c>
      <c r="U931" s="7" t="n">
        <v>3</v>
      </c>
      <c r="V931" s="7" t="n">
        <v>3</v>
      </c>
      <c r="W931" s="8" t="s">
        <v>5427</v>
      </c>
      <c r="X931" s="8" t="s">
        <v>5427</v>
      </c>
      <c r="Y931" s="8" t="s">
        <v>5285</v>
      </c>
      <c r="Z931" s="8" t="s">
        <v>5285</v>
      </c>
      <c r="AA931" s="7" t="n">
        <v>870</v>
      </c>
      <c r="AB931" s="7" t="n">
        <v>758</v>
      </c>
      <c r="AC931" s="7" t="n">
        <v>807</v>
      </c>
      <c r="AD931" s="7" t="n">
        <v>4</v>
      </c>
      <c r="AE931" s="7" t="n">
        <v>4</v>
      </c>
      <c r="AF931" s="7" t="n">
        <v>41</v>
      </c>
      <c r="AG931" s="7" t="n">
        <v>41</v>
      </c>
      <c r="AH931" s="7" t="n">
        <v>16</v>
      </c>
      <c r="AI931" s="7" t="n">
        <v>16</v>
      </c>
      <c r="AJ931" s="7" t="n">
        <v>9</v>
      </c>
      <c r="AK931" s="7" t="n">
        <v>9</v>
      </c>
      <c r="AL931" s="7" t="n">
        <v>27</v>
      </c>
      <c r="AM931" s="7" t="n">
        <v>27</v>
      </c>
      <c r="AN931" s="7" t="n">
        <v>2</v>
      </c>
      <c r="AO931" s="7" t="n">
        <v>2</v>
      </c>
      <c r="AP931" s="7" t="n">
        <v>0</v>
      </c>
      <c r="AQ931" s="7" t="n">
        <v>0</v>
      </c>
      <c r="AR931" s="6" t="s">
        <v>57</v>
      </c>
      <c r="AS931" s="6" t="s">
        <v>63</v>
      </c>
      <c r="AT931" s="9" t="str">
        <f aca="false">HYPERLINK("http://catalog.hathitrust.org/Record/001388978","HathiTrust Record")</f>
        <v>HathiTrust Record</v>
      </c>
      <c r="AU931" s="9" t="str">
        <f aca="false">HYPERLINK("https://creighton-primo.hosted.exlibrisgroup.com/primo-explore/search?tab=default_tab&amp;search_scope=EVERYTHING&amp;vid=01CRU&amp;lang=en_US&amp;offset=0&amp;query=any,contains,991003175829702656","Catalog Record")</f>
        <v>Catalog Record</v>
      </c>
      <c r="AV931" s="9" t="str">
        <f aca="false">HYPERLINK("http://www.worldcat.org/oclc/710740","WorldCat Record")</f>
        <v>WorldCat Record</v>
      </c>
      <c r="AW931" s="6" t="s">
        <v>5428</v>
      </c>
      <c r="AX931" s="6" t="s">
        <v>5429</v>
      </c>
      <c r="AY931" s="6" t="s">
        <v>5430</v>
      </c>
      <c r="AZ931" s="6" t="s">
        <v>5430</v>
      </c>
      <c r="BA931" s="6" t="s">
        <v>5431</v>
      </c>
      <c r="BB931" s="28"/>
      <c r="BC931" s="6" t="s">
        <v>5432</v>
      </c>
      <c r="BE931" s="15" t="s">
        <v>2145</v>
      </c>
      <c r="BF931" s="6" t="s">
        <v>5433</v>
      </c>
    </row>
    <row r="932" customFormat="false" ht="105.5" hidden="false" customHeight="false" outlineLevel="0" collapsed="false">
      <c r="A932" s="26" t="s">
        <v>63</v>
      </c>
      <c r="B932" s="27" t="s">
        <v>2129</v>
      </c>
      <c r="C932" s="27" t="s">
        <v>2130</v>
      </c>
      <c r="D932" s="27" t="s">
        <v>5434</v>
      </c>
      <c r="E932" s="27" t="s">
        <v>5435</v>
      </c>
      <c r="F932" s="27" t="s">
        <v>5436</v>
      </c>
      <c r="G932" s="28"/>
      <c r="H932" s="6" t="s">
        <v>63</v>
      </c>
      <c r="I932" s="6" t="s">
        <v>62</v>
      </c>
      <c r="J932" s="6" t="s">
        <v>63</v>
      </c>
      <c r="K932" s="6" t="s">
        <v>63</v>
      </c>
      <c r="L932" s="6" t="s">
        <v>64</v>
      </c>
      <c r="M932" s="27" t="s">
        <v>5437</v>
      </c>
      <c r="N932" s="27" t="s">
        <v>5438</v>
      </c>
      <c r="O932" s="6" t="s">
        <v>3068</v>
      </c>
      <c r="P932" s="28"/>
      <c r="Q932" s="6" t="s">
        <v>67</v>
      </c>
      <c r="R932" s="6" t="s">
        <v>1059</v>
      </c>
      <c r="S932" s="28"/>
      <c r="T932" s="6" t="s">
        <v>4225</v>
      </c>
      <c r="U932" s="7" t="n">
        <v>4</v>
      </c>
      <c r="V932" s="7" t="n">
        <v>4</v>
      </c>
      <c r="W932" s="8" t="s">
        <v>5427</v>
      </c>
      <c r="X932" s="8" t="s">
        <v>5427</v>
      </c>
      <c r="Y932" s="8" t="s">
        <v>5285</v>
      </c>
      <c r="Z932" s="8" t="s">
        <v>5285</v>
      </c>
      <c r="AA932" s="7" t="n">
        <v>1007</v>
      </c>
      <c r="AB932" s="7" t="n">
        <v>888</v>
      </c>
      <c r="AC932" s="7" t="n">
        <v>1070</v>
      </c>
      <c r="AD932" s="7" t="n">
        <v>6</v>
      </c>
      <c r="AE932" s="7" t="n">
        <v>7</v>
      </c>
      <c r="AF932" s="7" t="n">
        <v>45</v>
      </c>
      <c r="AG932" s="7" t="n">
        <v>51</v>
      </c>
      <c r="AH932" s="7" t="n">
        <v>21</v>
      </c>
      <c r="AI932" s="7" t="n">
        <v>22</v>
      </c>
      <c r="AJ932" s="7" t="n">
        <v>8</v>
      </c>
      <c r="AK932" s="7" t="n">
        <v>10</v>
      </c>
      <c r="AL932" s="7" t="n">
        <v>24</v>
      </c>
      <c r="AM932" s="7" t="n">
        <v>26</v>
      </c>
      <c r="AN932" s="7" t="n">
        <v>4</v>
      </c>
      <c r="AO932" s="7" t="n">
        <v>5</v>
      </c>
      <c r="AP932" s="7" t="n">
        <v>0</v>
      </c>
      <c r="AQ932" s="7" t="n">
        <v>0</v>
      </c>
      <c r="AR932" s="6" t="s">
        <v>63</v>
      </c>
      <c r="AS932" s="6" t="s">
        <v>63</v>
      </c>
      <c r="AT932" s="9" t="str">
        <f aca="false">HYPERLINK("http://catalog.hathitrust.org/Record/001388979","HathiTrust Record")</f>
        <v>HathiTrust Record</v>
      </c>
      <c r="AU932" s="9" t="str">
        <f aca="false">HYPERLINK("https://creighton-primo.hosted.exlibrisgroup.com/primo-explore/search?tab=default_tab&amp;search_scope=EVERYTHING&amp;vid=01CRU&amp;lang=en_US&amp;offset=0&amp;query=any,contains,991002581509702656","Catalog Record")</f>
        <v>Catalog Record</v>
      </c>
      <c r="AV932" s="9" t="str">
        <f aca="false">HYPERLINK("http://www.worldcat.org/oclc/375220","WorldCat Record")</f>
        <v>WorldCat Record</v>
      </c>
      <c r="AW932" s="6" t="s">
        <v>5439</v>
      </c>
      <c r="AX932" s="6" t="s">
        <v>5440</v>
      </c>
      <c r="AY932" s="6" t="s">
        <v>5441</v>
      </c>
      <c r="AZ932" s="6" t="s">
        <v>5441</v>
      </c>
      <c r="BA932" s="6" t="s">
        <v>5442</v>
      </c>
      <c r="BB932" s="28"/>
      <c r="BC932" s="6" t="s">
        <v>5443</v>
      </c>
      <c r="BE932" s="15" t="s">
        <v>2145</v>
      </c>
      <c r="BF932" s="6" t="s">
        <v>5444</v>
      </c>
    </row>
    <row r="933" customFormat="false" ht="140" hidden="false" customHeight="false" outlineLevel="0" collapsed="false">
      <c r="A933" s="26" t="s">
        <v>63</v>
      </c>
      <c r="B933" s="27" t="s">
        <v>2129</v>
      </c>
      <c r="C933" s="27" t="s">
        <v>2130</v>
      </c>
      <c r="D933" s="27" t="s">
        <v>5445</v>
      </c>
      <c r="E933" s="27" t="s">
        <v>5446</v>
      </c>
      <c r="F933" s="27" t="s">
        <v>5447</v>
      </c>
      <c r="G933" s="28"/>
      <c r="H933" s="6" t="s">
        <v>63</v>
      </c>
      <c r="I933" s="6" t="s">
        <v>62</v>
      </c>
      <c r="J933" s="6" t="s">
        <v>63</v>
      </c>
      <c r="K933" s="6" t="s">
        <v>63</v>
      </c>
      <c r="L933" s="6" t="s">
        <v>64</v>
      </c>
      <c r="M933" s="27" t="s">
        <v>5448</v>
      </c>
      <c r="N933" s="27" t="s">
        <v>5449</v>
      </c>
      <c r="O933" s="6" t="s">
        <v>2693</v>
      </c>
      <c r="P933" s="28"/>
      <c r="Q933" s="6" t="s">
        <v>67</v>
      </c>
      <c r="R933" s="6" t="s">
        <v>68</v>
      </c>
      <c r="S933" s="28"/>
      <c r="T933" s="6" t="s">
        <v>4225</v>
      </c>
      <c r="U933" s="7" t="n">
        <v>1</v>
      </c>
      <c r="V933" s="7" t="n">
        <v>1</v>
      </c>
      <c r="W933" s="8" t="s">
        <v>5450</v>
      </c>
      <c r="X933" s="8" t="s">
        <v>5450</v>
      </c>
      <c r="Y933" s="8" t="s">
        <v>5285</v>
      </c>
      <c r="Z933" s="8" t="s">
        <v>5285</v>
      </c>
      <c r="AA933" s="7" t="n">
        <v>376</v>
      </c>
      <c r="AB933" s="7" t="n">
        <v>345</v>
      </c>
      <c r="AC933" s="7" t="n">
        <v>660</v>
      </c>
      <c r="AD933" s="7" t="n">
        <v>6</v>
      </c>
      <c r="AE933" s="7" t="n">
        <v>8</v>
      </c>
      <c r="AF933" s="7" t="n">
        <v>19</v>
      </c>
      <c r="AG933" s="7" t="n">
        <v>35</v>
      </c>
      <c r="AH933" s="7" t="n">
        <v>8</v>
      </c>
      <c r="AI933" s="7" t="n">
        <v>12</v>
      </c>
      <c r="AJ933" s="7" t="n">
        <v>4</v>
      </c>
      <c r="AK933" s="7" t="n">
        <v>8</v>
      </c>
      <c r="AL933" s="7" t="n">
        <v>8</v>
      </c>
      <c r="AM933" s="7" t="n">
        <v>16</v>
      </c>
      <c r="AN933" s="7" t="n">
        <v>4</v>
      </c>
      <c r="AO933" s="7" t="n">
        <v>6</v>
      </c>
      <c r="AP933" s="7" t="n">
        <v>0</v>
      </c>
      <c r="AQ933" s="7" t="n">
        <v>0</v>
      </c>
      <c r="AR933" s="6" t="s">
        <v>63</v>
      </c>
      <c r="AS933" s="6" t="s">
        <v>57</v>
      </c>
      <c r="AT933" s="9" t="str">
        <f aca="false">HYPERLINK("http://catalog.hathitrust.org/Record/001388981","HathiTrust Record")</f>
        <v>HathiTrust Record</v>
      </c>
      <c r="AU933" s="9" t="str">
        <f aca="false">HYPERLINK("https://creighton-primo.hosted.exlibrisgroup.com/primo-explore/search?tab=default_tab&amp;search_scope=EVERYTHING&amp;vid=01CRU&amp;lang=en_US&amp;offset=0&amp;query=any,contains,991002296849702656","Catalog Record")</f>
        <v>Catalog Record</v>
      </c>
      <c r="AV933" s="9" t="str">
        <f aca="false">HYPERLINK("http://www.worldcat.org/oclc/316101","WorldCat Record")</f>
        <v>WorldCat Record</v>
      </c>
      <c r="AW933" s="6" t="s">
        <v>5451</v>
      </c>
      <c r="AX933" s="6" t="s">
        <v>5452</v>
      </c>
      <c r="AY933" s="6" t="s">
        <v>5453</v>
      </c>
      <c r="AZ933" s="6" t="s">
        <v>5453</v>
      </c>
      <c r="BA933" s="6" t="s">
        <v>5454</v>
      </c>
      <c r="BB933" s="28"/>
      <c r="BC933" s="6" t="s">
        <v>5455</v>
      </c>
      <c r="BE933" s="15" t="s">
        <v>2145</v>
      </c>
      <c r="BF933" s="6" t="s">
        <v>5456</v>
      </c>
    </row>
    <row r="934" customFormat="false" ht="105.5" hidden="false" customHeight="false" outlineLevel="0" collapsed="false">
      <c r="A934" s="26" t="s">
        <v>63</v>
      </c>
      <c r="B934" s="27" t="s">
        <v>2129</v>
      </c>
      <c r="C934" s="27" t="s">
        <v>2130</v>
      </c>
      <c r="D934" s="27" t="s">
        <v>5457</v>
      </c>
      <c r="E934" s="27" t="s">
        <v>5458</v>
      </c>
      <c r="F934" s="27" t="s">
        <v>5459</v>
      </c>
      <c r="G934" s="28"/>
      <c r="H934" s="6" t="s">
        <v>63</v>
      </c>
      <c r="I934" s="6" t="s">
        <v>62</v>
      </c>
      <c r="J934" s="6" t="s">
        <v>63</v>
      </c>
      <c r="K934" s="6" t="s">
        <v>63</v>
      </c>
      <c r="L934" s="6" t="s">
        <v>64</v>
      </c>
      <c r="M934" s="27" t="s">
        <v>5460</v>
      </c>
      <c r="N934" s="27" t="s">
        <v>5461</v>
      </c>
      <c r="O934" s="6" t="s">
        <v>2426</v>
      </c>
      <c r="P934" s="28"/>
      <c r="Q934" s="6" t="s">
        <v>67</v>
      </c>
      <c r="R934" s="6" t="s">
        <v>384</v>
      </c>
      <c r="S934" s="27" t="s">
        <v>5462</v>
      </c>
      <c r="T934" s="6" t="s">
        <v>4225</v>
      </c>
      <c r="U934" s="7" t="n">
        <v>4</v>
      </c>
      <c r="V934" s="7" t="n">
        <v>4</v>
      </c>
      <c r="W934" s="8" t="s">
        <v>5463</v>
      </c>
      <c r="X934" s="8" t="s">
        <v>5463</v>
      </c>
      <c r="Y934" s="8" t="s">
        <v>5285</v>
      </c>
      <c r="Z934" s="8" t="s">
        <v>5285</v>
      </c>
      <c r="AA934" s="7" t="n">
        <v>754</v>
      </c>
      <c r="AB934" s="7" t="n">
        <v>551</v>
      </c>
      <c r="AC934" s="7" t="n">
        <v>661</v>
      </c>
      <c r="AD934" s="7" t="n">
        <v>6</v>
      </c>
      <c r="AE934" s="7" t="n">
        <v>6</v>
      </c>
      <c r="AF934" s="7" t="n">
        <v>35</v>
      </c>
      <c r="AG934" s="7" t="n">
        <v>42</v>
      </c>
      <c r="AH934" s="7" t="n">
        <v>13</v>
      </c>
      <c r="AI934" s="7" t="n">
        <v>15</v>
      </c>
      <c r="AJ934" s="7" t="n">
        <v>8</v>
      </c>
      <c r="AK934" s="7" t="n">
        <v>11</v>
      </c>
      <c r="AL934" s="7" t="n">
        <v>20</v>
      </c>
      <c r="AM934" s="7" t="n">
        <v>22</v>
      </c>
      <c r="AN934" s="7" t="n">
        <v>5</v>
      </c>
      <c r="AO934" s="7" t="n">
        <v>5</v>
      </c>
      <c r="AP934" s="7" t="n">
        <v>0</v>
      </c>
      <c r="AQ934" s="7" t="n">
        <v>1</v>
      </c>
      <c r="AR934" s="6" t="s">
        <v>57</v>
      </c>
      <c r="AS934" s="6" t="s">
        <v>63</v>
      </c>
      <c r="AT934" s="9" t="str">
        <f aca="false">HYPERLINK("http://catalog.hathitrust.org/Record/000015735","HathiTrust Record")</f>
        <v>HathiTrust Record</v>
      </c>
      <c r="AU934" s="9" t="str">
        <f aca="false">HYPERLINK("https://creighton-primo.hosted.exlibrisgroup.com/primo-explore/search?tab=default_tab&amp;search_scope=EVERYTHING&amp;vid=01CRU&amp;lang=en_US&amp;offset=0&amp;query=any,contains,991003439879702656","Catalog Record")</f>
        <v>Catalog Record</v>
      </c>
      <c r="AV934" s="9" t="str">
        <f aca="false">HYPERLINK("http://www.worldcat.org/oclc/976028","WorldCat Record")</f>
        <v>WorldCat Record</v>
      </c>
      <c r="AW934" s="6" t="s">
        <v>5464</v>
      </c>
      <c r="AX934" s="6" t="s">
        <v>5465</v>
      </c>
      <c r="AY934" s="6" t="s">
        <v>5466</v>
      </c>
      <c r="AZ934" s="6" t="s">
        <v>5466</v>
      </c>
      <c r="BA934" s="6" t="s">
        <v>5467</v>
      </c>
      <c r="BB934" s="6" t="s">
        <v>5468</v>
      </c>
      <c r="BC934" s="6" t="s">
        <v>5469</v>
      </c>
      <c r="BE934" s="15" t="s">
        <v>2145</v>
      </c>
      <c r="BF934" s="6" t="s">
        <v>5470</v>
      </c>
    </row>
    <row r="935" customFormat="false" ht="105.5" hidden="false" customHeight="false" outlineLevel="0" collapsed="false">
      <c r="A935" s="26" t="s">
        <v>63</v>
      </c>
      <c r="B935" s="27" t="s">
        <v>2129</v>
      </c>
      <c r="C935" s="27" t="s">
        <v>2130</v>
      </c>
      <c r="D935" s="27" t="s">
        <v>5471</v>
      </c>
      <c r="E935" s="27" t="s">
        <v>5472</v>
      </c>
      <c r="F935" s="27" t="s">
        <v>5473</v>
      </c>
      <c r="G935" s="6" t="s">
        <v>498</v>
      </c>
      <c r="H935" s="6" t="s">
        <v>57</v>
      </c>
      <c r="I935" s="6" t="s">
        <v>62</v>
      </c>
      <c r="J935" s="6" t="s">
        <v>63</v>
      </c>
      <c r="K935" s="6" t="s">
        <v>63</v>
      </c>
      <c r="L935" s="6" t="s">
        <v>64</v>
      </c>
      <c r="M935" s="27" t="s">
        <v>5474</v>
      </c>
      <c r="N935" s="27" t="s">
        <v>5475</v>
      </c>
      <c r="O935" s="6" t="s">
        <v>122</v>
      </c>
      <c r="P935" s="28"/>
      <c r="Q935" s="6" t="s">
        <v>67</v>
      </c>
      <c r="R935" s="6" t="s">
        <v>68</v>
      </c>
      <c r="S935" s="27" t="s">
        <v>5476</v>
      </c>
      <c r="T935" s="6" t="s">
        <v>4225</v>
      </c>
      <c r="U935" s="7" t="n">
        <v>2</v>
      </c>
      <c r="V935" s="7" t="n">
        <v>4</v>
      </c>
      <c r="W935" s="8" t="s">
        <v>5477</v>
      </c>
      <c r="X935" s="8" t="s">
        <v>5477</v>
      </c>
      <c r="Y935" s="8" t="s">
        <v>5081</v>
      </c>
      <c r="Z935" s="8" t="s">
        <v>5081</v>
      </c>
      <c r="AA935" s="7" t="n">
        <v>359</v>
      </c>
      <c r="AB935" s="7" t="n">
        <v>342</v>
      </c>
      <c r="AC935" s="7" t="n">
        <v>846</v>
      </c>
      <c r="AD935" s="7" t="n">
        <v>1</v>
      </c>
      <c r="AE935" s="7" t="n">
        <v>4</v>
      </c>
      <c r="AF935" s="7" t="n">
        <v>9</v>
      </c>
      <c r="AG935" s="7" t="n">
        <v>38</v>
      </c>
      <c r="AH935" s="7" t="n">
        <v>3</v>
      </c>
      <c r="AI935" s="7" t="n">
        <v>15</v>
      </c>
      <c r="AJ935" s="7" t="n">
        <v>2</v>
      </c>
      <c r="AK935" s="7" t="n">
        <v>9</v>
      </c>
      <c r="AL935" s="7" t="n">
        <v>6</v>
      </c>
      <c r="AM935" s="7" t="n">
        <v>23</v>
      </c>
      <c r="AN935" s="7" t="n">
        <v>0</v>
      </c>
      <c r="AO935" s="7" t="n">
        <v>3</v>
      </c>
      <c r="AP935" s="7" t="n">
        <v>0</v>
      </c>
      <c r="AQ935" s="7" t="n">
        <v>0</v>
      </c>
      <c r="AR935" s="6" t="s">
        <v>63</v>
      </c>
      <c r="AS935" s="6" t="s">
        <v>57</v>
      </c>
      <c r="AT935" s="9" t="str">
        <f aca="false">HYPERLINK("http://catalog.hathitrust.org/Record/009908007","HathiTrust Record")</f>
        <v>HathiTrust Record</v>
      </c>
      <c r="AU935" s="9" t="str">
        <f aca="false">HYPERLINK("https://creighton-primo.hosted.exlibrisgroup.com/primo-explore/search?tab=default_tab&amp;search_scope=EVERYTHING&amp;vid=01CRU&amp;lang=en_US&amp;offset=0&amp;query=any,contains,991002571889702656","Catalog Record")</f>
        <v>Catalog Record</v>
      </c>
      <c r="AV935" s="9" t="str">
        <f aca="false">HYPERLINK("http://www.worldcat.org/oclc/373899","WorldCat Record")</f>
        <v>WorldCat Record</v>
      </c>
      <c r="AW935" s="6" t="s">
        <v>5478</v>
      </c>
      <c r="AX935" s="6" t="s">
        <v>5479</v>
      </c>
      <c r="AY935" s="6" t="s">
        <v>5480</v>
      </c>
      <c r="AZ935" s="6" t="s">
        <v>5480</v>
      </c>
      <c r="BA935" s="6" t="s">
        <v>5481</v>
      </c>
      <c r="BB935" s="28"/>
      <c r="BC935" s="6" t="s">
        <v>5482</v>
      </c>
      <c r="BE935" s="15" t="s">
        <v>2145</v>
      </c>
      <c r="BF935" s="6" t="s">
        <v>5483</v>
      </c>
    </row>
    <row r="936" customFormat="false" ht="105.5" hidden="false" customHeight="false" outlineLevel="0" collapsed="false">
      <c r="A936" s="26" t="s">
        <v>63</v>
      </c>
      <c r="B936" s="27" t="s">
        <v>2129</v>
      </c>
      <c r="C936" s="27" t="s">
        <v>2130</v>
      </c>
      <c r="D936" s="27" t="s">
        <v>5471</v>
      </c>
      <c r="E936" s="27" t="s">
        <v>5472</v>
      </c>
      <c r="F936" s="27" t="s">
        <v>5473</v>
      </c>
      <c r="G936" s="6" t="s">
        <v>502</v>
      </c>
      <c r="H936" s="6" t="s">
        <v>57</v>
      </c>
      <c r="I936" s="6" t="s">
        <v>62</v>
      </c>
      <c r="J936" s="6" t="s">
        <v>63</v>
      </c>
      <c r="K936" s="6" t="s">
        <v>63</v>
      </c>
      <c r="L936" s="6" t="s">
        <v>64</v>
      </c>
      <c r="M936" s="27" t="s">
        <v>5474</v>
      </c>
      <c r="N936" s="27" t="s">
        <v>5475</v>
      </c>
      <c r="O936" s="6" t="s">
        <v>122</v>
      </c>
      <c r="P936" s="28"/>
      <c r="Q936" s="6" t="s">
        <v>67</v>
      </c>
      <c r="R936" s="6" t="s">
        <v>68</v>
      </c>
      <c r="S936" s="27" t="s">
        <v>5476</v>
      </c>
      <c r="T936" s="6" t="s">
        <v>4225</v>
      </c>
      <c r="U936" s="7" t="n">
        <v>2</v>
      </c>
      <c r="V936" s="7" t="n">
        <v>4</v>
      </c>
      <c r="W936" s="8" t="s">
        <v>5484</v>
      </c>
      <c r="X936" s="8" t="s">
        <v>5477</v>
      </c>
      <c r="Y936" s="8" t="s">
        <v>5081</v>
      </c>
      <c r="Z936" s="8" t="s">
        <v>5081</v>
      </c>
      <c r="AA936" s="7" t="n">
        <v>359</v>
      </c>
      <c r="AB936" s="7" t="n">
        <v>342</v>
      </c>
      <c r="AC936" s="7" t="n">
        <v>846</v>
      </c>
      <c r="AD936" s="7" t="n">
        <v>1</v>
      </c>
      <c r="AE936" s="7" t="n">
        <v>4</v>
      </c>
      <c r="AF936" s="7" t="n">
        <v>9</v>
      </c>
      <c r="AG936" s="7" t="n">
        <v>38</v>
      </c>
      <c r="AH936" s="7" t="n">
        <v>3</v>
      </c>
      <c r="AI936" s="7" t="n">
        <v>15</v>
      </c>
      <c r="AJ936" s="7" t="n">
        <v>2</v>
      </c>
      <c r="AK936" s="7" t="n">
        <v>9</v>
      </c>
      <c r="AL936" s="7" t="n">
        <v>6</v>
      </c>
      <c r="AM936" s="7" t="n">
        <v>23</v>
      </c>
      <c r="AN936" s="7" t="n">
        <v>0</v>
      </c>
      <c r="AO936" s="7" t="n">
        <v>3</v>
      </c>
      <c r="AP936" s="7" t="n">
        <v>0</v>
      </c>
      <c r="AQ936" s="7" t="n">
        <v>0</v>
      </c>
      <c r="AR936" s="6" t="s">
        <v>63</v>
      </c>
      <c r="AS936" s="6" t="s">
        <v>57</v>
      </c>
      <c r="AT936" s="9" t="str">
        <f aca="false">HYPERLINK("http://catalog.hathitrust.org/Record/009908007","HathiTrust Record")</f>
        <v>HathiTrust Record</v>
      </c>
      <c r="AU936" s="9" t="str">
        <f aca="false">HYPERLINK("https://creighton-primo.hosted.exlibrisgroup.com/primo-explore/search?tab=default_tab&amp;search_scope=EVERYTHING&amp;vid=01CRU&amp;lang=en_US&amp;offset=0&amp;query=any,contains,991002571889702656","Catalog Record")</f>
        <v>Catalog Record</v>
      </c>
      <c r="AV936" s="9" t="str">
        <f aca="false">HYPERLINK("http://www.worldcat.org/oclc/373899","WorldCat Record")</f>
        <v>WorldCat Record</v>
      </c>
      <c r="AW936" s="6" t="s">
        <v>5478</v>
      </c>
      <c r="AX936" s="6" t="s">
        <v>5479</v>
      </c>
      <c r="AY936" s="6" t="s">
        <v>5480</v>
      </c>
      <c r="AZ936" s="6" t="s">
        <v>5480</v>
      </c>
      <c r="BA936" s="6" t="s">
        <v>5481</v>
      </c>
      <c r="BB936" s="28"/>
      <c r="BC936" s="6" t="s">
        <v>5485</v>
      </c>
      <c r="BE936" s="15" t="s">
        <v>2145</v>
      </c>
      <c r="BF936" s="6" t="s">
        <v>5486</v>
      </c>
    </row>
    <row r="937" customFormat="false" ht="105.5" hidden="false" customHeight="false" outlineLevel="0" collapsed="false">
      <c r="A937" s="26" t="s">
        <v>63</v>
      </c>
      <c r="B937" s="27" t="s">
        <v>2129</v>
      </c>
      <c r="C937" s="27" t="s">
        <v>2130</v>
      </c>
      <c r="D937" s="27" t="s">
        <v>5487</v>
      </c>
      <c r="E937" s="27" t="s">
        <v>5488</v>
      </c>
      <c r="F937" s="27" t="s">
        <v>5489</v>
      </c>
      <c r="G937" s="28"/>
      <c r="H937" s="6" t="s">
        <v>63</v>
      </c>
      <c r="I937" s="6" t="s">
        <v>62</v>
      </c>
      <c r="J937" s="6" t="s">
        <v>63</v>
      </c>
      <c r="K937" s="6" t="s">
        <v>63</v>
      </c>
      <c r="L937" s="6" t="s">
        <v>64</v>
      </c>
      <c r="M937" s="27" t="s">
        <v>5490</v>
      </c>
      <c r="N937" s="27" t="s">
        <v>5491</v>
      </c>
      <c r="O937" s="6" t="s">
        <v>108</v>
      </c>
      <c r="P937" s="28"/>
      <c r="Q937" s="6" t="s">
        <v>67</v>
      </c>
      <c r="R937" s="6" t="s">
        <v>5492</v>
      </c>
      <c r="S937" s="28"/>
      <c r="T937" s="6" t="s">
        <v>4225</v>
      </c>
      <c r="U937" s="7" t="n">
        <v>4</v>
      </c>
      <c r="V937" s="7" t="n">
        <v>4</v>
      </c>
      <c r="W937" s="8" t="s">
        <v>5493</v>
      </c>
      <c r="X937" s="8" t="s">
        <v>5493</v>
      </c>
      <c r="Y937" s="8" t="s">
        <v>5377</v>
      </c>
      <c r="Z937" s="8" t="s">
        <v>5377</v>
      </c>
      <c r="AA937" s="7" t="n">
        <v>102</v>
      </c>
      <c r="AB937" s="7" t="n">
        <v>74</v>
      </c>
      <c r="AC937" s="7" t="n">
        <v>438</v>
      </c>
      <c r="AD937" s="7" t="n">
        <v>1</v>
      </c>
      <c r="AE937" s="7" t="n">
        <v>4</v>
      </c>
      <c r="AF937" s="7" t="n">
        <v>4</v>
      </c>
      <c r="AG937" s="7" t="n">
        <v>23</v>
      </c>
      <c r="AH937" s="7" t="n">
        <v>0</v>
      </c>
      <c r="AI937" s="7" t="n">
        <v>6</v>
      </c>
      <c r="AJ937" s="7" t="n">
        <v>3</v>
      </c>
      <c r="AK937" s="7" t="n">
        <v>7</v>
      </c>
      <c r="AL937" s="7" t="n">
        <v>4</v>
      </c>
      <c r="AM937" s="7" t="n">
        <v>15</v>
      </c>
      <c r="AN937" s="7" t="n">
        <v>0</v>
      </c>
      <c r="AO937" s="7" t="n">
        <v>2</v>
      </c>
      <c r="AP937" s="7" t="n">
        <v>0</v>
      </c>
      <c r="AQ937" s="7" t="n">
        <v>0</v>
      </c>
      <c r="AR937" s="6" t="s">
        <v>63</v>
      </c>
      <c r="AS937" s="6" t="s">
        <v>63</v>
      </c>
      <c r="AT937" s="28"/>
      <c r="AU937" s="9" t="str">
        <f aca="false">HYPERLINK("https://creighton-primo.hosted.exlibrisgroup.com/primo-explore/search?tab=default_tab&amp;search_scope=EVERYTHING&amp;vid=01CRU&amp;lang=en_US&amp;offset=0&amp;query=any,contains,991004690629702656","Catalog Record")</f>
        <v>Catalog Record</v>
      </c>
      <c r="AV937" s="9" t="str">
        <f aca="false">HYPERLINK("http://www.worldcat.org/oclc/4609217","WorldCat Record")</f>
        <v>WorldCat Record</v>
      </c>
      <c r="AW937" s="6" t="s">
        <v>5494</v>
      </c>
      <c r="AX937" s="6" t="s">
        <v>5495</v>
      </c>
      <c r="AY937" s="6" t="s">
        <v>5496</v>
      </c>
      <c r="AZ937" s="6" t="s">
        <v>5496</v>
      </c>
      <c r="BA937" s="6" t="s">
        <v>5497</v>
      </c>
      <c r="BB937" s="6" t="s">
        <v>5498</v>
      </c>
      <c r="BC937" s="6" t="s">
        <v>5499</v>
      </c>
      <c r="BE937" s="15" t="s">
        <v>2145</v>
      </c>
      <c r="BF937" s="6" t="s">
        <v>5500</v>
      </c>
    </row>
    <row r="938" customFormat="false" ht="117" hidden="false" customHeight="false" outlineLevel="0" collapsed="false">
      <c r="A938" s="26" t="s">
        <v>63</v>
      </c>
      <c r="B938" s="27" t="s">
        <v>2129</v>
      </c>
      <c r="C938" s="27" t="s">
        <v>2130</v>
      </c>
      <c r="D938" s="27" t="s">
        <v>5501</v>
      </c>
      <c r="E938" s="27" t="s">
        <v>5502</v>
      </c>
      <c r="F938" s="27" t="s">
        <v>5503</v>
      </c>
      <c r="G938" s="28"/>
      <c r="H938" s="6" t="s">
        <v>63</v>
      </c>
      <c r="I938" s="6" t="s">
        <v>62</v>
      </c>
      <c r="J938" s="6" t="s">
        <v>63</v>
      </c>
      <c r="K938" s="6" t="s">
        <v>63</v>
      </c>
      <c r="L938" s="6" t="s">
        <v>64</v>
      </c>
      <c r="M938" s="27" t="s">
        <v>5504</v>
      </c>
      <c r="N938" s="27" t="s">
        <v>5505</v>
      </c>
      <c r="O938" s="6" t="s">
        <v>3029</v>
      </c>
      <c r="P938" s="28"/>
      <c r="Q938" s="6" t="s">
        <v>67</v>
      </c>
      <c r="R938" s="6" t="s">
        <v>500</v>
      </c>
      <c r="S938" s="28"/>
      <c r="T938" s="6" t="s">
        <v>4225</v>
      </c>
      <c r="U938" s="7" t="n">
        <v>4</v>
      </c>
      <c r="V938" s="7" t="n">
        <v>4</v>
      </c>
      <c r="W938" s="8" t="s">
        <v>5506</v>
      </c>
      <c r="X938" s="8" t="s">
        <v>5506</v>
      </c>
      <c r="Y938" s="8" t="s">
        <v>5285</v>
      </c>
      <c r="Z938" s="8" t="s">
        <v>5285</v>
      </c>
      <c r="AA938" s="7" t="n">
        <v>446</v>
      </c>
      <c r="AB938" s="7" t="n">
        <v>391</v>
      </c>
      <c r="AC938" s="7" t="n">
        <v>400</v>
      </c>
      <c r="AD938" s="7" t="n">
        <v>2</v>
      </c>
      <c r="AE938" s="7" t="n">
        <v>2</v>
      </c>
      <c r="AF938" s="7" t="n">
        <v>33</v>
      </c>
      <c r="AG938" s="7" t="n">
        <v>33</v>
      </c>
      <c r="AH938" s="7" t="n">
        <v>10</v>
      </c>
      <c r="AI938" s="7" t="n">
        <v>10</v>
      </c>
      <c r="AJ938" s="7" t="n">
        <v>8</v>
      </c>
      <c r="AK938" s="7" t="n">
        <v>8</v>
      </c>
      <c r="AL938" s="7" t="n">
        <v>25</v>
      </c>
      <c r="AM938" s="7" t="n">
        <v>25</v>
      </c>
      <c r="AN938" s="7" t="n">
        <v>1</v>
      </c>
      <c r="AO938" s="7" t="n">
        <v>1</v>
      </c>
      <c r="AP938" s="7" t="n">
        <v>0</v>
      </c>
      <c r="AQ938" s="7" t="n">
        <v>0</v>
      </c>
      <c r="AR938" s="6" t="s">
        <v>63</v>
      </c>
      <c r="AS938" s="6" t="s">
        <v>63</v>
      </c>
      <c r="AT938" s="9" t="str">
        <f aca="false">HYPERLINK("http://catalog.hathitrust.org/Record/001389094","HathiTrust Record")</f>
        <v>HathiTrust Record</v>
      </c>
      <c r="AU938" s="9" t="str">
        <f aca="false">HYPERLINK("https://creighton-primo.hosted.exlibrisgroup.com/primo-explore/search?tab=default_tab&amp;search_scope=EVERYTHING&amp;vid=01CRU&amp;lang=en_US&amp;offset=0&amp;query=any,contains,991005354959702656","Catalog Record")</f>
        <v>Catalog Record</v>
      </c>
      <c r="AV938" s="9" t="str">
        <f aca="false">HYPERLINK("http://www.worldcat.org/oclc/375284","WorldCat Record")</f>
        <v>WorldCat Record</v>
      </c>
      <c r="AW938" s="6" t="s">
        <v>5507</v>
      </c>
      <c r="AX938" s="6" t="s">
        <v>5508</v>
      </c>
      <c r="AY938" s="6" t="s">
        <v>5509</v>
      </c>
      <c r="AZ938" s="6" t="s">
        <v>5509</v>
      </c>
      <c r="BA938" s="6" t="s">
        <v>5510</v>
      </c>
      <c r="BB938" s="28"/>
      <c r="BC938" s="6" t="s">
        <v>5511</v>
      </c>
      <c r="BE938" s="15" t="s">
        <v>2145</v>
      </c>
      <c r="BF938" s="6" t="s">
        <v>5512</v>
      </c>
    </row>
    <row r="939" customFormat="false" ht="117" hidden="false" customHeight="false" outlineLevel="0" collapsed="false">
      <c r="A939" s="26" t="s">
        <v>63</v>
      </c>
      <c r="B939" s="27" t="s">
        <v>2129</v>
      </c>
      <c r="C939" s="27" t="s">
        <v>2130</v>
      </c>
      <c r="D939" s="27" t="s">
        <v>5513</v>
      </c>
      <c r="E939" s="27" t="s">
        <v>5514</v>
      </c>
      <c r="F939" s="27" t="s">
        <v>5515</v>
      </c>
      <c r="G939" s="28"/>
      <c r="H939" s="6" t="s">
        <v>63</v>
      </c>
      <c r="I939" s="6" t="s">
        <v>62</v>
      </c>
      <c r="J939" s="6" t="s">
        <v>63</v>
      </c>
      <c r="K939" s="6" t="s">
        <v>63</v>
      </c>
      <c r="L939" s="6" t="s">
        <v>64</v>
      </c>
      <c r="M939" s="27" t="s">
        <v>5516</v>
      </c>
      <c r="N939" s="27" t="s">
        <v>5517</v>
      </c>
      <c r="O939" s="6" t="s">
        <v>195</v>
      </c>
      <c r="P939" s="28"/>
      <c r="Q939" s="6" t="s">
        <v>67</v>
      </c>
      <c r="R939" s="6" t="s">
        <v>68</v>
      </c>
      <c r="S939" s="27" t="s">
        <v>5518</v>
      </c>
      <c r="T939" s="6" t="s">
        <v>4225</v>
      </c>
      <c r="U939" s="7" t="n">
        <v>2</v>
      </c>
      <c r="V939" s="7" t="n">
        <v>2</v>
      </c>
      <c r="W939" s="8" t="s">
        <v>5519</v>
      </c>
      <c r="X939" s="8" t="s">
        <v>5519</v>
      </c>
      <c r="Y939" s="8" t="s">
        <v>5081</v>
      </c>
      <c r="Z939" s="8" t="s">
        <v>5081</v>
      </c>
      <c r="AA939" s="7" t="n">
        <v>770</v>
      </c>
      <c r="AB939" s="7" t="n">
        <v>664</v>
      </c>
      <c r="AC939" s="7" t="n">
        <v>1193</v>
      </c>
      <c r="AD939" s="7" t="n">
        <v>4</v>
      </c>
      <c r="AE939" s="7" t="n">
        <v>8</v>
      </c>
      <c r="AF939" s="7" t="n">
        <v>32</v>
      </c>
      <c r="AG939" s="7" t="n">
        <v>49</v>
      </c>
      <c r="AH939" s="7" t="n">
        <v>12</v>
      </c>
      <c r="AI939" s="7" t="n">
        <v>21</v>
      </c>
      <c r="AJ939" s="7" t="n">
        <v>9</v>
      </c>
      <c r="AK939" s="7" t="n">
        <v>10</v>
      </c>
      <c r="AL939" s="7" t="n">
        <v>17</v>
      </c>
      <c r="AM939" s="7" t="n">
        <v>25</v>
      </c>
      <c r="AN939" s="7" t="n">
        <v>3</v>
      </c>
      <c r="AO939" s="7" t="n">
        <v>5</v>
      </c>
      <c r="AP939" s="7" t="n">
        <v>0</v>
      </c>
      <c r="AQ939" s="7" t="n">
        <v>0</v>
      </c>
      <c r="AR939" s="6" t="s">
        <v>63</v>
      </c>
      <c r="AS939" s="6" t="s">
        <v>63</v>
      </c>
      <c r="AT939" s="28"/>
      <c r="AU939" s="9" t="str">
        <f aca="false">HYPERLINK("https://creighton-primo.hosted.exlibrisgroup.com/primo-explore/search?tab=default_tab&amp;search_scope=EVERYTHING&amp;vid=01CRU&amp;lang=en_US&amp;offset=0&amp;query=any,contains,991003320619702656","Catalog Record")</f>
        <v>Catalog Record</v>
      </c>
      <c r="AV939" s="9" t="str">
        <f aca="false">HYPERLINK("http://www.worldcat.org/oclc/848294","WorldCat Record")</f>
        <v>WorldCat Record</v>
      </c>
      <c r="AW939" s="6" t="s">
        <v>5520</v>
      </c>
      <c r="AX939" s="6" t="s">
        <v>5521</v>
      </c>
      <c r="AY939" s="6" t="s">
        <v>5522</v>
      </c>
      <c r="AZ939" s="6" t="s">
        <v>5522</v>
      </c>
      <c r="BA939" s="6" t="s">
        <v>5523</v>
      </c>
      <c r="BB939" s="28"/>
      <c r="BC939" s="6" t="s">
        <v>5524</v>
      </c>
      <c r="BE939" s="15" t="s">
        <v>2145</v>
      </c>
      <c r="BF939" s="6" t="s">
        <v>5525</v>
      </c>
    </row>
    <row r="940" customFormat="false" ht="117" hidden="false" customHeight="false" outlineLevel="0" collapsed="false">
      <c r="A940" s="26" t="s">
        <v>63</v>
      </c>
      <c r="B940" s="27" t="s">
        <v>2129</v>
      </c>
      <c r="C940" s="27" t="s">
        <v>2130</v>
      </c>
      <c r="D940" s="27" t="s">
        <v>5526</v>
      </c>
      <c r="E940" s="27" t="s">
        <v>5527</v>
      </c>
      <c r="F940" s="27" t="s">
        <v>5528</v>
      </c>
      <c r="G940" s="28"/>
      <c r="H940" s="6" t="s">
        <v>63</v>
      </c>
      <c r="I940" s="6" t="s">
        <v>62</v>
      </c>
      <c r="J940" s="6" t="s">
        <v>63</v>
      </c>
      <c r="K940" s="6" t="s">
        <v>63</v>
      </c>
      <c r="L940" s="6" t="s">
        <v>64</v>
      </c>
      <c r="M940" s="27" t="s">
        <v>5529</v>
      </c>
      <c r="N940" s="27" t="s">
        <v>5530</v>
      </c>
      <c r="O940" s="6" t="s">
        <v>167</v>
      </c>
      <c r="P940" s="28"/>
      <c r="Q940" s="6" t="s">
        <v>67</v>
      </c>
      <c r="R940" s="6" t="s">
        <v>123</v>
      </c>
      <c r="S940" s="28"/>
      <c r="T940" s="6" t="s">
        <v>5531</v>
      </c>
      <c r="U940" s="7" t="n">
        <v>2</v>
      </c>
      <c r="V940" s="7" t="n">
        <v>2</v>
      </c>
      <c r="W940" s="8" t="s">
        <v>5532</v>
      </c>
      <c r="X940" s="8" t="s">
        <v>5532</v>
      </c>
      <c r="Y940" s="8" t="s">
        <v>5533</v>
      </c>
      <c r="Z940" s="8" t="s">
        <v>5533</v>
      </c>
      <c r="AA940" s="7" t="n">
        <v>170</v>
      </c>
      <c r="AB940" s="7" t="n">
        <v>145</v>
      </c>
      <c r="AC940" s="7" t="n">
        <v>147</v>
      </c>
      <c r="AD940" s="7" t="n">
        <v>2</v>
      </c>
      <c r="AE940" s="7" t="n">
        <v>2</v>
      </c>
      <c r="AF940" s="7" t="n">
        <v>10</v>
      </c>
      <c r="AG940" s="7" t="n">
        <v>10</v>
      </c>
      <c r="AH940" s="7" t="n">
        <v>4</v>
      </c>
      <c r="AI940" s="7" t="n">
        <v>4</v>
      </c>
      <c r="AJ940" s="7" t="n">
        <v>3</v>
      </c>
      <c r="AK940" s="7" t="n">
        <v>3</v>
      </c>
      <c r="AL940" s="7" t="n">
        <v>6</v>
      </c>
      <c r="AM940" s="7" t="n">
        <v>6</v>
      </c>
      <c r="AN940" s="7" t="n">
        <v>1</v>
      </c>
      <c r="AO940" s="7" t="n">
        <v>1</v>
      </c>
      <c r="AP940" s="7" t="n">
        <v>0</v>
      </c>
      <c r="AQ940" s="7" t="n">
        <v>0</v>
      </c>
      <c r="AR940" s="6" t="s">
        <v>63</v>
      </c>
      <c r="AS940" s="6" t="s">
        <v>57</v>
      </c>
      <c r="AT940" s="9" t="str">
        <f aca="false">HYPERLINK("http://catalog.hathitrust.org/Record/101870603","HathiTrust Record")</f>
        <v>HathiTrust Record</v>
      </c>
      <c r="AU940" s="9" t="str">
        <f aca="false">HYPERLINK("https://creighton-primo.hosted.exlibrisgroup.com/primo-explore/search?tab=default_tab&amp;search_scope=EVERYTHING&amp;vid=01CRU&amp;lang=en_US&amp;offset=0&amp;query=any,contains,991003795349702656","Catalog Record")</f>
        <v>Catalog Record</v>
      </c>
      <c r="AV940" s="9" t="str">
        <f aca="false">HYPERLINK("http://www.worldcat.org/oclc/1516395","WorldCat Record")</f>
        <v>WorldCat Record</v>
      </c>
      <c r="AW940" s="6" t="s">
        <v>5534</v>
      </c>
      <c r="AX940" s="6" t="s">
        <v>5535</v>
      </c>
      <c r="AY940" s="6" t="s">
        <v>5536</v>
      </c>
      <c r="AZ940" s="6" t="s">
        <v>5536</v>
      </c>
      <c r="BA940" s="6" t="s">
        <v>5537</v>
      </c>
      <c r="BB940" s="28"/>
      <c r="BC940" s="6" t="s">
        <v>5538</v>
      </c>
      <c r="BE940" s="15" t="s">
        <v>2145</v>
      </c>
      <c r="BF940" s="6" t="s">
        <v>5539</v>
      </c>
    </row>
    <row r="941" customFormat="false" ht="71" hidden="false" customHeight="false" outlineLevel="0" collapsed="false">
      <c r="A941" s="26" t="s">
        <v>63</v>
      </c>
      <c r="B941" s="27" t="s">
        <v>2129</v>
      </c>
      <c r="C941" s="27" t="s">
        <v>2130</v>
      </c>
      <c r="D941" s="27" t="s">
        <v>5540</v>
      </c>
      <c r="E941" s="27" t="s">
        <v>5541</v>
      </c>
      <c r="F941" s="27" t="s">
        <v>5542</v>
      </c>
      <c r="G941" s="28"/>
      <c r="H941" s="6" t="s">
        <v>63</v>
      </c>
      <c r="I941" s="6" t="s">
        <v>62</v>
      </c>
      <c r="J941" s="6" t="s">
        <v>63</v>
      </c>
      <c r="K941" s="6" t="s">
        <v>63</v>
      </c>
      <c r="L941" s="6" t="s">
        <v>64</v>
      </c>
      <c r="M941" s="27" t="s">
        <v>5543</v>
      </c>
      <c r="N941" s="27" t="s">
        <v>5544</v>
      </c>
      <c r="O941" s="6" t="s">
        <v>4833</v>
      </c>
      <c r="P941" s="28"/>
      <c r="Q941" s="6" t="s">
        <v>67</v>
      </c>
      <c r="R941" s="6" t="s">
        <v>123</v>
      </c>
      <c r="S941" s="28"/>
      <c r="T941" s="6" t="s">
        <v>5531</v>
      </c>
      <c r="U941" s="7" t="n">
        <v>3</v>
      </c>
      <c r="V941" s="7" t="n">
        <v>3</v>
      </c>
      <c r="W941" s="8" t="s">
        <v>5545</v>
      </c>
      <c r="X941" s="8" t="s">
        <v>5545</v>
      </c>
      <c r="Y941" s="8" t="s">
        <v>5546</v>
      </c>
      <c r="Z941" s="8" t="s">
        <v>5546</v>
      </c>
      <c r="AA941" s="7" t="n">
        <v>211</v>
      </c>
      <c r="AB941" s="7" t="n">
        <v>172</v>
      </c>
      <c r="AC941" s="7" t="n">
        <v>181</v>
      </c>
      <c r="AD941" s="7" t="n">
        <v>1</v>
      </c>
      <c r="AE941" s="7" t="n">
        <v>1</v>
      </c>
      <c r="AF941" s="7" t="n">
        <v>23</v>
      </c>
      <c r="AG941" s="7" t="n">
        <v>23</v>
      </c>
      <c r="AH941" s="7" t="n">
        <v>8</v>
      </c>
      <c r="AI941" s="7" t="n">
        <v>8</v>
      </c>
      <c r="AJ941" s="7" t="n">
        <v>5</v>
      </c>
      <c r="AK941" s="7" t="n">
        <v>5</v>
      </c>
      <c r="AL941" s="7" t="n">
        <v>17</v>
      </c>
      <c r="AM941" s="7" t="n">
        <v>17</v>
      </c>
      <c r="AN941" s="7" t="n">
        <v>0</v>
      </c>
      <c r="AO941" s="7" t="n">
        <v>0</v>
      </c>
      <c r="AP941" s="7" t="n">
        <v>0</v>
      </c>
      <c r="AQ941" s="7" t="n">
        <v>0</v>
      </c>
      <c r="AR941" s="6" t="s">
        <v>63</v>
      </c>
      <c r="AS941" s="6" t="s">
        <v>57</v>
      </c>
      <c r="AT941" s="9" t="str">
        <f aca="false">HYPERLINK("http://catalog.hathitrust.org/Record/100894915","HathiTrust Record")</f>
        <v>HathiTrust Record</v>
      </c>
      <c r="AU941" s="9" t="str">
        <f aca="false">HYPERLINK("https://creighton-primo.hosted.exlibrisgroup.com/primo-explore/search?tab=default_tab&amp;search_scope=EVERYTHING&amp;vid=01CRU&amp;lang=en_US&amp;offset=0&amp;query=any,contains,991003848939702656","Catalog Record")</f>
        <v>Catalog Record</v>
      </c>
      <c r="AV941" s="9" t="str">
        <f aca="false">HYPERLINK("http://www.worldcat.org/oclc/1636545","WorldCat Record")</f>
        <v>WorldCat Record</v>
      </c>
      <c r="AW941" s="6" t="s">
        <v>5547</v>
      </c>
      <c r="AX941" s="6" t="s">
        <v>5548</v>
      </c>
      <c r="AY941" s="6" t="s">
        <v>5549</v>
      </c>
      <c r="AZ941" s="6" t="s">
        <v>5549</v>
      </c>
      <c r="BA941" s="6" t="s">
        <v>5550</v>
      </c>
      <c r="BB941" s="28"/>
      <c r="BC941" s="6" t="s">
        <v>5551</v>
      </c>
      <c r="BE941" s="15" t="s">
        <v>2145</v>
      </c>
      <c r="BF941" s="6" t="s">
        <v>5552</v>
      </c>
    </row>
    <row r="942" customFormat="false" ht="128.5" hidden="false" customHeight="false" outlineLevel="0" collapsed="false">
      <c r="A942" s="26" t="s">
        <v>63</v>
      </c>
      <c r="B942" s="27" t="s">
        <v>2129</v>
      </c>
      <c r="C942" s="27" t="s">
        <v>2130</v>
      </c>
      <c r="D942" s="27" t="s">
        <v>5553</v>
      </c>
      <c r="E942" s="27" t="s">
        <v>5554</v>
      </c>
      <c r="F942" s="27" t="s">
        <v>5555</v>
      </c>
      <c r="G942" s="28"/>
      <c r="H942" s="6" t="s">
        <v>63</v>
      </c>
      <c r="I942" s="6" t="s">
        <v>62</v>
      </c>
      <c r="J942" s="6" t="s">
        <v>63</v>
      </c>
      <c r="K942" s="6" t="s">
        <v>63</v>
      </c>
      <c r="L942" s="6" t="s">
        <v>64</v>
      </c>
      <c r="M942" s="27" t="s">
        <v>5556</v>
      </c>
      <c r="N942" s="27" t="s">
        <v>5557</v>
      </c>
      <c r="O942" s="6" t="s">
        <v>4500</v>
      </c>
      <c r="P942" s="28"/>
      <c r="Q942" s="6" t="s">
        <v>67</v>
      </c>
      <c r="R942" s="6" t="s">
        <v>68</v>
      </c>
      <c r="S942" s="28"/>
      <c r="T942" s="6" t="s">
        <v>5531</v>
      </c>
      <c r="U942" s="7" t="n">
        <v>12</v>
      </c>
      <c r="V942" s="7" t="n">
        <v>12</v>
      </c>
      <c r="W942" s="8" t="s">
        <v>5558</v>
      </c>
      <c r="X942" s="8" t="s">
        <v>5558</v>
      </c>
      <c r="Y942" s="8" t="s">
        <v>5546</v>
      </c>
      <c r="Z942" s="8" t="s">
        <v>5546</v>
      </c>
      <c r="AA942" s="7" t="n">
        <v>1246</v>
      </c>
      <c r="AB942" s="7" t="n">
        <v>1092</v>
      </c>
      <c r="AC942" s="7" t="n">
        <v>1151</v>
      </c>
      <c r="AD942" s="7" t="n">
        <v>10</v>
      </c>
      <c r="AE942" s="7" t="n">
        <v>10</v>
      </c>
      <c r="AF942" s="7" t="n">
        <v>48</v>
      </c>
      <c r="AG942" s="7" t="n">
        <v>51</v>
      </c>
      <c r="AH942" s="7" t="n">
        <v>18</v>
      </c>
      <c r="AI942" s="7" t="n">
        <v>20</v>
      </c>
      <c r="AJ942" s="7" t="n">
        <v>9</v>
      </c>
      <c r="AK942" s="7" t="n">
        <v>9</v>
      </c>
      <c r="AL942" s="7" t="n">
        <v>23</v>
      </c>
      <c r="AM942" s="7" t="n">
        <v>24</v>
      </c>
      <c r="AN942" s="7" t="n">
        <v>8</v>
      </c>
      <c r="AO942" s="7" t="n">
        <v>8</v>
      </c>
      <c r="AP942" s="7" t="n">
        <v>2</v>
      </c>
      <c r="AQ942" s="7" t="n">
        <v>2</v>
      </c>
      <c r="AR942" s="6" t="s">
        <v>63</v>
      </c>
      <c r="AS942" s="6" t="s">
        <v>57</v>
      </c>
      <c r="AT942" s="9" t="str">
        <f aca="false">HYPERLINK("http://catalog.hathitrust.org/Record/001387416","HathiTrust Record")</f>
        <v>HathiTrust Record</v>
      </c>
      <c r="AU942" s="9" t="str">
        <f aca="false">HYPERLINK("https://creighton-primo.hosted.exlibrisgroup.com/primo-explore/search?tab=default_tab&amp;search_scope=EVERYTHING&amp;vid=01CRU&amp;lang=en_US&amp;offset=0&amp;query=any,contains,991000941619702656","Catalog Record")</f>
        <v>Catalog Record</v>
      </c>
      <c r="AV942" s="9" t="str">
        <f aca="false">HYPERLINK("http://www.worldcat.org/oclc/166297","WorldCat Record")</f>
        <v>WorldCat Record</v>
      </c>
      <c r="AW942" s="6" t="s">
        <v>5559</v>
      </c>
      <c r="AX942" s="6" t="s">
        <v>5560</v>
      </c>
      <c r="AY942" s="6" t="s">
        <v>5561</v>
      </c>
      <c r="AZ942" s="6" t="s">
        <v>5561</v>
      </c>
      <c r="BA942" s="6" t="s">
        <v>5562</v>
      </c>
      <c r="BB942" s="28"/>
      <c r="BC942" s="6" t="s">
        <v>5563</v>
      </c>
      <c r="BE942" s="15" t="s">
        <v>2145</v>
      </c>
      <c r="BF942" s="6" t="s">
        <v>5564</v>
      </c>
    </row>
    <row r="943" customFormat="false" ht="82.5" hidden="false" customHeight="false" outlineLevel="0" collapsed="false">
      <c r="A943" s="26" t="s">
        <v>63</v>
      </c>
      <c r="B943" s="27" t="s">
        <v>2129</v>
      </c>
      <c r="C943" s="27" t="s">
        <v>2130</v>
      </c>
      <c r="D943" s="27" t="s">
        <v>5565</v>
      </c>
      <c r="E943" s="27" t="s">
        <v>5566</v>
      </c>
      <c r="F943" s="27" t="s">
        <v>5567</v>
      </c>
      <c r="G943" s="28"/>
      <c r="H943" s="6" t="s">
        <v>63</v>
      </c>
      <c r="I943" s="6" t="s">
        <v>62</v>
      </c>
      <c r="J943" s="6" t="s">
        <v>63</v>
      </c>
      <c r="K943" s="6" t="s">
        <v>63</v>
      </c>
      <c r="L943" s="6" t="s">
        <v>64</v>
      </c>
      <c r="M943" s="27" t="s">
        <v>5568</v>
      </c>
      <c r="N943" s="27" t="s">
        <v>5569</v>
      </c>
      <c r="O943" s="6" t="s">
        <v>5570</v>
      </c>
      <c r="P943" s="28"/>
      <c r="Q943" s="6" t="s">
        <v>67</v>
      </c>
      <c r="R943" s="6" t="s">
        <v>68</v>
      </c>
      <c r="S943" s="28"/>
      <c r="T943" s="6" t="s">
        <v>5531</v>
      </c>
      <c r="U943" s="7" t="n">
        <v>3</v>
      </c>
      <c r="V943" s="7" t="n">
        <v>3</v>
      </c>
      <c r="W943" s="8" t="s">
        <v>5571</v>
      </c>
      <c r="X943" s="8" t="s">
        <v>5571</v>
      </c>
      <c r="Y943" s="8" t="s">
        <v>5546</v>
      </c>
      <c r="Z943" s="8" t="s">
        <v>5546</v>
      </c>
      <c r="AA943" s="7" t="n">
        <v>105</v>
      </c>
      <c r="AB943" s="7" t="n">
        <v>90</v>
      </c>
      <c r="AC943" s="7" t="n">
        <v>221</v>
      </c>
      <c r="AD943" s="7" t="n">
        <v>2</v>
      </c>
      <c r="AE943" s="7" t="n">
        <v>4</v>
      </c>
      <c r="AF943" s="7" t="n">
        <v>20</v>
      </c>
      <c r="AG943" s="7" t="n">
        <v>27</v>
      </c>
      <c r="AH943" s="7" t="n">
        <v>6</v>
      </c>
      <c r="AI943" s="7" t="n">
        <v>9</v>
      </c>
      <c r="AJ943" s="7" t="n">
        <v>3</v>
      </c>
      <c r="AK943" s="7" t="n">
        <v>4</v>
      </c>
      <c r="AL943" s="7" t="n">
        <v>17</v>
      </c>
      <c r="AM943" s="7" t="n">
        <v>19</v>
      </c>
      <c r="AN943" s="7" t="n">
        <v>0</v>
      </c>
      <c r="AO943" s="7" t="n">
        <v>2</v>
      </c>
      <c r="AP943" s="7" t="n">
        <v>0</v>
      </c>
      <c r="AQ943" s="7" t="n">
        <v>0</v>
      </c>
      <c r="AR943" s="6" t="s">
        <v>57</v>
      </c>
      <c r="AS943" s="6" t="s">
        <v>63</v>
      </c>
      <c r="AT943" s="9" t="str">
        <f aca="false">HYPERLINK("http://catalog.hathitrust.org/Record/009259753","HathiTrust Record")</f>
        <v>HathiTrust Record</v>
      </c>
      <c r="AU943" s="9" t="str">
        <f aca="false">HYPERLINK("https://creighton-primo.hosted.exlibrisgroup.com/primo-explore/search?tab=default_tab&amp;search_scope=EVERYTHING&amp;vid=01CRU&amp;lang=en_US&amp;offset=0&amp;query=any,contains,991004226199702656","Catalog Record")</f>
        <v>Catalog Record</v>
      </c>
      <c r="AV943" s="9" t="str">
        <f aca="false">HYPERLINK("http://www.worldcat.org/oclc/33204800","WorldCat Record")</f>
        <v>WorldCat Record</v>
      </c>
      <c r="AW943" s="6" t="s">
        <v>5572</v>
      </c>
      <c r="AX943" s="6" t="s">
        <v>5573</v>
      </c>
      <c r="AY943" s="6" t="s">
        <v>5574</v>
      </c>
      <c r="AZ943" s="6" t="s">
        <v>5574</v>
      </c>
      <c r="BA943" s="6" t="s">
        <v>5575</v>
      </c>
      <c r="BB943" s="28"/>
      <c r="BC943" s="6" t="s">
        <v>5576</v>
      </c>
      <c r="BE943" s="15" t="s">
        <v>2145</v>
      </c>
      <c r="BF943" s="6" t="s">
        <v>5577</v>
      </c>
    </row>
    <row r="944" customFormat="false" ht="71" hidden="false" customHeight="false" outlineLevel="0" collapsed="false">
      <c r="A944" s="26" t="s">
        <v>63</v>
      </c>
      <c r="B944" s="27" t="s">
        <v>2129</v>
      </c>
      <c r="C944" s="27" t="s">
        <v>2130</v>
      </c>
      <c r="D944" s="27" t="s">
        <v>5578</v>
      </c>
      <c r="E944" s="27" t="s">
        <v>5579</v>
      </c>
      <c r="F944" s="27" t="s">
        <v>5580</v>
      </c>
      <c r="G944" s="28"/>
      <c r="H944" s="6" t="s">
        <v>63</v>
      </c>
      <c r="I944" s="6" t="s">
        <v>62</v>
      </c>
      <c r="J944" s="6" t="s">
        <v>63</v>
      </c>
      <c r="K944" s="6" t="s">
        <v>63</v>
      </c>
      <c r="L944" s="6" t="s">
        <v>64</v>
      </c>
      <c r="M944" s="27" t="s">
        <v>5581</v>
      </c>
      <c r="N944" s="27" t="s">
        <v>5582</v>
      </c>
      <c r="O944" s="6" t="s">
        <v>3405</v>
      </c>
      <c r="P944" s="28"/>
      <c r="Q944" s="6" t="s">
        <v>67</v>
      </c>
      <c r="R944" s="6" t="s">
        <v>123</v>
      </c>
      <c r="S944" s="28"/>
      <c r="T944" s="6" t="s">
        <v>5531</v>
      </c>
      <c r="U944" s="7" t="n">
        <v>1</v>
      </c>
      <c r="V944" s="7" t="n">
        <v>1</v>
      </c>
      <c r="W944" s="8" t="s">
        <v>5583</v>
      </c>
      <c r="X944" s="8" t="s">
        <v>5583</v>
      </c>
      <c r="Y944" s="8" t="s">
        <v>5546</v>
      </c>
      <c r="Z944" s="8" t="s">
        <v>5546</v>
      </c>
      <c r="AA944" s="7" t="n">
        <v>94</v>
      </c>
      <c r="AB944" s="7" t="n">
        <v>82</v>
      </c>
      <c r="AC944" s="7" t="n">
        <v>234</v>
      </c>
      <c r="AD944" s="7" t="n">
        <v>1</v>
      </c>
      <c r="AE944" s="7" t="n">
        <v>2</v>
      </c>
      <c r="AF944" s="7" t="n">
        <v>15</v>
      </c>
      <c r="AG944" s="7" t="n">
        <v>20</v>
      </c>
      <c r="AH944" s="7" t="n">
        <v>6</v>
      </c>
      <c r="AI944" s="7" t="n">
        <v>9</v>
      </c>
      <c r="AJ944" s="7" t="n">
        <v>4</v>
      </c>
      <c r="AK944" s="7" t="n">
        <v>5</v>
      </c>
      <c r="AL944" s="7" t="n">
        <v>9</v>
      </c>
      <c r="AM944" s="7" t="n">
        <v>13</v>
      </c>
      <c r="AN944" s="7" t="n">
        <v>0</v>
      </c>
      <c r="AO944" s="7" t="n">
        <v>0</v>
      </c>
      <c r="AP944" s="7" t="n">
        <v>0</v>
      </c>
      <c r="AQ944" s="7" t="n">
        <v>0</v>
      </c>
      <c r="AR944" s="6" t="s">
        <v>63</v>
      </c>
      <c r="AS944" s="6" t="s">
        <v>63</v>
      </c>
      <c r="AT944" s="28"/>
      <c r="AU944" s="9" t="str">
        <f aca="false">HYPERLINK("https://creighton-primo.hosted.exlibrisgroup.com/primo-explore/search?tab=default_tab&amp;search_scope=EVERYTHING&amp;vid=01CRU&amp;lang=en_US&amp;offset=0&amp;query=any,contains,991003708479702656","Catalog Record")</f>
        <v>Catalog Record</v>
      </c>
      <c r="AV944" s="9" t="str">
        <f aca="false">HYPERLINK("http://www.worldcat.org/oclc/1346778","WorldCat Record")</f>
        <v>WorldCat Record</v>
      </c>
      <c r="AW944" s="6" t="s">
        <v>5584</v>
      </c>
      <c r="AX944" s="6" t="s">
        <v>5585</v>
      </c>
      <c r="AY944" s="6" t="s">
        <v>5586</v>
      </c>
      <c r="AZ944" s="6" t="s">
        <v>5586</v>
      </c>
      <c r="BA944" s="6" t="s">
        <v>5587</v>
      </c>
      <c r="BB944" s="28"/>
      <c r="BC944" s="6" t="s">
        <v>5588</v>
      </c>
      <c r="BE944" s="15" t="s">
        <v>2145</v>
      </c>
      <c r="BF944" s="6" t="s">
        <v>5589</v>
      </c>
    </row>
    <row r="945" customFormat="false" ht="117" hidden="false" customHeight="false" outlineLevel="0" collapsed="false">
      <c r="A945" s="26" t="s">
        <v>63</v>
      </c>
      <c r="B945" s="27" t="s">
        <v>2129</v>
      </c>
      <c r="C945" s="27" t="s">
        <v>2130</v>
      </c>
      <c r="D945" s="27" t="s">
        <v>5590</v>
      </c>
      <c r="E945" s="27" t="s">
        <v>5591</v>
      </c>
      <c r="F945" s="27" t="s">
        <v>5592</v>
      </c>
      <c r="G945" s="28"/>
      <c r="H945" s="6" t="s">
        <v>63</v>
      </c>
      <c r="I945" s="6" t="s">
        <v>62</v>
      </c>
      <c r="J945" s="6" t="s">
        <v>63</v>
      </c>
      <c r="K945" s="6" t="s">
        <v>63</v>
      </c>
      <c r="L945" s="6" t="s">
        <v>64</v>
      </c>
      <c r="M945" s="27" t="s">
        <v>5593</v>
      </c>
      <c r="N945" s="27" t="s">
        <v>5594</v>
      </c>
      <c r="O945" s="6" t="s">
        <v>2811</v>
      </c>
      <c r="P945" s="28"/>
      <c r="Q945" s="6" t="s">
        <v>67</v>
      </c>
      <c r="R945" s="6" t="s">
        <v>272</v>
      </c>
      <c r="S945" s="28"/>
      <c r="T945" s="6" t="s">
        <v>5531</v>
      </c>
      <c r="U945" s="7" t="n">
        <v>2</v>
      </c>
      <c r="V945" s="7" t="n">
        <v>2</v>
      </c>
      <c r="W945" s="8" t="s">
        <v>5595</v>
      </c>
      <c r="X945" s="8" t="s">
        <v>5595</v>
      </c>
      <c r="Y945" s="8" t="s">
        <v>5596</v>
      </c>
      <c r="Z945" s="8" t="s">
        <v>5596</v>
      </c>
      <c r="AA945" s="7" t="n">
        <v>506</v>
      </c>
      <c r="AB945" s="7" t="n">
        <v>442</v>
      </c>
      <c r="AC945" s="7" t="n">
        <v>521</v>
      </c>
      <c r="AD945" s="7" t="n">
        <v>4</v>
      </c>
      <c r="AE945" s="7" t="n">
        <v>4</v>
      </c>
      <c r="AF945" s="7" t="n">
        <v>21</v>
      </c>
      <c r="AG945" s="7" t="n">
        <v>26</v>
      </c>
      <c r="AH945" s="7" t="n">
        <v>4</v>
      </c>
      <c r="AI945" s="7" t="n">
        <v>6</v>
      </c>
      <c r="AJ945" s="7" t="n">
        <v>6</v>
      </c>
      <c r="AK945" s="7" t="n">
        <v>7</v>
      </c>
      <c r="AL945" s="7" t="n">
        <v>14</v>
      </c>
      <c r="AM945" s="7" t="n">
        <v>19</v>
      </c>
      <c r="AN945" s="7" t="n">
        <v>3</v>
      </c>
      <c r="AO945" s="7" t="n">
        <v>3</v>
      </c>
      <c r="AP945" s="7" t="n">
        <v>0</v>
      </c>
      <c r="AQ945" s="7" t="n">
        <v>0</v>
      </c>
      <c r="AR945" s="6" t="s">
        <v>63</v>
      </c>
      <c r="AS945" s="6" t="s">
        <v>57</v>
      </c>
      <c r="AT945" s="9" t="str">
        <f aca="false">HYPERLINK("http://catalog.hathitrust.org/Record/001387479","HathiTrust Record")</f>
        <v>HathiTrust Record</v>
      </c>
      <c r="AU945" s="9" t="str">
        <f aca="false">HYPERLINK("https://creighton-primo.hosted.exlibrisgroup.com/primo-explore/search?tab=default_tab&amp;search_scope=EVERYTHING&amp;vid=01CRU&amp;lang=en_US&amp;offset=0&amp;query=any,contains,991000801809702656","Catalog Record")</f>
        <v>Catalog Record</v>
      </c>
      <c r="AV945" s="9" t="str">
        <f aca="false">HYPERLINK("http://www.worldcat.org/oclc/139234","WorldCat Record")</f>
        <v>WorldCat Record</v>
      </c>
      <c r="AW945" s="6" t="s">
        <v>5597</v>
      </c>
      <c r="AX945" s="6" t="s">
        <v>5598</v>
      </c>
      <c r="AY945" s="6" t="s">
        <v>5599</v>
      </c>
      <c r="AZ945" s="6" t="s">
        <v>5599</v>
      </c>
      <c r="BA945" s="6" t="s">
        <v>5600</v>
      </c>
      <c r="BB945" s="6" t="s">
        <v>5601</v>
      </c>
      <c r="BC945" s="6" t="s">
        <v>5602</v>
      </c>
      <c r="BE945" s="15" t="s">
        <v>2145</v>
      </c>
      <c r="BF945" s="6" t="s">
        <v>5603</v>
      </c>
    </row>
    <row r="946" customFormat="false" ht="117" hidden="false" customHeight="false" outlineLevel="0" collapsed="false">
      <c r="A946" s="26" t="s">
        <v>57</v>
      </c>
      <c r="B946" s="27" t="s">
        <v>2129</v>
      </c>
      <c r="C946" s="27" t="s">
        <v>2130</v>
      </c>
      <c r="D946" s="27" t="s">
        <v>5604</v>
      </c>
      <c r="E946" s="27" t="s">
        <v>5605</v>
      </c>
      <c r="F946" s="27" t="s">
        <v>5606</v>
      </c>
      <c r="G946" s="28"/>
      <c r="H946" s="6" t="s">
        <v>63</v>
      </c>
      <c r="I946" s="6" t="s">
        <v>62</v>
      </c>
      <c r="J946" s="6" t="s">
        <v>63</v>
      </c>
      <c r="K946" s="6" t="s">
        <v>57</v>
      </c>
      <c r="L946" s="6" t="s">
        <v>64</v>
      </c>
      <c r="M946" s="27" t="s">
        <v>5607</v>
      </c>
      <c r="N946" s="27" t="s">
        <v>5608</v>
      </c>
      <c r="O946" s="6" t="s">
        <v>2811</v>
      </c>
      <c r="P946" s="28"/>
      <c r="Q946" s="6" t="s">
        <v>67</v>
      </c>
      <c r="R946" s="6" t="s">
        <v>401</v>
      </c>
      <c r="S946" s="27" t="s">
        <v>5609</v>
      </c>
      <c r="T946" s="6" t="s">
        <v>5531</v>
      </c>
      <c r="U946" s="7" t="n">
        <v>3</v>
      </c>
      <c r="V946" s="7" t="n">
        <v>3</v>
      </c>
      <c r="W946" s="8" t="s">
        <v>5610</v>
      </c>
      <c r="X946" s="8" t="s">
        <v>5610</v>
      </c>
      <c r="Y946" s="8" t="s">
        <v>5611</v>
      </c>
      <c r="Z946" s="8" t="s">
        <v>5611</v>
      </c>
      <c r="AA946" s="7" t="n">
        <v>174</v>
      </c>
      <c r="AB946" s="7" t="n">
        <v>143</v>
      </c>
      <c r="AC946" s="7" t="n">
        <v>846</v>
      </c>
      <c r="AD946" s="7" t="n">
        <v>3</v>
      </c>
      <c r="AE946" s="7" t="n">
        <v>5</v>
      </c>
      <c r="AF946" s="7" t="n">
        <v>8</v>
      </c>
      <c r="AG946" s="7" t="n">
        <v>49</v>
      </c>
      <c r="AH946" s="7" t="n">
        <v>3</v>
      </c>
      <c r="AI946" s="7" t="n">
        <v>22</v>
      </c>
      <c r="AJ946" s="7" t="n">
        <v>4</v>
      </c>
      <c r="AK946" s="7" t="n">
        <v>11</v>
      </c>
      <c r="AL946" s="7" t="n">
        <v>4</v>
      </c>
      <c r="AM946" s="7" t="n">
        <v>27</v>
      </c>
      <c r="AN946" s="7" t="n">
        <v>1</v>
      </c>
      <c r="AO946" s="7" t="n">
        <v>3</v>
      </c>
      <c r="AP946" s="7" t="n">
        <v>0</v>
      </c>
      <c r="AQ946" s="7" t="n">
        <v>0</v>
      </c>
      <c r="AR946" s="6" t="s">
        <v>63</v>
      </c>
      <c r="AS946" s="6" t="s">
        <v>57</v>
      </c>
      <c r="AT946" s="9" t="str">
        <f aca="false">HYPERLINK("http://catalog.hathitrust.org/Record/007135591","HathiTrust Record")</f>
        <v>HathiTrust Record</v>
      </c>
      <c r="AU946" s="9" t="str">
        <f aca="false">HYPERLINK("https://creighton-primo.hosted.exlibrisgroup.com/primo-explore/search?tab=default_tab&amp;search_scope=EVERYTHING&amp;vid=01CRU&amp;lang=en_US&amp;offset=0&amp;query=any,contains,991003438599702656","Catalog Record")</f>
        <v>Catalog Record</v>
      </c>
      <c r="AV946" s="9" t="str">
        <f aca="false">HYPERLINK("http://www.worldcat.org/oclc/32769974","WorldCat Record")</f>
        <v>WorldCat Record</v>
      </c>
      <c r="AW946" s="6" t="s">
        <v>5612</v>
      </c>
      <c r="AX946" s="6" t="s">
        <v>5613</v>
      </c>
      <c r="AY946" s="6" t="s">
        <v>5614</v>
      </c>
      <c r="AZ946" s="6" t="s">
        <v>5614</v>
      </c>
      <c r="BA946" s="6" t="s">
        <v>5615</v>
      </c>
      <c r="BB946" s="28"/>
      <c r="BC946" s="6" t="s">
        <v>5616</v>
      </c>
      <c r="BE946" s="15" t="s">
        <v>2145</v>
      </c>
      <c r="BF946" s="6" t="s">
        <v>5617</v>
      </c>
    </row>
    <row r="947" customFormat="false" ht="220.5" hidden="false" customHeight="false" outlineLevel="0" collapsed="false">
      <c r="A947" s="26" t="s">
        <v>57</v>
      </c>
      <c r="B947" s="27" t="s">
        <v>2129</v>
      </c>
      <c r="C947" s="27" t="s">
        <v>2130</v>
      </c>
      <c r="D947" s="27" t="s">
        <v>5618</v>
      </c>
      <c r="E947" s="27" t="s">
        <v>5619</v>
      </c>
      <c r="F947" s="27" t="s">
        <v>5620</v>
      </c>
      <c r="G947" s="28"/>
      <c r="H947" s="6" t="s">
        <v>63</v>
      </c>
      <c r="I947" s="6" t="s">
        <v>62</v>
      </c>
      <c r="J947" s="6" t="s">
        <v>63</v>
      </c>
      <c r="K947" s="6" t="s">
        <v>63</v>
      </c>
      <c r="L947" s="6" t="s">
        <v>64</v>
      </c>
      <c r="M947" s="27" t="s">
        <v>5621</v>
      </c>
      <c r="N947" s="27" t="s">
        <v>5622</v>
      </c>
      <c r="O947" s="6" t="s">
        <v>2797</v>
      </c>
      <c r="P947" s="28"/>
      <c r="Q947" s="6" t="s">
        <v>67</v>
      </c>
      <c r="R947" s="6" t="s">
        <v>123</v>
      </c>
      <c r="S947" s="28"/>
      <c r="T947" s="6" t="s">
        <v>5531</v>
      </c>
      <c r="U947" s="7" t="n">
        <v>1</v>
      </c>
      <c r="V947" s="7" t="n">
        <v>1</v>
      </c>
      <c r="W947" s="8" t="s">
        <v>5623</v>
      </c>
      <c r="X947" s="8" t="s">
        <v>5623</v>
      </c>
      <c r="Y947" s="8" t="s">
        <v>5596</v>
      </c>
      <c r="Z947" s="8" t="s">
        <v>5596</v>
      </c>
      <c r="AA947" s="7" t="n">
        <v>319</v>
      </c>
      <c r="AB947" s="7" t="n">
        <v>210</v>
      </c>
      <c r="AC947" s="7" t="n">
        <v>1029</v>
      </c>
      <c r="AD947" s="7" t="n">
        <v>3</v>
      </c>
      <c r="AE947" s="7" t="n">
        <v>7</v>
      </c>
      <c r="AF947" s="7" t="n">
        <v>9</v>
      </c>
      <c r="AG947" s="7" t="n">
        <v>40</v>
      </c>
      <c r="AH947" s="7" t="n">
        <v>2</v>
      </c>
      <c r="AI947" s="7" t="n">
        <v>18</v>
      </c>
      <c r="AJ947" s="7" t="n">
        <v>1</v>
      </c>
      <c r="AK947" s="7" t="n">
        <v>7</v>
      </c>
      <c r="AL947" s="7" t="n">
        <v>4</v>
      </c>
      <c r="AM947" s="7" t="n">
        <v>19</v>
      </c>
      <c r="AN947" s="7" t="n">
        <v>2</v>
      </c>
      <c r="AO947" s="7" t="n">
        <v>6</v>
      </c>
      <c r="AP947" s="7" t="n">
        <v>0</v>
      </c>
      <c r="AQ947" s="7" t="n">
        <v>0</v>
      </c>
      <c r="AR947" s="6" t="s">
        <v>63</v>
      </c>
      <c r="AS947" s="6" t="s">
        <v>63</v>
      </c>
      <c r="AT947" s="28"/>
      <c r="AU947" s="9" t="str">
        <f aca="false">HYPERLINK("https://creighton-primo.hosted.exlibrisgroup.com/primo-explore/search?tab=default_tab&amp;search_scope=EVERYTHING&amp;vid=01CRU&amp;lang=en_US&amp;offset=0&amp;query=any,contains,991004233799702656","Catalog Record")</f>
        <v>Catalog Record</v>
      </c>
      <c r="AV947" s="9" t="str">
        <f aca="false">HYPERLINK("http://www.worldcat.org/oclc/2757758","WorldCat Record")</f>
        <v>WorldCat Record</v>
      </c>
      <c r="AW947" s="6" t="s">
        <v>5624</v>
      </c>
      <c r="AX947" s="6" t="s">
        <v>5625</v>
      </c>
      <c r="AY947" s="6" t="s">
        <v>5626</v>
      </c>
      <c r="AZ947" s="6" t="s">
        <v>5626</v>
      </c>
      <c r="BA947" s="6" t="s">
        <v>5627</v>
      </c>
      <c r="BB947" s="28"/>
      <c r="BC947" s="6" t="s">
        <v>5628</v>
      </c>
      <c r="BE947" s="15" t="s">
        <v>2145</v>
      </c>
      <c r="BF947" s="6" t="s">
        <v>5629</v>
      </c>
    </row>
    <row r="948" customFormat="false" ht="71" hidden="false" customHeight="false" outlineLevel="0" collapsed="false">
      <c r="A948" s="26" t="s">
        <v>57</v>
      </c>
      <c r="B948" s="27" t="s">
        <v>2129</v>
      </c>
      <c r="C948" s="27" t="s">
        <v>2130</v>
      </c>
      <c r="D948" s="27" t="s">
        <v>5630</v>
      </c>
      <c r="E948" s="27" t="s">
        <v>5631</v>
      </c>
      <c r="F948" s="27" t="s">
        <v>5632</v>
      </c>
      <c r="G948" s="28"/>
      <c r="H948" s="6" t="s">
        <v>63</v>
      </c>
      <c r="I948" s="6" t="s">
        <v>62</v>
      </c>
      <c r="J948" s="6" t="s">
        <v>63</v>
      </c>
      <c r="K948" s="6" t="s">
        <v>63</v>
      </c>
      <c r="L948" s="6" t="s">
        <v>64</v>
      </c>
      <c r="M948" s="27" t="s">
        <v>5633</v>
      </c>
      <c r="N948" s="27" t="s">
        <v>5634</v>
      </c>
      <c r="O948" s="6" t="s">
        <v>167</v>
      </c>
      <c r="P948" s="27" t="s">
        <v>4343</v>
      </c>
      <c r="Q948" s="6" t="s">
        <v>67</v>
      </c>
      <c r="R948" s="6" t="s">
        <v>68</v>
      </c>
      <c r="S948" s="27" t="s">
        <v>5635</v>
      </c>
      <c r="T948" s="6" t="s">
        <v>5531</v>
      </c>
      <c r="U948" s="7" t="n">
        <v>5</v>
      </c>
      <c r="V948" s="7" t="n">
        <v>5</v>
      </c>
      <c r="W948" s="8" t="s">
        <v>5636</v>
      </c>
      <c r="X948" s="8" t="s">
        <v>5636</v>
      </c>
      <c r="Y948" s="8" t="s">
        <v>5637</v>
      </c>
      <c r="Z948" s="8" t="s">
        <v>5637</v>
      </c>
      <c r="AA948" s="7" t="n">
        <v>411</v>
      </c>
      <c r="AB948" s="7" t="n">
        <v>337</v>
      </c>
      <c r="AC948" s="7" t="n">
        <v>771</v>
      </c>
      <c r="AD948" s="7" t="n">
        <v>4</v>
      </c>
      <c r="AE948" s="7" t="n">
        <v>5</v>
      </c>
      <c r="AF948" s="7" t="n">
        <v>17</v>
      </c>
      <c r="AG948" s="7" t="n">
        <v>32</v>
      </c>
      <c r="AH948" s="7" t="n">
        <v>7</v>
      </c>
      <c r="AI948" s="7" t="n">
        <v>12</v>
      </c>
      <c r="AJ948" s="7" t="n">
        <v>4</v>
      </c>
      <c r="AK948" s="7" t="n">
        <v>7</v>
      </c>
      <c r="AL948" s="7" t="n">
        <v>6</v>
      </c>
      <c r="AM948" s="7" t="n">
        <v>19</v>
      </c>
      <c r="AN948" s="7" t="n">
        <v>3</v>
      </c>
      <c r="AO948" s="7" t="n">
        <v>4</v>
      </c>
      <c r="AP948" s="7" t="n">
        <v>0</v>
      </c>
      <c r="AQ948" s="7" t="n">
        <v>0</v>
      </c>
      <c r="AR948" s="6" t="s">
        <v>63</v>
      </c>
      <c r="AS948" s="6" t="s">
        <v>57</v>
      </c>
      <c r="AT948" s="9" t="str">
        <f aca="false">HYPERLINK("http://catalog.hathitrust.org/Record/001387564","HathiTrust Record")</f>
        <v>HathiTrust Record</v>
      </c>
      <c r="AU948" s="9" t="str">
        <f aca="false">HYPERLINK("https://creighton-primo.hosted.exlibrisgroup.com/primo-explore/search?tab=default_tab&amp;search_scope=EVERYTHING&amp;vid=01CRU&amp;lang=en_US&amp;offset=0&amp;query=any,contains,991003474199702656","Catalog Record")</f>
        <v>Catalog Record</v>
      </c>
      <c r="AV948" s="9" t="str">
        <f aca="false">HYPERLINK("http://www.worldcat.org/oclc/1017699","WorldCat Record")</f>
        <v>WorldCat Record</v>
      </c>
      <c r="AW948" s="6" t="s">
        <v>5638</v>
      </c>
      <c r="AX948" s="6" t="s">
        <v>5639</v>
      </c>
      <c r="AY948" s="6" t="s">
        <v>5640</v>
      </c>
      <c r="AZ948" s="6" t="s">
        <v>5640</v>
      </c>
      <c r="BA948" s="6" t="s">
        <v>5641</v>
      </c>
      <c r="BB948" s="28"/>
      <c r="BC948" s="6" t="s">
        <v>5642</v>
      </c>
      <c r="BE948" s="15" t="s">
        <v>2145</v>
      </c>
      <c r="BF948" s="6" t="s">
        <v>5643</v>
      </c>
    </row>
    <row r="949" customFormat="false" ht="94" hidden="false" customHeight="false" outlineLevel="0" collapsed="false">
      <c r="A949" s="26" t="s">
        <v>63</v>
      </c>
      <c r="B949" s="27" t="s">
        <v>2129</v>
      </c>
      <c r="C949" s="27" t="s">
        <v>2130</v>
      </c>
      <c r="D949" s="27" t="s">
        <v>5644</v>
      </c>
      <c r="E949" s="27" t="s">
        <v>5645</v>
      </c>
      <c r="F949" s="27" t="s">
        <v>5646</v>
      </c>
      <c r="G949" s="28"/>
      <c r="H949" s="6" t="s">
        <v>63</v>
      </c>
      <c r="I949" s="6" t="s">
        <v>62</v>
      </c>
      <c r="J949" s="6" t="s">
        <v>63</v>
      </c>
      <c r="K949" s="6" t="s">
        <v>57</v>
      </c>
      <c r="L949" s="6" t="s">
        <v>64</v>
      </c>
      <c r="M949" s="27" t="s">
        <v>5607</v>
      </c>
      <c r="N949" s="27" t="s">
        <v>5647</v>
      </c>
      <c r="O949" s="6" t="s">
        <v>3919</v>
      </c>
      <c r="P949" s="28"/>
      <c r="Q949" s="6" t="s">
        <v>67</v>
      </c>
      <c r="R949" s="6" t="s">
        <v>123</v>
      </c>
      <c r="S949" s="27" t="s">
        <v>5648</v>
      </c>
      <c r="T949" s="6" t="s">
        <v>5531</v>
      </c>
      <c r="U949" s="7" t="n">
        <v>3</v>
      </c>
      <c r="V949" s="7" t="n">
        <v>3</v>
      </c>
      <c r="W949" s="8" t="s">
        <v>5610</v>
      </c>
      <c r="X949" s="8" t="s">
        <v>5610</v>
      </c>
      <c r="Y949" s="8" t="s">
        <v>5596</v>
      </c>
      <c r="Z949" s="8" t="s">
        <v>5596</v>
      </c>
      <c r="AA949" s="7" t="n">
        <v>443</v>
      </c>
      <c r="AB949" s="7" t="n">
        <v>303</v>
      </c>
      <c r="AC949" s="7" t="n">
        <v>846</v>
      </c>
      <c r="AD949" s="7" t="n">
        <v>1</v>
      </c>
      <c r="AE949" s="7" t="n">
        <v>5</v>
      </c>
      <c r="AF949" s="7" t="n">
        <v>20</v>
      </c>
      <c r="AG949" s="7" t="n">
        <v>49</v>
      </c>
      <c r="AH949" s="7" t="n">
        <v>7</v>
      </c>
      <c r="AI949" s="7" t="n">
        <v>22</v>
      </c>
      <c r="AJ949" s="7" t="n">
        <v>5</v>
      </c>
      <c r="AK949" s="7" t="n">
        <v>11</v>
      </c>
      <c r="AL949" s="7" t="n">
        <v>13</v>
      </c>
      <c r="AM949" s="7" t="n">
        <v>27</v>
      </c>
      <c r="AN949" s="7" t="n">
        <v>0</v>
      </c>
      <c r="AO949" s="7" t="n">
        <v>3</v>
      </c>
      <c r="AP949" s="7" t="n">
        <v>0</v>
      </c>
      <c r="AQ949" s="7" t="n">
        <v>0</v>
      </c>
      <c r="AR949" s="6" t="s">
        <v>63</v>
      </c>
      <c r="AS949" s="6" t="s">
        <v>57</v>
      </c>
      <c r="AT949" s="9" t="str">
        <f aca="false">HYPERLINK("http://catalog.hathitrust.org/Record/001396568","HathiTrust Record")</f>
        <v>HathiTrust Record</v>
      </c>
      <c r="AU949" s="9" t="str">
        <f aca="false">HYPERLINK("https://creighton-primo.hosted.exlibrisgroup.com/primo-explore/search?tab=default_tab&amp;search_scope=EVERYTHING&amp;vid=01CRU&amp;lang=en_US&amp;offset=0&amp;query=any,contains,991004329769702656","Catalog Record")</f>
        <v>Catalog Record</v>
      </c>
      <c r="AV949" s="9" t="str">
        <f aca="false">HYPERLINK("http://www.worldcat.org/oclc/3056095","WorldCat Record")</f>
        <v>WorldCat Record</v>
      </c>
      <c r="AW949" s="6" t="s">
        <v>5612</v>
      </c>
      <c r="AX949" s="6" t="s">
        <v>5649</v>
      </c>
      <c r="AY949" s="6" t="s">
        <v>5650</v>
      </c>
      <c r="AZ949" s="6" t="s">
        <v>5650</v>
      </c>
      <c r="BA949" s="6" t="s">
        <v>5651</v>
      </c>
      <c r="BB949" s="28"/>
      <c r="BC949" s="6" t="s">
        <v>5652</v>
      </c>
      <c r="BE949" s="15" t="s">
        <v>2145</v>
      </c>
      <c r="BF949" s="6" t="s">
        <v>5653</v>
      </c>
    </row>
    <row r="950" customFormat="false" ht="105.5" hidden="false" customHeight="false" outlineLevel="0" collapsed="false">
      <c r="A950" s="26" t="s">
        <v>63</v>
      </c>
      <c r="B950" s="27" t="s">
        <v>2129</v>
      </c>
      <c r="C950" s="27" t="s">
        <v>2130</v>
      </c>
      <c r="D950" s="27" t="s">
        <v>5654</v>
      </c>
      <c r="E950" s="27" t="s">
        <v>5655</v>
      </c>
      <c r="F950" s="27" t="s">
        <v>5656</v>
      </c>
      <c r="G950" s="28"/>
      <c r="H950" s="6" t="s">
        <v>63</v>
      </c>
      <c r="I950" s="6" t="s">
        <v>62</v>
      </c>
      <c r="J950" s="6" t="s">
        <v>63</v>
      </c>
      <c r="K950" s="6" t="s">
        <v>63</v>
      </c>
      <c r="L950" s="6" t="s">
        <v>64</v>
      </c>
      <c r="M950" s="27" t="s">
        <v>5657</v>
      </c>
      <c r="N950" s="27" t="s">
        <v>5658</v>
      </c>
      <c r="O950" s="6" t="s">
        <v>233</v>
      </c>
      <c r="P950" s="28"/>
      <c r="Q950" s="6" t="s">
        <v>67</v>
      </c>
      <c r="R950" s="6" t="s">
        <v>123</v>
      </c>
      <c r="S950" s="28"/>
      <c r="T950" s="6" t="s">
        <v>5531</v>
      </c>
      <c r="U950" s="7" t="n">
        <v>2</v>
      </c>
      <c r="V950" s="7" t="n">
        <v>2</v>
      </c>
      <c r="W950" s="8" t="s">
        <v>5659</v>
      </c>
      <c r="X950" s="8" t="s">
        <v>5659</v>
      </c>
      <c r="Y950" s="8" t="s">
        <v>5637</v>
      </c>
      <c r="Z950" s="8" t="s">
        <v>5637</v>
      </c>
      <c r="AA950" s="7" t="n">
        <v>418</v>
      </c>
      <c r="AB950" s="7" t="n">
        <v>397</v>
      </c>
      <c r="AC950" s="7" t="n">
        <v>687</v>
      </c>
      <c r="AD950" s="7" t="n">
        <v>5</v>
      </c>
      <c r="AE950" s="7" t="n">
        <v>7</v>
      </c>
      <c r="AF950" s="7" t="n">
        <v>24</v>
      </c>
      <c r="AG950" s="7" t="n">
        <v>42</v>
      </c>
      <c r="AH950" s="7" t="n">
        <v>8</v>
      </c>
      <c r="AI950" s="7" t="n">
        <v>15</v>
      </c>
      <c r="AJ950" s="7" t="n">
        <v>5</v>
      </c>
      <c r="AK950" s="7" t="n">
        <v>8</v>
      </c>
      <c r="AL950" s="7" t="n">
        <v>11</v>
      </c>
      <c r="AM950" s="7" t="n">
        <v>26</v>
      </c>
      <c r="AN950" s="7" t="n">
        <v>3</v>
      </c>
      <c r="AO950" s="7" t="n">
        <v>5</v>
      </c>
      <c r="AP950" s="7" t="n">
        <v>0</v>
      </c>
      <c r="AQ950" s="7" t="n">
        <v>0</v>
      </c>
      <c r="AR950" s="6" t="s">
        <v>63</v>
      </c>
      <c r="AS950" s="6" t="s">
        <v>63</v>
      </c>
      <c r="AT950" s="9" t="str">
        <f aca="false">HYPERLINK("http://catalog.hathitrust.org/Record/001396570","HathiTrust Record")</f>
        <v>HathiTrust Record</v>
      </c>
      <c r="AU950" s="9" t="str">
        <f aca="false">HYPERLINK("https://creighton-primo.hosted.exlibrisgroup.com/primo-explore/search?tab=default_tab&amp;search_scope=EVERYTHING&amp;vid=01CRU&amp;lang=en_US&amp;offset=0&amp;query=any,contains,991002567759702656","Catalog Record")</f>
        <v>Catalog Record</v>
      </c>
      <c r="AV950" s="9" t="str">
        <f aca="false">HYPERLINK("http://www.worldcat.org/oclc/372945","WorldCat Record")</f>
        <v>WorldCat Record</v>
      </c>
      <c r="AW950" s="6" t="s">
        <v>5660</v>
      </c>
      <c r="AX950" s="6" t="s">
        <v>5661</v>
      </c>
      <c r="AY950" s="6" t="s">
        <v>5662</v>
      </c>
      <c r="AZ950" s="6" t="s">
        <v>5662</v>
      </c>
      <c r="BA950" s="6" t="s">
        <v>5663</v>
      </c>
      <c r="BB950" s="28"/>
      <c r="BC950" s="6" t="s">
        <v>5664</v>
      </c>
      <c r="BE950" s="15" t="s">
        <v>2145</v>
      </c>
      <c r="BF950" s="6" t="s">
        <v>5665</v>
      </c>
    </row>
    <row r="951" customFormat="false" ht="48" hidden="false" customHeight="false" outlineLevel="0" collapsed="false">
      <c r="A951" s="26" t="s">
        <v>63</v>
      </c>
      <c r="B951" s="27" t="s">
        <v>2129</v>
      </c>
      <c r="C951" s="27" t="s">
        <v>2130</v>
      </c>
      <c r="D951" s="27" t="s">
        <v>5666</v>
      </c>
      <c r="E951" s="27" t="s">
        <v>5667</v>
      </c>
      <c r="F951" s="27" t="s">
        <v>5668</v>
      </c>
      <c r="G951" s="28"/>
      <c r="H951" s="6" t="s">
        <v>63</v>
      </c>
      <c r="I951" s="6" t="s">
        <v>62</v>
      </c>
      <c r="J951" s="6" t="s">
        <v>63</v>
      </c>
      <c r="K951" s="6" t="s">
        <v>63</v>
      </c>
      <c r="L951" s="6" t="s">
        <v>64</v>
      </c>
      <c r="M951" s="27" t="s">
        <v>5669</v>
      </c>
      <c r="N951" s="27" t="s">
        <v>5670</v>
      </c>
      <c r="O951" s="6" t="s">
        <v>2136</v>
      </c>
      <c r="P951" s="28"/>
      <c r="Q951" s="6" t="s">
        <v>67</v>
      </c>
      <c r="R951" s="6" t="s">
        <v>384</v>
      </c>
      <c r="S951" s="28"/>
      <c r="T951" s="6" t="s">
        <v>5531</v>
      </c>
      <c r="U951" s="7" t="n">
        <v>3</v>
      </c>
      <c r="V951" s="7" t="n">
        <v>3</v>
      </c>
      <c r="W951" s="8" t="s">
        <v>5671</v>
      </c>
      <c r="X951" s="8" t="s">
        <v>5671</v>
      </c>
      <c r="Y951" s="8" t="s">
        <v>5637</v>
      </c>
      <c r="Z951" s="8" t="s">
        <v>5637</v>
      </c>
      <c r="AA951" s="7" t="n">
        <v>454</v>
      </c>
      <c r="AB951" s="7" t="n">
        <v>335</v>
      </c>
      <c r="AC951" s="7" t="n">
        <v>473</v>
      </c>
      <c r="AD951" s="7" t="n">
        <v>3</v>
      </c>
      <c r="AE951" s="7" t="n">
        <v>3</v>
      </c>
      <c r="AF951" s="7" t="n">
        <v>17</v>
      </c>
      <c r="AG951" s="7" t="n">
        <v>24</v>
      </c>
      <c r="AH951" s="7" t="n">
        <v>7</v>
      </c>
      <c r="AI951" s="7" t="n">
        <v>9</v>
      </c>
      <c r="AJ951" s="7" t="n">
        <v>3</v>
      </c>
      <c r="AK951" s="7" t="n">
        <v>4</v>
      </c>
      <c r="AL951" s="7" t="n">
        <v>11</v>
      </c>
      <c r="AM951" s="7" t="n">
        <v>17</v>
      </c>
      <c r="AN951" s="7" t="n">
        <v>2</v>
      </c>
      <c r="AO951" s="7" t="n">
        <v>2</v>
      </c>
      <c r="AP951" s="7" t="n">
        <v>0</v>
      </c>
      <c r="AQ951" s="7" t="n">
        <v>0</v>
      </c>
      <c r="AR951" s="6" t="s">
        <v>63</v>
      </c>
      <c r="AS951" s="6" t="s">
        <v>57</v>
      </c>
      <c r="AT951" s="9" t="str">
        <f aca="false">HYPERLINK("http://catalog.hathitrust.org/Record/001387620","HathiTrust Record")</f>
        <v>HathiTrust Record</v>
      </c>
      <c r="AU951" s="9" t="str">
        <f aca="false">HYPERLINK("https://creighton-primo.hosted.exlibrisgroup.com/primo-explore/search?tab=default_tab&amp;search_scope=EVERYTHING&amp;vid=01CRU&amp;lang=en_US&amp;offset=0&amp;query=any,contains,991003371469702656","Catalog Record")</f>
        <v>Catalog Record</v>
      </c>
      <c r="AV951" s="9" t="str">
        <f aca="false">HYPERLINK("http://www.worldcat.org/oclc/907671","WorldCat Record")</f>
        <v>WorldCat Record</v>
      </c>
      <c r="AW951" s="6" t="s">
        <v>5672</v>
      </c>
      <c r="AX951" s="6" t="s">
        <v>5673</v>
      </c>
      <c r="AY951" s="6" t="s">
        <v>5674</v>
      </c>
      <c r="AZ951" s="6" t="s">
        <v>5674</v>
      </c>
      <c r="BA951" s="6" t="s">
        <v>5675</v>
      </c>
      <c r="BB951" s="28"/>
      <c r="BC951" s="6" t="s">
        <v>5676</v>
      </c>
      <c r="BE951" s="15" t="s">
        <v>2145</v>
      </c>
      <c r="BF951" s="6" t="s">
        <v>5677</v>
      </c>
    </row>
    <row r="952" customFormat="false" ht="82.5" hidden="false" customHeight="false" outlineLevel="0" collapsed="false">
      <c r="A952" s="26" t="s">
        <v>63</v>
      </c>
      <c r="B952" s="27" t="s">
        <v>2129</v>
      </c>
      <c r="C952" s="27" t="s">
        <v>2130</v>
      </c>
      <c r="D952" s="27" t="s">
        <v>5678</v>
      </c>
      <c r="E952" s="27" t="s">
        <v>5679</v>
      </c>
      <c r="F952" s="27" t="s">
        <v>5680</v>
      </c>
      <c r="G952" s="28"/>
      <c r="H952" s="6" t="s">
        <v>63</v>
      </c>
      <c r="I952" s="6" t="s">
        <v>62</v>
      </c>
      <c r="J952" s="6" t="s">
        <v>63</v>
      </c>
      <c r="K952" s="6" t="s">
        <v>63</v>
      </c>
      <c r="L952" s="6" t="s">
        <v>64</v>
      </c>
      <c r="M952" s="27" t="s">
        <v>5681</v>
      </c>
      <c r="N952" s="27" t="s">
        <v>5682</v>
      </c>
      <c r="O952" s="6" t="s">
        <v>3094</v>
      </c>
      <c r="P952" s="27" t="s">
        <v>5683</v>
      </c>
      <c r="Q952" s="6" t="s">
        <v>67</v>
      </c>
      <c r="R952" s="6" t="s">
        <v>181</v>
      </c>
      <c r="S952" s="28"/>
      <c r="T952" s="6" t="s">
        <v>5531</v>
      </c>
      <c r="U952" s="7" t="n">
        <v>1</v>
      </c>
      <c r="V952" s="7" t="n">
        <v>1</v>
      </c>
      <c r="W952" s="8" t="s">
        <v>4211</v>
      </c>
      <c r="X952" s="8" t="s">
        <v>4211</v>
      </c>
      <c r="Y952" s="8" t="s">
        <v>5637</v>
      </c>
      <c r="Z952" s="8" t="s">
        <v>5637</v>
      </c>
      <c r="AA952" s="7" t="n">
        <v>457</v>
      </c>
      <c r="AB952" s="7" t="n">
        <v>379</v>
      </c>
      <c r="AC952" s="7" t="n">
        <v>389</v>
      </c>
      <c r="AD952" s="7" t="n">
        <v>2</v>
      </c>
      <c r="AE952" s="7" t="n">
        <v>2</v>
      </c>
      <c r="AF952" s="7" t="n">
        <v>15</v>
      </c>
      <c r="AG952" s="7" t="n">
        <v>15</v>
      </c>
      <c r="AH952" s="7" t="n">
        <v>3</v>
      </c>
      <c r="AI952" s="7" t="n">
        <v>3</v>
      </c>
      <c r="AJ952" s="7" t="n">
        <v>3</v>
      </c>
      <c r="AK952" s="7" t="n">
        <v>3</v>
      </c>
      <c r="AL952" s="7" t="n">
        <v>12</v>
      </c>
      <c r="AM952" s="7" t="n">
        <v>12</v>
      </c>
      <c r="AN952" s="7" t="n">
        <v>1</v>
      </c>
      <c r="AO952" s="7" t="n">
        <v>1</v>
      </c>
      <c r="AP952" s="7" t="n">
        <v>0</v>
      </c>
      <c r="AQ952" s="7" t="n">
        <v>0</v>
      </c>
      <c r="AR952" s="6" t="s">
        <v>57</v>
      </c>
      <c r="AS952" s="6" t="s">
        <v>63</v>
      </c>
      <c r="AT952" s="9" t="str">
        <f aca="false">HYPERLINK("http://catalog.hathitrust.org/Record/001387621","HathiTrust Record")</f>
        <v>HathiTrust Record</v>
      </c>
      <c r="AU952" s="9" t="str">
        <f aca="false">HYPERLINK("https://creighton-primo.hosted.exlibrisgroup.com/primo-explore/search?tab=default_tab&amp;search_scope=EVERYTHING&amp;vid=01CRU&amp;lang=en_US&amp;offset=0&amp;query=any,contains,991002569149702656","Catalog Record")</f>
        <v>Catalog Record</v>
      </c>
      <c r="AV952" s="9" t="str">
        <f aca="false">HYPERLINK("http://www.worldcat.org/oclc/373252","WorldCat Record")</f>
        <v>WorldCat Record</v>
      </c>
      <c r="AW952" s="6" t="s">
        <v>5684</v>
      </c>
      <c r="AX952" s="6" t="s">
        <v>5685</v>
      </c>
      <c r="AY952" s="6" t="s">
        <v>5686</v>
      </c>
      <c r="AZ952" s="6" t="s">
        <v>5686</v>
      </c>
      <c r="BA952" s="6" t="s">
        <v>5687</v>
      </c>
      <c r="BB952" s="28"/>
      <c r="BC952" s="6" t="s">
        <v>5688</v>
      </c>
      <c r="BE952" s="15" t="s">
        <v>2145</v>
      </c>
      <c r="BF952" s="6" t="s">
        <v>5689</v>
      </c>
    </row>
    <row r="953" customFormat="false" ht="105.5" hidden="false" customHeight="false" outlineLevel="0" collapsed="false">
      <c r="A953" s="26" t="s">
        <v>63</v>
      </c>
      <c r="B953" s="27" t="s">
        <v>2129</v>
      </c>
      <c r="C953" s="27" t="s">
        <v>2130</v>
      </c>
      <c r="D953" s="27" t="s">
        <v>5690</v>
      </c>
      <c r="E953" s="27" t="s">
        <v>5691</v>
      </c>
      <c r="F953" s="27" t="s">
        <v>5692</v>
      </c>
      <c r="G953" s="28"/>
      <c r="H953" s="6" t="s">
        <v>63</v>
      </c>
      <c r="I953" s="6" t="s">
        <v>62</v>
      </c>
      <c r="J953" s="6" t="s">
        <v>63</v>
      </c>
      <c r="K953" s="6" t="s">
        <v>63</v>
      </c>
      <c r="L953" s="6" t="s">
        <v>64</v>
      </c>
      <c r="M953" s="27" t="s">
        <v>5669</v>
      </c>
      <c r="N953" s="27" t="s">
        <v>5693</v>
      </c>
      <c r="O953" s="6" t="s">
        <v>2329</v>
      </c>
      <c r="P953" s="28"/>
      <c r="Q953" s="6" t="s">
        <v>67</v>
      </c>
      <c r="R953" s="6" t="s">
        <v>384</v>
      </c>
      <c r="S953" s="28"/>
      <c r="T953" s="6" t="s">
        <v>5531</v>
      </c>
      <c r="U953" s="7" t="n">
        <v>1</v>
      </c>
      <c r="V953" s="7" t="n">
        <v>1</v>
      </c>
      <c r="W953" s="8" t="s">
        <v>5694</v>
      </c>
      <c r="X953" s="8" t="s">
        <v>5694</v>
      </c>
      <c r="Y953" s="8" t="s">
        <v>5695</v>
      </c>
      <c r="Z953" s="8" t="s">
        <v>5695</v>
      </c>
      <c r="AA953" s="7" t="n">
        <v>890</v>
      </c>
      <c r="AB953" s="7" t="n">
        <v>730</v>
      </c>
      <c r="AC953" s="7" t="n">
        <v>1067</v>
      </c>
      <c r="AD953" s="7" t="n">
        <v>5</v>
      </c>
      <c r="AE953" s="7" t="n">
        <v>8</v>
      </c>
      <c r="AF953" s="7" t="n">
        <v>34</v>
      </c>
      <c r="AG953" s="7" t="n">
        <v>46</v>
      </c>
      <c r="AH953" s="7" t="n">
        <v>14</v>
      </c>
      <c r="AI953" s="7" t="n">
        <v>18</v>
      </c>
      <c r="AJ953" s="7" t="n">
        <v>5</v>
      </c>
      <c r="AK953" s="7" t="n">
        <v>10</v>
      </c>
      <c r="AL953" s="7" t="n">
        <v>19</v>
      </c>
      <c r="AM953" s="7" t="n">
        <v>24</v>
      </c>
      <c r="AN953" s="7" t="n">
        <v>4</v>
      </c>
      <c r="AO953" s="7" t="n">
        <v>6</v>
      </c>
      <c r="AP953" s="7" t="n">
        <v>0</v>
      </c>
      <c r="AQ953" s="7" t="n">
        <v>0</v>
      </c>
      <c r="AR953" s="6" t="s">
        <v>63</v>
      </c>
      <c r="AS953" s="6" t="s">
        <v>63</v>
      </c>
      <c r="AT953" s="28"/>
      <c r="AU953" s="9" t="str">
        <f aca="false">HYPERLINK("https://creighton-primo.hosted.exlibrisgroup.com/primo-explore/search?tab=default_tab&amp;search_scope=EVERYTHING&amp;vid=01CRU&amp;lang=en_US&amp;offset=0&amp;query=any,contains,991002568699702656","Catalog Record")</f>
        <v>Catalog Record</v>
      </c>
      <c r="AV953" s="9" t="str">
        <f aca="false">HYPERLINK("http://www.worldcat.org/oclc/373178","WorldCat Record")</f>
        <v>WorldCat Record</v>
      </c>
      <c r="AW953" s="6" t="s">
        <v>5696</v>
      </c>
      <c r="AX953" s="6" t="s">
        <v>5697</v>
      </c>
      <c r="AY953" s="6" t="s">
        <v>5698</v>
      </c>
      <c r="AZ953" s="6" t="s">
        <v>5698</v>
      </c>
      <c r="BA953" s="6" t="s">
        <v>5699</v>
      </c>
      <c r="BB953" s="28"/>
      <c r="BC953" s="6" t="s">
        <v>5700</v>
      </c>
      <c r="BE953" s="15" t="s">
        <v>2145</v>
      </c>
      <c r="BF953" s="6" t="s">
        <v>5701</v>
      </c>
    </row>
    <row r="954" customFormat="false" ht="140" hidden="false" customHeight="false" outlineLevel="0" collapsed="false">
      <c r="A954" s="26" t="s">
        <v>63</v>
      </c>
      <c r="B954" s="27" t="s">
        <v>2129</v>
      </c>
      <c r="C954" s="27" t="s">
        <v>2130</v>
      </c>
      <c r="D954" s="27" t="s">
        <v>5702</v>
      </c>
      <c r="E954" s="27" t="s">
        <v>5703</v>
      </c>
      <c r="F954" s="27" t="s">
        <v>5704</v>
      </c>
      <c r="G954" s="28"/>
      <c r="H954" s="6" t="s">
        <v>63</v>
      </c>
      <c r="I954" s="6" t="s">
        <v>62</v>
      </c>
      <c r="J954" s="6" t="s">
        <v>63</v>
      </c>
      <c r="K954" s="6" t="s">
        <v>63</v>
      </c>
      <c r="L954" s="6" t="s">
        <v>64</v>
      </c>
      <c r="M954" s="27" t="s">
        <v>5705</v>
      </c>
      <c r="N954" s="27" t="s">
        <v>5706</v>
      </c>
      <c r="O954" s="6" t="s">
        <v>4025</v>
      </c>
      <c r="P954" s="28"/>
      <c r="Q954" s="6" t="s">
        <v>67</v>
      </c>
      <c r="R954" s="6" t="s">
        <v>2288</v>
      </c>
      <c r="S954" s="27" t="s">
        <v>5707</v>
      </c>
      <c r="T954" s="6" t="s">
        <v>5531</v>
      </c>
      <c r="U954" s="7" t="n">
        <v>1</v>
      </c>
      <c r="V954" s="7" t="n">
        <v>1</v>
      </c>
      <c r="W954" s="8" t="s">
        <v>5708</v>
      </c>
      <c r="X954" s="8" t="s">
        <v>5708</v>
      </c>
      <c r="Y954" s="8" t="s">
        <v>5709</v>
      </c>
      <c r="Z954" s="8" t="s">
        <v>5709</v>
      </c>
      <c r="AA954" s="7" t="n">
        <v>384</v>
      </c>
      <c r="AB954" s="7" t="n">
        <v>374</v>
      </c>
      <c r="AC954" s="7" t="n">
        <v>388</v>
      </c>
      <c r="AD954" s="7" t="n">
        <v>7</v>
      </c>
      <c r="AE954" s="7" t="n">
        <v>7</v>
      </c>
      <c r="AF954" s="7" t="n">
        <v>22</v>
      </c>
      <c r="AG954" s="7" t="n">
        <v>22</v>
      </c>
      <c r="AH954" s="7" t="n">
        <v>8</v>
      </c>
      <c r="AI954" s="7" t="n">
        <v>8</v>
      </c>
      <c r="AJ954" s="7" t="n">
        <v>4</v>
      </c>
      <c r="AK954" s="7" t="n">
        <v>4</v>
      </c>
      <c r="AL954" s="7" t="n">
        <v>10</v>
      </c>
      <c r="AM954" s="7" t="n">
        <v>10</v>
      </c>
      <c r="AN954" s="7" t="n">
        <v>6</v>
      </c>
      <c r="AO954" s="7" t="n">
        <v>6</v>
      </c>
      <c r="AP954" s="7" t="n">
        <v>0</v>
      </c>
      <c r="AQ954" s="7" t="n">
        <v>0</v>
      </c>
      <c r="AR954" s="6" t="s">
        <v>63</v>
      </c>
      <c r="AS954" s="6" t="s">
        <v>57</v>
      </c>
      <c r="AT954" s="9" t="str">
        <f aca="false">HYPERLINK("http://catalog.hathitrust.org/Record/002533173","HathiTrust Record")</f>
        <v>HathiTrust Record</v>
      </c>
      <c r="AU954" s="9" t="str">
        <f aca="false">HYPERLINK("https://creighton-primo.hosted.exlibrisgroup.com/primo-explore/search?tab=default_tab&amp;search_scope=EVERYTHING&amp;vid=01CRU&amp;lang=en_US&amp;offset=0&amp;query=any,contains,991001820049702656","Catalog Record")</f>
        <v>Catalog Record</v>
      </c>
      <c r="AV954" s="9" t="str">
        <f aca="false">HYPERLINK("http://www.worldcat.org/oclc/22887924","WorldCat Record")</f>
        <v>WorldCat Record</v>
      </c>
      <c r="AW954" s="6" t="s">
        <v>5710</v>
      </c>
      <c r="AX954" s="6" t="s">
        <v>5711</v>
      </c>
      <c r="AY954" s="6" t="s">
        <v>5712</v>
      </c>
      <c r="AZ954" s="6" t="s">
        <v>5712</v>
      </c>
      <c r="BA954" s="6" t="s">
        <v>5713</v>
      </c>
      <c r="BB954" s="6" t="s">
        <v>5714</v>
      </c>
      <c r="BC954" s="6" t="s">
        <v>5715</v>
      </c>
      <c r="BE954" s="15" t="s">
        <v>2145</v>
      </c>
      <c r="BF954" s="6" t="s">
        <v>5716</v>
      </c>
    </row>
    <row r="955" customFormat="false" ht="111.55" hidden="false" customHeight="false" outlineLevel="0" collapsed="false">
      <c r="A955" s="26" t="s">
        <v>57</v>
      </c>
      <c r="B955" s="27" t="s">
        <v>2129</v>
      </c>
      <c r="C955" s="27" t="s">
        <v>2130</v>
      </c>
      <c r="D955" s="27" t="s">
        <v>5717</v>
      </c>
      <c r="E955" s="27" t="s">
        <v>5718</v>
      </c>
      <c r="F955" s="27" t="s">
        <v>5719</v>
      </c>
      <c r="G955" s="28"/>
      <c r="H955" s="6" t="s">
        <v>63</v>
      </c>
      <c r="I955" s="6" t="s">
        <v>62</v>
      </c>
      <c r="J955" s="6" t="s">
        <v>63</v>
      </c>
      <c r="K955" s="6" t="s">
        <v>63</v>
      </c>
      <c r="L955" s="6" t="s">
        <v>64</v>
      </c>
      <c r="M955" s="27" t="s">
        <v>5460</v>
      </c>
      <c r="N955" s="27" t="s">
        <v>4566</v>
      </c>
      <c r="O955" s="6" t="s">
        <v>254</v>
      </c>
      <c r="P955" s="28"/>
      <c r="Q955" s="6" t="s">
        <v>67</v>
      </c>
      <c r="R955" s="6" t="s">
        <v>384</v>
      </c>
      <c r="S955" s="27" t="s">
        <v>4567</v>
      </c>
      <c r="T955" s="6" t="s">
        <v>5531</v>
      </c>
      <c r="U955" s="7" t="n">
        <v>4</v>
      </c>
      <c r="V955" s="7" t="n">
        <v>4</v>
      </c>
      <c r="W955" s="8" t="s">
        <v>5671</v>
      </c>
      <c r="X955" s="8" t="s">
        <v>5671</v>
      </c>
      <c r="Y955" s="8" t="s">
        <v>5637</v>
      </c>
      <c r="Z955" s="8" t="s">
        <v>5637</v>
      </c>
      <c r="AA955" s="7" t="n">
        <v>699</v>
      </c>
      <c r="AB955" s="7" t="n">
        <v>536</v>
      </c>
      <c r="AC955" s="7" t="n">
        <v>538</v>
      </c>
      <c r="AD955" s="7" t="n">
        <v>5</v>
      </c>
      <c r="AE955" s="7" t="n">
        <v>5</v>
      </c>
      <c r="AF955" s="7" t="n">
        <v>30</v>
      </c>
      <c r="AG955" s="7" t="n">
        <v>30</v>
      </c>
      <c r="AH955" s="7" t="n">
        <v>9</v>
      </c>
      <c r="AI955" s="7" t="n">
        <v>9</v>
      </c>
      <c r="AJ955" s="7" t="n">
        <v>8</v>
      </c>
      <c r="AK955" s="7" t="n">
        <v>8</v>
      </c>
      <c r="AL955" s="7" t="n">
        <v>17</v>
      </c>
      <c r="AM955" s="7" t="n">
        <v>17</v>
      </c>
      <c r="AN955" s="7" t="n">
        <v>4</v>
      </c>
      <c r="AO955" s="7" t="n">
        <v>4</v>
      </c>
      <c r="AP955" s="7" t="n">
        <v>0</v>
      </c>
      <c r="AQ955" s="7" t="n">
        <v>0</v>
      </c>
      <c r="AR955" s="6" t="s">
        <v>63</v>
      </c>
      <c r="AS955" s="6" t="s">
        <v>63</v>
      </c>
      <c r="AT955" s="28"/>
      <c r="AU955" s="9" t="str">
        <f aca="false">HYPERLINK("https://creighton-primo.hosted.exlibrisgroup.com/primo-explore/search?tab=default_tab&amp;search_scope=EVERYTHING&amp;vid=01CRU&amp;lang=en_US&amp;offset=0&amp;query=any,contains,991003045329702656","Catalog Record")</f>
        <v>Catalog Record</v>
      </c>
      <c r="AV955" s="9" t="str">
        <f aca="false">HYPERLINK("http://www.worldcat.org/oclc/606019","WorldCat Record")</f>
        <v>WorldCat Record</v>
      </c>
      <c r="AW955" s="6" t="s">
        <v>5720</v>
      </c>
      <c r="AX955" s="6" t="s">
        <v>5721</v>
      </c>
      <c r="AY955" s="6" t="s">
        <v>5722</v>
      </c>
      <c r="AZ955" s="6" t="s">
        <v>5722</v>
      </c>
      <c r="BA955" s="6" t="s">
        <v>5723</v>
      </c>
      <c r="BB955" s="6" t="s">
        <v>5724</v>
      </c>
      <c r="BC955" s="6" t="s">
        <v>5725</v>
      </c>
      <c r="BE955" s="15" t="s">
        <v>2145</v>
      </c>
      <c r="BF955" s="6" t="s">
        <v>5726</v>
      </c>
    </row>
    <row r="956" customFormat="false" ht="163" hidden="false" customHeight="false" outlineLevel="0" collapsed="false">
      <c r="A956" s="26" t="s">
        <v>57</v>
      </c>
      <c r="B956" s="27" t="s">
        <v>2129</v>
      </c>
      <c r="C956" s="27" t="s">
        <v>2130</v>
      </c>
      <c r="D956" s="27" t="s">
        <v>5727</v>
      </c>
      <c r="E956" s="27" t="s">
        <v>5728</v>
      </c>
      <c r="F956" s="27" t="s">
        <v>5729</v>
      </c>
      <c r="G956" s="28"/>
      <c r="H956" s="6" t="s">
        <v>63</v>
      </c>
      <c r="I956" s="6" t="s">
        <v>62</v>
      </c>
      <c r="J956" s="6" t="s">
        <v>63</v>
      </c>
      <c r="K956" s="6" t="s">
        <v>63</v>
      </c>
      <c r="L956" s="6" t="s">
        <v>64</v>
      </c>
      <c r="M956" s="27" t="s">
        <v>5730</v>
      </c>
      <c r="N956" s="27" t="s">
        <v>5731</v>
      </c>
      <c r="O956" s="6" t="s">
        <v>122</v>
      </c>
      <c r="P956" s="28"/>
      <c r="Q956" s="6" t="s">
        <v>67</v>
      </c>
      <c r="R956" s="6" t="s">
        <v>68</v>
      </c>
      <c r="S956" s="27" t="s">
        <v>5732</v>
      </c>
      <c r="T956" s="6" t="s">
        <v>5531</v>
      </c>
      <c r="U956" s="7" t="n">
        <v>2</v>
      </c>
      <c r="V956" s="7" t="n">
        <v>2</v>
      </c>
      <c r="W956" s="8" t="s">
        <v>5733</v>
      </c>
      <c r="X956" s="8" t="s">
        <v>5733</v>
      </c>
      <c r="Y956" s="8" t="s">
        <v>5637</v>
      </c>
      <c r="Z956" s="8" t="s">
        <v>5637</v>
      </c>
      <c r="AA956" s="7" t="n">
        <v>417</v>
      </c>
      <c r="AB956" s="7" t="n">
        <v>351</v>
      </c>
      <c r="AC956" s="7" t="n">
        <v>359</v>
      </c>
      <c r="AD956" s="7" t="n">
        <v>3</v>
      </c>
      <c r="AE956" s="7" t="n">
        <v>3</v>
      </c>
      <c r="AF956" s="7" t="n">
        <v>26</v>
      </c>
      <c r="AG956" s="7" t="n">
        <v>26</v>
      </c>
      <c r="AH956" s="7" t="n">
        <v>9</v>
      </c>
      <c r="AI956" s="7" t="n">
        <v>9</v>
      </c>
      <c r="AJ956" s="7" t="n">
        <v>7</v>
      </c>
      <c r="AK956" s="7" t="n">
        <v>7</v>
      </c>
      <c r="AL956" s="7" t="n">
        <v>18</v>
      </c>
      <c r="AM956" s="7" t="n">
        <v>18</v>
      </c>
      <c r="AN956" s="7" t="n">
        <v>2</v>
      </c>
      <c r="AO956" s="7" t="n">
        <v>2</v>
      </c>
      <c r="AP956" s="7" t="n">
        <v>0</v>
      </c>
      <c r="AQ956" s="7" t="n">
        <v>0</v>
      </c>
      <c r="AR956" s="6" t="s">
        <v>63</v>
      </c>
      <c r="AS956" s="6" t="s">
        <v>57</v>
      </c>
      <c r="AT956" s="9" t="str">
        <f aca="false">HYPERLINK("http://catalog.hathitrust.org/Record/001387644","HathiTrust Record")</f>
        <v>HathiTrust Record</v>
      </c>
      <c r="AU956" s="9" t="str">
        <f aca="false">HYPERLINK("https://creighton-primo.hosted.exlibrisgroup.com/primo-explore/search?tab=default_tab&amp;search_scope=EVERYTHING&amp;vid=01CRU&amp;lang=en_US&amp;offset=0&amp;query=any,contains,991003366269702656","Catalog Record")</f>
        <v>Catalog Record</v>
      </c>
      <c r="AV956" s="9" t="str">
        <f aca="false">HYPERLINK("http://www.worldcat.org/oclc/902125","WorldCat Record")</f>
        <v>WorldCat Record</v>
      </c>
      <c r="AW956" s="6" t="s">
        <v>5734</v>
      </c>
      <c r="AX956" s="6" t="s">
        <v>5735</v>
      </c>
      <c r="AY956" s="6" t="s">
        <v>5736</v>
      </c>
      <c r="AZ956" s="6" t="s">
        <v>5736</v>
      </c>
      <c r="BA956" s="6" t="s">
        <v>5737</v>
      </c>
      <c r="BB956" s="28"/>
      <c r="BC956" s="6" t="s">
        <v>5738</v>
      </c>
      <c r="BE956" s="15" t="s">
        <v>2145</v>
      </c>
      <c r="BF956" s="6" t="s">
        <v>5739</v>
      </c>
    </row>
    <row r="957" customFormat="false" ht="71" hidden="false" customHeight="false" outlineLevel="0" collapsed="false">
      <c r="A957" s="26" t="s">
        <v>63</v>
      </c>
      <c r="B957" s="27" t="s">
        <v>2129</v>
      </c>
      <c r="C957" s="27" t="s">
        <v>2130</v>
      </c>
      <c r="D957" s="27" t="s">
        <v>5740</v>
      </c>
      <c r="E957" s="27" t="s">
        <v>5741</v>
      </c>
      <c r="F957" s="27" t="s">
        <v>5742</v>
      </c>
      <c r="G957" s="28"/>
      <c r="H957" s="6" t="s">
        <v>63</v>
      </c>
      <c r="I957" s="6" t="s">
        <v>62</v>
      </c>
      <c r="J957" s="6" t="s">
        <v>63</v>
      </c>
      <c r="K957" s="6" t="s">
        <v>63</v>
      </c>
      <c r="L957" s="6" t="s">
        <v>64</v>
      </c>
      <c r="M957" s="27" t="s">
        <v>5743</v>
      </c>
      <c r="N957" s="27" t="s">
        <v>5744</v>
      </c>
      <c r="O957" s="6" t="s">
        <v>264</v>
      </c>
      <c r="P957" s="28"/>
      <c r="Q957" s="6" t="s">
        <v>67</v>
      </c>
      <c r="R957" s="6" t="s">
        <v>384</v>
      </c>
      <c r="S957" s="28"/>
      <c r="T957" s="6" t="s">
        <v>5531</v>
      </c>
      <c r="U957" s="7" t="n">
        <v>1</v>
      </c>
      <c r="V957" s="7" t="n">
        <v>1</v>
      </c>
      <c r="W957" s="8" t="s">
        <v>5745</v>
      </c>
      <c r="X957" s="8" t="s">
        <v>5745</v>
      </c>
      <c r="Y957" s="8" t="s">
        <v>5637</v>
      </c>
      <c r="Z957" s="8" t="s">
        <v>5637</v>
      </c>
      <c r="AA957" s="7" t="n">
        <v>518</v>
      </c>
      <c r="AB957" s="7" t="n">
        <v>338</v>
      </c>
      <c r="AC957" s="7" t="n">
        <v>400</v>
      </c>
      <c r="AD957" s="7" t="n">
        <v>3</v>
      </c>
      <c r="AE957" s="7" t="n">
        <v>3</v>
      </c>
      <c r="AF957" s="7" t="n">
        <v>16</v>
      </c>
      <c r="AG957" s="7" t="n">
        <v>21</v>
      </c>
      <c r="AH957" s="7" t="n">
        <v>3</v>
      </c>
      <c r="AI957" s="7" t="n">
        <v>5</v>
      </c>
      <c r="AJ957" s="7" t="n">
        <v>5</v>
      </c>
      <c r="AK957" s="7" t="n">
        <v>8</v>
      </c>
      <c r="AL957" s="7" t="n">
        <v>10</v>
      </c>
      <c r="AM957" s="7" t="n">
        <v>13</v>
      </c>
      <c r="AN957" s="7" t="n">
        <v>2</v>
      </c>
      <c r="AO957" s="7" t="n">
        <v>2</v>
      </c>
      <c r="AP957" s="7" t="n">
        <v>0</v>
      </c>
      <c r="AQ957" s="7" t="n">
        <v>0</v>
      </c>
      <c r="AR957" s="6" t="s">
        <v>63</v>
      </c>
      <c r="AS957" s="6" t="s">
        <v>57</v>
      </c>
      <c r="AT957" s="9" t="str">
        <f aca="false">HYPERLINK("http://catalog.hathitrust.org/Record/001387646","HathiTrust Record")</f>
        <v>HathiTrust Record</v>
      </c>
      <c r="AU957" s="9" t="str">
        <f aca="false">HYPERLINK("https://creighton-primo.hosted.exlibrisgroup.com/primo-explore/search?tab=default_tab&amp;search_scope=EVERYTHING&amp;vid=01CRU&amp;lang=en_US&amp;offset=0&amp;query=any,contains,991000452749702656","Catalog Record")</f>
        <v>Catalog Record</v>
      </c>
      <c r="AV957" s="9" t="str">
        <f aca="false">HYPERLINK("http://www.worldcat.org/oclc/77094","WorldCat Record")</f>
        <v>WorldCat Record</v>
      </c>
      <c r="AW957" s="6" t="s">
        <v>5746</v>
      </c>
      <c r="AX957" s="6" t="s">
        <v>5747</v>
      </c>
      <c r="AY957" s="6" t="s">
        <v>5748</v>
      </c>
      <c r="AZ957" s="6" t="s">
        <v>5748</v>
      </c>
      <c r="BA957" s="6" t="s">
        <v>5749</v>
      </c>
      <c r="BB957" s="6" t="s">
        <v>5750</v>
      </c>
      <c r="BC957" s="6" t="s">
        <v>5751</v>
      </c>
      <c r="BE957" s="15" t="s">
        <v>2145</v>
      </c>
      <c r="BF957" s="6" t="s">
        <v>5752</v>
      </c>
    </row>
    <row r="958" customFormat="false" ht="278" hidden="false" customHeight="false" outlineLevel="0" collapsed="false">
      <c r="A958" s="26" t="s">
        <v>63</v>
      </c>
      <c r="B958" s="27" t="s">
        <v>2129</v>
      </c>
      <c r="C958" s="27" t="s">
        <v>2130</v>
      </c>
      <c r="D958" s="27" t="s">
        <v>5753</v>
      </c>
      <c r="E958" s="27" t="s">
        <v>5754</v>
      </c>
      <c r="F958" s="27" t="s">
        <v>5755</v>
      </c>
      <c r="G958" s="28"/>
      <c r="H958" s="6" t="s">
        <v>63</v>
      </c>
      <c r="I958" s="6" t="s">
        <v>62</v>
      </c>
      <c r="J958" s="6" t="s">
        <v>63</v>
      </c>
      <c r="K958" s="6" t="s">
        <v>63</v>
      </c>
      <c r="L958" s="6" t="s">
        <v>64</v>
      </c>
      <c r="M958" s="27" t="s">
        <v>5756</v>
      </c>
      <c r="N958" s="27" t="s">
        <v>5757</v>
      </c>
      <c r="O958" s="6" t="s">
        <v>3301</v>
      </c>
      <c r="P958" s="28"/>
      <c r="Q958" s="6" t="s">
        <v>67</v>
      </c>
      <c r="R958" s="6" t="s">
        <v>2894</v>
      </c>
      <c r="S958" s="27" t="s">
        <v>5758</v>
      </c>
      <c r="T958" s="6" t="s">
        <v>5531</v>
      </c>
      <c r="U958" s="7" t="n">
        <v>1</v>
      </c>
      <c r="V958" s="7" t="n">
        <v>1</v>
      </c>
      <c r="W958" s="8" t="s">
        <v>2250</v>
      </c>
      <c r="X958" s="8" t="s">
        <v>2250</v>
      </c>
      <c r="Y958" s="8" t="s">
        <v>5637</v>
      </c>
      <c r="Z958" s="8" t="s">
        <v>5637</v>
      </c>
      <c r="AA958" s="7" t="n">
        <v>144</v>
      </c>
      <c r="AB958" s="7" t="n">
        <v>135</v>
      </c>
      <c r="AC958" s="7" t="n">
        <v>137</v>
      </c>
      <c r="AD958" s="7" t="n">
        <v>2</v>
      </c>
      <c r="AE958" s="7" t="n">
        <v>2</v>
      </c>
      <c r="AF958" s="7" t="n">
        <v>11</v>
      </c>
      <c r="AG958" s="7" t="n">
        <v>11</v>
      </c>
      <c r="AH958" s="7" t="n">
        <v>3</v>
      </c>
      <c r="AI958" s="7" t="n">
        <v>3</v>
      </c>
      <c r="AJ958" s="7" t="n">
        <v>4</v>
      </c>
      <c r="AK958" s="7" t="n">
        <v>4</v>
      </c>
      <c r="AL958" s="7" t="n">
        <v>7</v>
      </c>
      <c r="AM958" s="7" t="n">
        <v>7</v>
      </c>
      <c r="AN958" s="7" t="n">
        <v>1</v>
      </c>
      <c r="AO958" s="7" t="n">
        <v>1</v>
      </c>
      <c r="AP958" s="7" t="n">
        <v>0</v>
      </c>
      <c r="AQ958" s="7" t="n">
        <v>0</v>
      </c>
      <c r="AR958" s="6" t="s">
        <v>63</v>
      </c>
      <c r="AS958" s="6" t="s">
        <v>57</v>
      </c>
      <c r="AT958" s="9" t="str">
        <f aca="false">HYPERLINK("http://catalog.hathitrust.org/Record/000201210","HathiTrust Record")</f>
        <v>HathiTrust Record</v>
      </c>
      <c r="AU958" s="9" t="str">
        <f aca="false">HYPERLINK("https://creighton-primo.hosted.exlibrisgroup.com/primo-explore/search?tab=default_tab&amp;search_scope=EVERYTHING&amp;vid=01CRU&amp;lang=en_US&amp;offset=0&amp;query=any,contains,991000040679702656","Catalog Record")</f>
        <v>Catalog Record</v>
      </c>
      <c r="AV958" s="9" t="str">
        <f aca="false">HYPERLINK("http://www.worldcat.org/oclc/8650525","WorldCat Record")</f>
        <v>WorldCat Record</v>
      </c>
      <c r="AW958" s="6" t="s">
        <v>5759</v>
      </c>
      <c r="AX958" s="6" t="s">
        <v>5760</v>
      </c>
      <c r="AY958" s="6" t="s">
        <v>5761</v>
      </c>
      <c r="AZ958" s="6" t="s">
        <v>5761</v>
      </c>
      <c r="BA958" s="6" t="s">
        <v>5762</v>
      </c>
      <c r="BB958" s="6" t="s">
        <v>5763</v>
      </c>
      <c r="BC958" s="6" t="s">
        <v>5764</v>
      </c>
      <c r="BE958" s="15" t="s">
        <v>2145</v>
      </c>
      <c r="BF958" s="6" t="s">
        <v>5765</v>
      </c>
    </row>
    <row r="959" customFormat="false" ht="128.5" hidden="false" customHeight="false" outlineLevel="0" collapsed="false">
      <c r="A959" s="26" t="s">
        <v>63</v>
      </c>
      <c r="B959" s="27" t="s">
        <v>2129</v>
      </c>
      <c r="C959" s="27" t="s">
        <v>2130</v>
      </c>
      <c r="D959" s="27" t="s">
        <v>5766</v>
      </c>
      <c r="E959" s="27" t="s">
        <v>5767</v>
      </c>
      <c r="F959" s="27" t="s">
        <v>5768</v>
      </c>
      <c r="G959" s="28"/>
      <c r="H959" s="6" t="s">
        <v>63</v>
      </c>
      <c r="I959" s="6" t="s">
        <v>62</v>
      </c>
      <c r="J959" s="6" t="s">
        <v>57</v>
      </c>
      <c r="K959" s="6" t="s">
        <v>63</v>
      </c>
      <c r="L959" s="6" t="s">
        <v>64</v>
      </c>
      <c r="M959" s="27" t="s">
        <v>5769</v>
      </c>
      <c r="N959" s="27" t="s">
        <v>5770</v>
      </c>
      <c r="O959" s="6" t="s">
        <v>2693</v>
      </c>
      <c r="P959" s="28"/>
      <c r="Q959" s="6" t="s">
        <v>67</v>
      </c>
      <c r="R959" s="6" t="s">
        <v>68</v>
      </c>
      <c r="S959" s="28"/>
      <c r="T959" s="6" t="s">
        <v>5531</v>
      </c>
      <c r="U959" s="7" t="n">
        <v>0</v>
      </c>
      <c r="V959" s="7" t="n">
        <v>1</v>
      </c>
      <c r="W959" s="28"/>
      <c r="X959" s="8" t="s">
        <v>5771</v>
      </c>
      <c r="Y959" s="8" t="s">
        <v>5637</v>
      </c>
      <c r="Z959" s="8" t="s">
        <v>4097</v>
      </c>
      <c r="AA959" s="7" t="n">
        <v>338</v>
      </c>
      <c r="AB959" s="7" t="n">
        <v>318</v>
      </c>
      <c r="AC959" s="7" t="n">
        <v>426</v>
      </c>
      <c r="AD959" s="7" t="n">
        <v>6</v>
      </c>
      <c r="AE959" s="7" t="n">
        <v>6</v>
      </c>
      <c r="AF959" s="7" t="n">
        <v>26</v>
      </c>
      <c r="AG959" s="7" t="n">
        <v>30</v>
      </c>
      <c r="AH959" s="7" t="n">
        <v>5</v>
      </c>
      <c r="AI959" s="7" t="n">
        <v>5</v>
      </c>
      <c r="AJ959" s="7" t="n">
        <v>1</v>
      </c>
      <c r="AK959" s="7" t="n">
        <v>3</v>
      </c>
      <c r="AL959" s="7" t="n">
        <v>7</v>
      </c>
      <c r="AM959" s="7" t="n">
        <v>10</v>
      </c>
      <c r="AN959" s="7" t="n">
        <v>3</v>
      </c>
      <c r="AO959" s="7" t="n">
        <v>3</v>
      </c>
      <c r="AP959" s="7" t="n">
        <v>11</v>
      </c>
      <c r="AQ959" s="7" t="n">
        <v>12</v>
      </c>
      <c r="AR959" s="6" t="s">
        <v>63</v>
      </c>
      <c r="AS959" s="6" t="s">
        <v>63</v>
      </c>
      <c r="AT959" s="28"/>
      <c r="AU959" s="9" t="str">
        <f aca="false">HYPERLINK("https://creighton-primo.hosted.exlibrisgroup.com/primo-explore/search?tab=default_tab&amp;search_scope=EVERYTHING&amp;vid=01CRU&amp;lang=en_US&amp;offset=0&amp;query=any,contains,991001638429702656","Catalog Record")</f>
        <v>Catalog Record</v>
      </c>
      <c r="AV959" s="9" t="str">
        <f aca="false">HYPERLINK("http://www.worldcat.org/oclc/435984","WorldCat Record")</f>
        <v>WorldCat Record</v>
      </c>
      <c r="AW959" s="6" t="s">
        <v>5772</v>
      </c>
      <c r="AX959" s="6" t="s">
        <v>5773</v>
      </c>
      <c r="AY959" s="6" t="s">
        <v>5774</v>
      </c>
      <c r="AZ959" s="6" t="s">
        <v>5774</v>
      </c>
      <c r="BA959" s="6" t="s">
        <v>5775</v>
      </c>
      <c r="BB959" s="28"/>
      <c r="BC959" s="6" t="s">
        <v>5776</v>
      </c>
      <c r="BE959" s="15" t="s">
        <v>2145</v>
      </c>
      <c r="BF959" s="6" t="s">
        <v>5777</v>
      </c>
    </row>
    <row r="960" customFormat="false" ht="163" hidden="false" customHeight="false" outlineLevel="0" collapsed="false">
      <c r="A960" s="26" t="s">
        <v>63</v>
      </c>
      <c r="B960" s="27" t="s">
        <v>2129</v>
      </c>
      <c r="C960" s="27" t="s">
        <v>2130</v>
      </c>
      <c r="D960" s="27" t="s">
        <v>5778</v>
      </c>
      <c r="E960" s="27" t="s">
        <v>5779</v>
      </c>
      <c r="F960" s="27" t="s">
        <v>5780</v>
      </c>
      <c r="G960" s="28"/>
      <c r="H960" s="6" t="s">
        <v>63</v>
      </c>
      <c r="I960" s="6" t="s">
        <v>62</v>
      </c>
      <c r="J960" s="6" t="s">
        <v>63</v>
      </c>
      <c r="K960" s="6" t="s">
        <v>63</v>
      </c>
      <c r="L960" s="6" t="s">
        <v>64</v>
      </c>
      <c r="M960" s="27" t="s">
        <v>3430</v>
      </c>
      <c r="N960" s="27" t="s">
        <v>5781</v>
      </c>
      <c r="O960" s="6" t="s">
        <v>3301</v>
      </c>
      <c r="P960" s="28"/>
      <c r="Q960" s="6" t="s">
        <v>67</v>
      </c>
      <c r="R960" s="6" t="s">
        <v>500</v>
      </c>
      <c r="S960" s="28"/>
      <c r="T960" s="6" t="s">
        <v>5531</v>
      </c>
      <c r="U960" s="7" t="n">
        <v>3</v>
      </c>
      <c r="V960" s="7" t="n">
        <v>3</v>
      </c>
      <c r="W960" s="8" t="s">
        <v>5782</v>
      </c>
      <c r="X960" s="8" t="s">
        <v>5782</v>
      </c>
      <c r="Y960" s="8" t="s">
        <v>5783</v>
      </c>
      <c r="Z960" s="8" t="s">
        <v>5783</v>
      </c>
      <c r="AA960" s="7" t="n">
        <v>597</v>
      </c>
      <c r="AB960" s="7" t="n">
        <v>505</v>
      </c>
      <c r="AC960" s="7" t="n">
        <v>532</v>
      </c>
      <c r="AD960" s="7" t="n">
        <v>4</v>
      </c>
      <c r="AE960" s="7" t="n">
        <v>4</v>
      </c>
      <c r="AF960" s="7" t="n">
        <v>29</v>
      </c>
      <c r="AG960" s="7" t="n">
        <v>30</v>
      </c>
      <c r="AH960" s="7" t="n">
        <v>12</v>
      </c>
      <c r="AI960" s="7" t="n">
        <v>13</v>
      </c>
      <c r="AJ960" s="7" t="n">
        <v>7</v>
      </c>
      <c r="AK960" s="7" t="n">
        <v>8</v>
      </c>
      <c r="AL960" s="7" t="n">
        <v>11</v>
      </c>
      <c r="AM960" s="7" t="n">
        <v>11</v>
      </c>
      <c r="AN960" s="7" t="n">
        <v>3</v>
      </c>
      <c r="AO960" s="7" t="n">
        <v>3</v>
      </c>
      <c r="AP960" s="7" t="n">
        <v>2</v>
      </c>
      <c r="AQ960" s="7" t="n">
        <v>2</v>
      </c>
      <c r="AR960" s="6" t="s">
        <v>63</v>
      </c>
      <c r="AS960" s="6" t="s">
        <v>57</v>
      </c>
      <c r="AT960" s="9" t="str">
        <f aca="false">HYPERLINK("http://catalog.hathitrust.org/Record/000271171","HathiTrust Record")</f>
        <v>HathiTrust Record</v>
      </c>
      <c r="AU960" s="9" t="str">
        <f aca="false">HYPERLINK("https://creighton-primo.hosted.exlibrisgroup.com/primo-explore/search?tab=default_tab&amp;search_scope=EVERYTHING&amp;vid=01CRU&amp;lang=en_US&amp;offset=0&amp;query=any,contains,991005223199702656","Catalog Record")</f>
        <v>Catalog Record</v>
      </c>
      <c r="AV960" s="9" t="str">
        <f aca="false">HYPERLINK("http://www.worldcat.org/oclc/8249544","WorldCat Record")</f>
        <v>WorldCat Record</v>
      </c>
      <c r="AW960" s="6" t="s">
        <v>5784</v>
      </c>
      <c r="AX960" s="6" t="s">
        <v>5785</v>
      </c>
      <c r="AY960" s="6" t="s">
        <v>5786</v>
      </c>
      <c r="AZ960" s="6" t="s">
        <v>5786</v>
      </c>
      <c r="BA960" s="6" t="s">
        <v>5787</v>
      </c>
      <c r="BB960" s="6" t="s">
        <v>5788</v>
      </c>
      <c r="BC960" s="6" t="s">
        <v>5789</v>
      </c>
      <c r="BE960" s="15" t="s">
        <v>2145</v>
      </c>
      <c r="BF960" s="6" t="s">
        <v>5790</v>
      </c>
    </row>
    <row r="961" customFormat="false" ht="197.5" hidden="false" customHeight="false" outlineLevel="0" collapsed="false">
      <c r="A961" s="26" t="s">
        <v>63</v>
      </c>
      <c r="B961" s="27" t="s">
        <v>2129</v>
      </c>
      <c r="C961" s="27" t="s">
        <v>2130</v>
      </c>
      <c r="D961" s="27" t="s">
        <v>5791</v>
      </c>
      <c r="E961" s="27" t="s">
        <v>5792</v>
      </c>
      <c r="F961" s="27" t="s">
        <v>5793</v>
      </c>
      <c r="G961" s="28"/>
      <c r="H961" s="6" t="s">
        <v>63</v>
      </c>
      <c r="I961" s="6" t="s">
        <v>62</v>
      </c>
      <c r="J961" s="6" t="s">
        <v>57</v>
      </c>
      <c r="K961" s="6" t="s">
        <v>63</v>
      </c>
      <c r="L961" s="6" t="s">
        <v>64</v>
      </c>
      <c r="M961" s="27" t="s">
        <v>3430</v>
      </c>
      <c r="N961" s="27" t="s">
        <v>5794</v>
      </c>
      <c r="O961" s="6" t="s">
        <v>2975</v>
      </c>
      <c r="P961" s="28"/>
      <c r="Q961" s="6" t="s">
        <v>67</v>
      </c>
      <c r="R961" s="6" t="s">
        <v>500</v>
      </c>
      <c r="S961" s="28"/>
      <c r="T961" s="6" t="s">
        <v>5531</v>
      </c>
      <c r="U961" s="7" t="n">
        <v>4</v>
      </c>
      <c r="V961" s="7" t="n">
        <v>4</v>
      </c>
      <c r="W961" s="8" t="s">
        <v>5795</v>
      </c>
      <c r="X961" s="8" t="s">
        <v>5795</v>
      </c>
      <c r="Y961" s="8" t="s">
        <v>5783</v>
      </c>
      <c r="Z961" s="8" t="s">
        <v>2383</v>
      </c>
      <c r="AA961" s="7" t="n">
        <v>848</v>
      </c>
      <c r="AB961" s="7" t="n">
        <v>732</v>
      </c>
      <c r="AC961" s="7" t="n">
        <v>954</v>
      </c>
      <c r="AD961" s="7" t="n">
        <v>6</v>
      </c>
      <c r="AE961" s="7" t="n">
        <v>6</v>
      </c>
      <c r="AF961" s="7" t="n">
        <v>47</v>
      </c>
      <c r="AG961" s="7" t="n">
        <v>54</v>
      </c>
      <c r="AH961" s="7" t="n">
        <v>17</v>
      </c>
      <c r="AI961" s="7" t="n">
        <v>22</v>
      </c>
      <c r="AJ961" s="7" t="n">
        <v>10</v>
      </c>
      <c r="AK961" s="7" t="n">
        <v>11</v>
      </c>
      <c r="AL961" s="7" t="n">
        <v>21</v>
      </c>
      <c r="AM961" s="7" t="n">
        <v>23</v>
      </c>
      <c r="AN961" s="7" t="n">
        <v>4</v>
      </c>
      <c r="AO961" s="7" t="n">
        <v>4</v>
      </c>
      <c r="AP961" s="7" t="n">
        <v>5</v>
      </c>
      <c r="AQ961" s="7" t="n">
        <v>5</v>
      </c>
      <c r="AR961" s="6" t="s">
        <v>63</v>
      </c>
      <c r="AS961" s="6" t="s">
        <v>57</v>
      </c>
      <c r="AT961" s="9" t="str">
        <f aca="false">HYPERLINK("http://catalog.hathitrust.org/Record/001387672","HathiTrust Record")</f>
        <v>HathiTrust Record</v>
      </c>
      <c r="AU961" s="9" t="str">
        <f aca="false">HYPERLINK("https://creighton-primo.hosted.exlibrisgroup.com/primo-explore/search?tab=default_tab&amp;search_scope=EVERYTHING&amp;vid=01CRU&amp;lang=en_US&amp;offset=0&amp;query=any,contains,991001812779702656","Catalog Record")</f>
        <v>Catalog Record</v>
      </c>
      <c r="AV961" s="9" t="str">
        <f aca="false">HYPERLINK("http://www.worldcat.org/oclc/21425","WorldCat Record")</f>
        <v>WorldCat Record</v>
      </c>
      <c r="AW961" s="6" t="s">
        <v>5796</v>
      </c>
      <c r="AX961" s="6" t="s">
        <v>5797</v>
      </c>
      <c r="AY961" s="6" t="s">
        <v>5798</v>
      </c>
      <c r="AZ961" s="6" t="s">
        <v>5798</v>
      </c>
      <c r="BA961" s="6" t="s">
        <v>5799</v>
      </c>
      <c r="BB961" s="28"/>
      <c r="BC961" s="6" t="s">
        <v>5800</v>
      </c>
      <c r="BE961" s="15" t="s">
        <v>2145</v>
      </c>
      <c r="BF961" s="6" t="s">
        <v>5801</v>
      </c>
    </row>
    <row r="962" customFormat="false" ht="117" hidden="false" customHeight="false" outlineLevel="0" collapsed="false">
      <c r="A962" s="26" t="s">
        <v>63</v>
      </c>
      <c r="B962" s="27" t="s">
        <v>2129</v>
      </c>
      <c r="C962" s="27" t="s">
        <v>2130</v>
      </c>
      <c r="D962" s="27" t="s">
        <v>5802</v>
      </c>
      <c r="E962" s="27" t="s">
        <v>5803</v>
      </c>
      <c r="F962" s="27" t="s">
        <v>5804</v>
      </c>
      <c r="G962" s="28"/>
      <c r="H962" s="6" t="s">
        <v>63</v>
      </c>
      <c r="I962" s="6" t="s">
        <v>62</v>
      </c>
      <c r="J962" s="6" t="s">
        <v>63</v>
      </c>
      <c r="K962" s="6" t="s">
        <v>63</v>
      </c>
      <c r="L962" s="6" t="s">
        <v>64</v>
      </c>
      <c r="M962" s="27" t="s">
        <v>5805</v>
      </c>
      <c r="N962" s="27" t="s">
        <v>5806</v>
      </c>
      <c r="O962" s="6" t="s">
        <v>2411</v>
      </c>
      <c r="P962" s="28"/>
      <c r="Q962" s="6" t="s">
        <v>67</v>
      </c>
      <c r="R962" s="6" t="s">
        <v>384</v>
      </c>
      <c r="S962" s="28"/>
      <c r="T962" s="6" t="s">
        <v>5531</v>
      </c>
      <c r="U962" s="7" t="n">
        <v>4</v>
      </c>
      <c r="V962" s="7" t="n">
        <v>4</v>
      </c>
      <c r="W962" s="8" t="s">
        <v>5807</v>
      </c>
      <c r="X962" s="8" t="s">
        <v>5807</v>
      </c>
      <c r="Y962" s="8" t="s">
        <v>5808</v>
      </c>
      <c r="Z962" s="8" t="s">
        <v>5808</v>
      </c>
      <c r="AA962" s="7" t="n">
        <v>287</v>
      </c>
      <c r="AB962" s="7" t="n">
        <v>205</v>
      </c>
      <c r="AC962" s="7" t="n">
        <v>211</v>
      </c>
      <c r="AD962" s="7" t="n">
        <v>3</v>
      </c>
      <c r="AE962" s="7" t="n">
        <v>3</v>
      </c>
      <c r="AF962" s="7" t="n">
        <v>11</v>
      </c>
      <c r="AG962" s="7" t="n">
        <v>11</v>
      </c>
      <c r="AH962" s="7" t="n">
        <v>2</v>
      </c>
      <c r="AI962" s="7" t="n">
        <v>2</v>
      </c>
      <c r="AJ962" s="7" t="n">
        <v>3</v>
      </c>
      <c r="AK962" s="7" t="n">
        <v>3</v>
      </c>
      <c r="AL962" s="7" t="n">
        <v>7</v>
      </c>
      <c r="AM962" s="7" t="n">
        <v>7</v>
      </c>
      <c r="AN962" s="7" t="n">
        <v>2</v>
      </c>
      <c r="AO962" s="7" t="n">
        <v>2</v>
      </c>
      <c r="AP962" s="7" t="n">
        <v>0</v>
      </c>
      <c r="AQ962" s="7" t="n">
        <v>0</v>
      </c>
      <c r="AR962" s="6" t="s">
        <v>63</v>
      </c>
      <c r="AS962" s="6" t="s">
        <v>57</v>
      </c>
      <c r="AT962" s="9" t="str">
        <f aca="false">HYPERLINK("http://catalog.hathitrust.org/Record/001295826","HathiTrust Record")</f>
        <v>HathiTrust Record</v>
      </c>
      <c r="AU962" s="9" t="str">
        <f aca="false">HYPERLINK("https://creighton-primo.hosted.exlibrisgroup.com/primo-explore/search?tab=default_tab&amp;search_scope=EVERYTHING&amp;vid=01CRU&amp;lang=en_US&amp;offset=0&amp;query=any,contains,991001402869702656","Catalog Record")</f>
        <v>Catalog Record</v>
      </c>
      <c r="AV962" s="9" t="str">
        <f aca="false">HYPERLINK("http://www.worldcat.org/oclc/18833514","WorldCat Record")</f>
        <v>WorldCat Record</v>
      </c>
      <c r="AW962" s="6" t="s">
        <v>5809</v>
      </c>
      <c r="AX962" s="6" t="s">
        <v>5810</v>
      </c>
      <c r="AY962" s="6" t="s">
        <v>5811</v>
      </c>
      <c r="AZ962" s="6" t="s">
        <v>5811</v>
      </c>
      <c r="BA962" s="6" t="s">
        <v>5812</v>
      </c>
      <c r="BB962" s="6" t="s">
        <v>5813</v>
      </c>
      <c r="BC962" s="6" t="s">
        <v>5814</v>
      </c>
      <c r="BE962" s="15" t="s">
        <v>2145</v>
      </c>
      <c r="BF962" s="6" t="s">
        <v>5815</v>
      </c>
    </row>
    <row r="963" customFormat="false" ht="105.5" hidden="false" customHeight="false" outlineLevel="0" collapsed="false">
      <c r="A963" s="26" t="s">
        <v>57</v>
      </c>
      <c r="B963" s="27" t="s">
        <v>2129</v>
      </c>
      <c r="C963" s="27" t="s">
        <v>2130</v>
      </c>
      <c r="D963" s="27" t="s">
        <v>5816</v>
      </c>
      <c r="E963" s="27" t="s">
        <v>5817</v>
      </c>
      <c r="F963" s="27" t="s">
        <v>5818</v>
      </c>
      <c r="G963" s="28"/>
      <c r="H963" s="6" t="s">
        <v>63</v>
      </c>
      <c r="I963" s="6" t="s">
        <v>62</v>
      </c>
      <c r="J963" s="6" t="s">
        <v>63</v>
      </c>
      <c r="K963" s="6" t="s">
        <v>63</v>
      </c>
      <c r="L963" s="6" t="s">
        <v>64</v>
      </c>
      <c r="M963" s="28"/>
      <c r="N963" s="27" t="s">
        <v>5819</v>
      </c>
      <c r="O963" s="6" t="s">
        <v>2221</v>
      </c>
      <c r="P963" s="28"/>
      <c r="Q963" s="6" t="s">
        <v>67</v>
      </c>
      <c r="R963" s="6" t="s">
        <v>384</v>
      </c>
      <c r="S963" s="27" t="s">
        <v>5820</v>
      </c>
      <c r="T963" s="6" t="s">
        <v>5531</v>
      </c>
      <c r="U963" s="7" t="n">
        <v>1</v>
      </c>
      <c r="V963" s="7" t="n">
        <v>1</v>
      </c>
      <c r="W963" s="8" t="s">
        <v>5821</v>
      </c>
      <c r="X963" s="8" t="s">
        <v>5821</v>
      </c>
      <c r="Y963" s="8" t="s">
        <v>4528</v>
      </c>
      <c r="Z963" s="8" t="s">
        <v>4528</v>
      </c>
      <c r="AA963" s="7" t="n">
        <v>392</v>
      </c>
      <c r="AB963" s="7" t="n">
        <v>264</v>
      </c>
      <c r="AC963" s="7" t="n">
        <v>271</v>
      </c>
      <c r="AD963" s="7" t="n">
        <v>2</v>
      </c>
      <c r="AE963" s="7" t="n">
        <v>2</v>
      </c>
      <c r="AF963" s="7" t="n">
        <v>16</v>
      </c>
      <c r="AG963" s="7" t="n">
        <v>16</v>
      </c>
      <c r="AH963" s="7" t="n">
        <v>4</v>
      </c>
      <c r="AI963" s="7" t="n">
        <v>4</v>
      </c>
      <c r="AJ963" s="7" t="n">
        <v>5</v>
      </c>
      <c r="AK963" s="7" t="n">
        <v>5</v>
      </c>
      <c r="AL963" s="7" t="n">
        <v>12</v>
      </c>
      <c r="AM963" s="7" t="n">
        <v>12</v>
      </c>
      <c r="AN963" s="7" t="n">
        <v>1</v>
      </c>
      <c r="AO963" s="7" t="n">
        <v>1</v>
      </c>
      <c r="AP963" s="7" t="n">
        <v>0</v>
      </c>
      <c r="AQ963" s="7" t="n">
        <v>0</v>
      </c>
      <c r="AR963" s="6" t="s">
        <v>63</v>
      </c>
      <c r="AS963" s="6" t="s">
        <v>57</v>
      </c>
      <c r="AT963" s="9" t="str">
        <f aca="false">HYPERLINK("http://catalog.hathitrust.org/Record/001105270","HathiTrust Record")</f>
        <v>HathiTrust Record</v>
      </c>
      <c r="AU963" s="9" t="str">
        <f aca="false">HYPERLINK("https://creighton-primo.hosted.exlibrisgroup.com/primo-explore/search?tab=default_tab&amp;search_scope=EVERYTHING&amp;vid=01CRU&amp;lang=en_US&amp;offset=0&amp;query=any,contains,991001259459702656","Catalog Record")</f>
        <v>Catalog Record</v>
      </c>
      <c r="AV963" s="9" t="str">
        <f aca="false">HYPERLINK("http://www.worldcat.org/oclc/17765049","WorldCat Record")</f>
        <v>WorldCat Record</v>
      </c>
      <c r="AW963" s="6" t="s">
        <v>5822</v>
      </c>
      <c r="AX963" s="6" t="s">
        <v>5823</v>
      </c>
      <c r="AY963" s="6" t="s">
        <v>5824</v>
      </c>
      <c r="AZ963" s="6" t="s">
        <v>5824</v>
      </c>
      <c r="BA963" s="6" t="s">
        <v>5825</v>
      </c>
      <c r="BB963" s="6" t="s">
        <v>5826</v>
      </c>
      <c r="BC963" s="6" t="s">
        <v>5827</v>
      </c>
      <c r="BE963" s="15" t="s">
        <v>2145</v>
      </c>
      <c r="BF963" s="6" t="s">
        <v>5828</v>
      </c>
    </row>
    <row r="964" customFormat="false" ht="105.5" hidden="false" customHeight="false" outlineLevel="0" collapsed="false">
      <c r="A964" s="26" t="s">
        <v>63</v>
      </c>
      <c r="B964" s="27" t="s">
        <v>2129</v>
      </c>
      <c r="C964" s="27" t="s">
        <v>2130</v>
      </c>
      <c r="D964" s="27" t="s">
        <v>5829</v>
      </c>
      <c r="E964" s="27" t="s">
        <v>5830</v>
      </c>
      <c r="F964" s="27" t="s">
        <v>5831</v>
      </c>
      <c r="G964" s="28"/>
      <c r="H964" s="6" t="s">
        <v>63</v>
      </c>
      <c r="I964" s="6" t="s">
        <v>62</v>
      </c>
      <c r="J964" s="6" t="s">
        <v>63</v>
      </c>
      <c r="K964" s="6" t="s">
        <v>63</v>
      </c>
      <c r="L964" s="6" t="s">
        <v>64</v>
      </c>
      <c r="M964" s="27" t="s">
        <v>5832</v>
      </c>
      <c r="N964" s="27" t="s">
        <v>5833</v>
      </c>
      <c r="O964" s="6" t="s">
        <v>2623</v>
      </c>
      <c r="P964" s="28"/>
      <c r="Q964" s="6" t="s">
        <v>67</v>
      </c>
      <c r="R964" s="6" t="s">
        <v>384</v>
      </c>
      <c r="S964" s="28"/>
      <c r="T964" s="6" t="s">
        <v>5531</v>
      </c>
      <c r="U964" s="7" t="n">
        <v>3</v>
      </c>
      <c r="V964" s="7" t="n">
        <v>3</v>
      </c>
      <c r="W964" s="8" t="s">
        <v>5834</v>
      </c>
      <c r="X964" s="8" t="s">
        <v>5834</v>
      </c>
      <c r="Y964" s="8" t="s">
        <v>5783</v>
      </c>
      <c r="Z964" s="8" t="s">
        <v>5783</v>
      </c>
      <c r="AA964" s="7" t="n">
        <v>526</v>
      </c>
      <c r="AB964" s="7" t="n">
        <v>369</v>
      </c>
      <c r="AC964" s="7" t="n">
        <v>375</v>
      </c>
      <c r="AD964" s="7" t="n">
        <v>3</v>
      </c>
      <c r="AE964" s="7" t="n">
        <v>3</v>
      </c>
      <c r="AF964" s="7" t="n">
        <v>27</v>
      </c>
      <c r="AG964" s="7" t="n">
        <v>27</v>
      </c>
      <c r="AH964" s="7" t="n">
        <v>13</v>
      </c>
      <c r="AI964" s="7" t="n">
        <v>13</v>
      </c>
      <c r="AJ964" s="7" t="n">
        <v>6</v>
      </c>
      <c r="AK964" s="7" t="n">
        <v>6</v>
      </c>
      <c r="AL964" s="7" t="n">
        <v>16</v>
      </c>
      <c r="AM964" s="7" t="n">
        <v>16</v>
      </c>
      <c r="AN964" s="7" t="n">
        <v>2</v>
      </c>
      <c r="AO964" s="7" t="n">
        <v>2</v>
      </c>
      <c r="AP964" s="7" t="n">
        <v>0</v>
      </c>
      <c r="AQ964" s="7" t="n">
        <v>0</v>
      </c>
      <c r="AR964" s="6" t="s">
        <v>63</v>
      </c>
      <c r="AS964" s="6" t="s">
        <v>63</v>
      </c>
      <c r="AT964" s="28"/>
      <c r="AU964" s="9" t="str">
        <f aca="false">HYPERLINK("https://creighton-primo.hosted.exlibrisgroup.com/primo-explore/search?tab=default_tab&amp;search_scope=EVERYTHING&amp;vid=01CRU&amp;lang=en_US&amp;offset=0&amp;query=any,contains,991004596149702656","Catalog Record")</f>
        <v>Catalog Record</v>
      </c>
      <c r="AV964" s="9" t="str">
        <f aca="false">HYPERLINK("http://www.worldcat.org/oclc/4137417","WorldCat Record")</f>
        <v>WorldCat Record</v>
      </c>
      <c r="AW964" s="6" t="s">
        <v>5835</v>
      </c>
      <c r="AX964" s="6" t="s">
        <v>5836</v>
      </c>
      <c r="AY964" s="6" t="s">
        <v>5837</v>
      </c>
      <c r="AZ964" s="6" t="s">
        <v>5837</v>
      </c>
      <c r="BA964" s="6" t="s">
        <v>5838</v>
      </c>
      <c r="BB964" s="6" t="s">
        <v>5839</v>
      </c>
      <c r="BC964" s="6" t="s">
        <v>5840</v>
      </c>
      <c r="BE964" s="15" t="s">
        <v>2145</v>
      </c>
      <c r="BF964" s="6" t="s">
        <v>5841</v>
      </c>
    </row>
    <row r="965" customFormat="false" ht="82.5" hidden="false" customHeight="false" outlineLevel="0" collapsed="false">
      <c r="A965" s="26" t="s">
        <v>63</v>
      </c>
      <c r="B965" s="27" t="s">
        <v>2129</v>
      </c>
      <c r="C965" s="27" t="s">
        <v>2130</v>
      </c>
      <c r="D965" s="27" t="s">
        <v>5842</v>
      </c>
      <c r="E965" s="27" t="s">
        <v>5843</v>
      </c>
      <c r="F965" s="27" t="s">
        <v>5844</v>
      </c>
      <c r="G965" s="28"/>
      <c r="H965" s="6" t="s">
        <v>63</v>
      </c>
      <c r="I965" s="6" t="s">
        <v>62</v>
      </c>
      <c r="J965" s="6" t="s">
        <v>63</v>
      </c>
      <c r="K965" s="6" t="s">
        <v>63</v>
      </c>
      <c r="L965" s="6" t="s">
        <v>64</v>
      </c>
      <c r="M965" s="27" t="s">
        <v>5845</v>
      </c>
      <c r="N965" s="27" t="s">
        <v>5846</v>
      </c>
      <c r="O965" s="6" t="s">
        <v>2811</v>
      </c>
      <c r="P965" s="28"/>
      <c r="Q965" s="6" t="s">
        <v>67</v>
      </c>
      <c r="R965" s="6" t="s">
        <v>68</v>
      </c>
      <c r="S965" s="28"/>
      <c r="T965" s="6" t="s">
        <v>5531</v>
      </c>
      <c r="U965" s="7" t="n">
        <v>4</v>
      </c>
      <c r="V965" s="7" t="n">
        <v>4</v>
      </c>
      <c r="W965" s="8" t="s">
        <v>5847</v>
      </c>
      <c r="X965" s="8" t="s">
        <v>5847</v>
      </c>
      <c r="Y965" s="8" t="s">
        <v>5783</v>
      </c>
      <c r="Z965" s="8" t="s">
        <v>5783</v>
      </c>
      <c r="AA965" s="7" t="n">
        <v>312</v>
      </c>
      <c r="AB965" s="7" t="n">
        <v>216</v>
      </c>
      <c r="AC965" s="7" t="n">
        <v>218</v>
      </c>
      <c r="AD965" s="7" t="n">
        <v>3</v>
      </c>
      <c r="AE965" s="7" t="n">
        <v>3</v>
      </c>
      <c r="AF965" s="7" t="n">
        <v>14</v>
      </c>
      <c r="AG965" s="7" t="n">
        <v>14</v>
      </c>
      <c r="AH965" s="7" t="n">
        <v>3</v>
      </c>
      <c r="AI965" s="7" t="n">
        <v>3</v>
      </c>
      <c r="AJ965" s="7" t="n">
        <v>4</v>
      </c>
      <c r="AK965" s="7" t="n">
        <v>4</v>
      </c>
      <c r="AL965" s="7" t="n">
        <v>10</v>
      </c>
      <c r="AM965" s="7" t="n">
        <v>10</v>
      </c>
      <c r="AN965" s="7" t="n">
        <v>2</v>
      </c>
      <c r="AO965" s="7" t="n">
        <v>2</v>
      </c>
      <c r="AP965" s="7" t="n">
        <v>0</v>
      </c>
      <c r="AQ965" s="7" t="n">
        <v>0</v>
      </c>
      <c r="AR965" s="6" t="s">
        <v>63</v>
      </c>
      <c r="AS965" s="6" t="s">
        <v>57</v>
      </c>
      <c r="AT965" s="9" t="str">
        <f aca="false">HYPERLINK("http://catalog.hathitrust.org/Record/001387719","HathiTrust Record")</f>
        <v>HathiTrust Record</v>
      </c>
      <c r="AU965" s="9" t="str">
        <f aca="false">HYPERLINK("https://creighton-primo.hosted.exlibrisgroup.com/primo-explore/search?tab=default_tab&amp;search_scope=EVERYTHING&amp;vid=01CRU&amp;lang=en_US&amp;offset=0&amp;query=any,contains,991000678119702656","Catalog Record")</f>
        <v>Catalog Record</v>
      </c>
      <c r="AV965" s="9" t="str">
        <f aca="false">HYPERLINK("http://www.worldcat.org/oclc/120593","WorldCat Record")</f>
        <v>WorldCat Record</v>
      </c>
      <c r="AW965" s="6" t="s">
        <v>5848</v>
      </c>
      <c r="AX965" s="6" t="s">
        <v>5849</v>
      </c>
      <c r="AY965" s="6" t="s">
        <v>5850</v>
      </c>
      <c r="AZ965" s="6" t="s">
        <v>5850</v>
      </c>
      <c r="BA965" s="6" t="s">
        <v>5851</v>
      </c>
      <c r="BB965" s="28"/>
      <c r="BC965" s="6" t="s">
        <v>5852</v>
      </c>
      <c r="BE965" s="15" t="s">
        <v>2145</v>
      </c>
      <c r="BF965" s="6" t="s">
        <v>5853</v>
      </c>
    </row>
    <row r="966" customFormat="false" ht="122.6" hidden="false" customHeight="false" outlineLevel="0" collapsed="false">
      <c r="A966" s="26" t="s">
        <v>63</v>
      </c>
      <c r="B966" s="27" t="s">
        <v>2129</v>
      </c>
      <c r="C966" s="27" t="s">
        <v>2130</v>
      </c>
      <c r="D966" s="27" t="s">
        <v>5854</v>
      </c>
      <c r="E966" s="27" t="s">
        <v>5855</v>
      </c>
      <c r="F966" s="27" t="s">
        <v>5856</v>
      </c>
      <c r="G966" s="28"/>
      <c r="H966" s="6" t="s">
        <v>63</v>
      </c>
      <c r="I966" s="6" t="s">
        <v>62</v>
      </c>
      <c r="J966" s="6" t="s">
        <v>63</v>
      </c>
      <c r="K966" s="6" t="s">
        <v>63</v>
      </c>
      <c r="L966" s="6" t="s">
        <v>64</v>
      </c>
      <c r="M966" s="27" t="s">
        <v>5857</v>
      </c>
      <c r="N966" s="27" t="s">
        <v>5858</v>
      </c>
      <c r="O966" s="6" t="s">
        <v>2411</v>
      </c>
      <c r="P966" s="28"/>
      <c r="Q966" s="6" t="s">
        <v>67</v>
      </c>
      <c r="R966" s="6" t="s">
        <v>384</v>
      </c>
      <c r="S966" s="28"/>
      <c r="T966" s="6" t="s">
        <v>5531</v>
      </c>
      <c r="U966" s="7" t="n">
        <v>1</v>
      </c>
      <c r="V966" s="7" t="n">
        <v>1</v>
      </c>
      <c r="W966" s="8" t="s">
        <v>5859</v>
      </c>
      <c r="X966" s="8" t="s">
        <v>5859</v>
      </c>
      <c r="Y966" s="8" t="s">
        <v>5859</v>
      </c>
      <c r="Z966" s="8" t="s">
        <v>5859</v>
      </c>
      <c r="AA966" s="7" t="n">
        <v>528</v>
      </c>
      <c r="AB966" s="7" t="n">
        <v>373</v>
      </c>
      <c r="AC966" s="7" t="n">
        <v>374</v>
      </c>
      <c r="AD966" s="7" t="n">
        <v>2</v>
      </c>
      <c r="AE966" s="7" t="n">
        <v>2</v>
      </c>
      <c r="AF966" s="7" t="n">
        <v>17</v>
      </c>
      <c r="AG966" s="7" t="n">
        <v>17</v>
      </c>
      <c r="AH966" s="7" t="n">
        <v>5</v>
      </c>
      <c r="AI966" s="7" t="n">
        <v>5</v>
      </c>
      <c r="AJ966" s="7" t="n">
        <v>5</v>
      </c>
      <c r="AK966" s="7" t="n">
        <v>5</v>
      </c>
      <c r="AL966" s="7" t="n">
        <v>12</v>
      </c>
      <c r="AM966" s="7" t="n">
        <v>12</v>
      </c>
      <c r="AN966" s="7" t="n">
        <v>1</v>
      </c>
      <c r="AO966" s="7" t="n">
        <v>1</v>
      </c>
      <c r="AP966" s="7" t="n">
        <v>0</v>
      </c>
      <c r="AQ966" s="7" t="n">
        <v>0</v>
      </c>
      <c r="AR966" s="6" t="s">
        <v>63</v>
      </c>
      <c r="AS966" s="6" t="s">
        <v>57</v>
      </c>
      <c r="AT966" s="9" t="str">
        <f aca="false">HYPERLINK("http://catalog.hathitrust.org/Record/001528369","HathiTrust Record")</f>
        <v>HathiTrust Record</v>
      </c>
      <c r="AU966" s="9" t="str">
        <f aca="false">HYPERLINK("https://creighton-primo.hosted.exlibrisgroup.com/primo-explore/search?tab=default_tab&amp;search_scope=EVERYTHING&amp;vid=01CRU&amp;lang=en_US&amp;offset=0&amp;query=any,contains,991005298809702656","Catalog Record")</f>
        <v>Catalog Record</v>
      </c>
      <c r="AV966" s="9" t="str">
        <f aca="false">HYPERLINK("http://www.worldcat.org/oclc/18948579","WorldCat Record")</f>
        <v>WorldCat Record</v>
      </c>
      <c r="AW966" s="6" t="s">
        <v>5860</v>
      </c>
      <c r="AX966" s="6" t="s">
        <v>5861</v>
      </c>
      <c r="AY966" s="6" t="s">
        <v>5862</v>
      </c>
      <c r="AZ966" s="6" t="s">
        <v>5862</v>
      </c>
      <c r="BA966" s="6" t="s">
        <v>5863</v>
      </c>
      <c r="BB966" s="6" t="s">
        <v>5864</v>
      </c>
      <c r="BC966" s="6" t="s">
        <v>5865</v>
      </c>
      <c r="BE966" s="15" t="s">
        <v>2145</v>
      </c>
      <c r="BF966" s="6" t="s">
        <v>5866</v>
      </c>
    </row>
    <row r="967" customFormat="false" ht="209" hidden="false" customHeight="false" outlineLevel="0" collapsed="false">
      <c r="A967" s="26" t="s">
        <v>63</v>
      </c>
      <c r="B967" s="27" t="s">
        <v>2129</v>
      </c>
      <c r="C967" s="27" t="s">
        <v>2130</v>
      </c>
      <c r="D967" s="27" t="s">
        <v>5867</v>
      </c>
      <c r="E967" s="27" t="s">
        <v>5868</v>
      </c>
      <c r="F967" s="27" t="s">
        <v>5869</v>
      </c>
      <c r="G967" s="28"/>
      <c r="H967" s="6" t="s">
        <v>63</v>
      </c>
      <c r="I967" s="6" t="s">
        <v>62</v>
      </c>
      <c r="J967" s="6" t="s">
        <v>63</v>
      </c>
      <c r="K967" s="6" t="s">
        <v>63</v>
      </c>
      <c r="L967" s="6" t="s">
        <v>64</v>
      </c>
      <c r="M967" s="27" t="s">
        <v>4565</v>
      </c>
      <c r="N967" s="27" t="s">
        <v>5870</v>
      </c>
      <c r="O967" s="6" t="s">
        <v>2893</v>
      </c>
      <c r="P967" s="28"/>
      <c r="Q967" s="6" t="s">
        <v>67</v>
      </c>
      <c r="R967" s="6" t="s">
        <v>401</v>
      </c>
      <c r="S967" s="28"/>
      <c r="T967" s="6" t="s">
        <v>5531</v>
      </c>
      <c r="U967" s="7" t="n">
        <v>2</v>
      </c>
      <c r="V967" s="7" t="n">
        <v>2</v>
      </c>
      <c r="W967" s="8" t="s">
        <v>5871</v>
      </c>
      <c r="X967" s="8" t="s">
        <v>5871</v>
      </c>
      <c r="Y967" s="8" t="s">
        <v>5783</v>
      </c>
      <c r="Z967" s="8" t="s">
        <v>5783</v>
      </c>
      <c r="AA967" s="7" t="n">
        <v>307</v>
      </c>
      <c r="AB967" s="7" t="n">
        <v>267</v>
      </c>
      <c r="AC967" s="7" t="n">
        <v>327</v>
      </c>
      <c r="AD967" s="7" t="n">
        <v>3</v>
      </c>
      <c r="AE967" s="7" t="n">
        <v>3</v>
      </c>
      <c r="AF967" s="7" t="n">
        <v>19</v>
      </c>
      <c r="AG967" s="7" t="n">
        <v>21</v>
      </c>
      <c r="AH967" s="7" t="n">
        <v>5</v>
      </c>
      <c r="AI967" s="7" t="n">
        <v>5</v>
      </c>
      <c r="AJ967" s="7" t="n">
        <v>6</v>
      </c>
      <c r="AK967" s="7" t="n">
        <v>7</v>
      </c>
      <c r="AL967" s="7" t="n">
        <v>13</v>
      </c>
      <c r="AM967" s="7" t="n">
        <v>14</v>
      </c>
      <c r="AN967" s="7" t="n">
        <v>2</v>
      </c>
      <c r="AO967" s="7" t="n">
        <v>2</v>
      </c>
      <c r="AP967" s="7" t="n">
        <v>0</v>
      </c>
      <c r="AQ967" s="7" t="n">
        <v>0</v>
      </c>
      <c r="AR967" s="6" t="s">
        <v>63</v>
      </c>
      <c r="AS967" s="6" t="s">
        <v>57</v>
      </c>
      <c r="AT967" s="9" t="str">
        <f aca="false">HYPERLINK("http://catalog.hathitrust.org/Record/000694500","HathiTrust Record")</f>
        <v>HathiTrust Record</v>
      </c>
      <c r="AU967" s="9" t="str">
        <f aca="false">HYPERLINK("https://creighton-primo.hosted.exlibrisgroup.com/primo-explore/search?tab=default_tab&amp;search_scope=EVERYTHING&amp;vid=01CRU&amp;lang=en_US&amp;offset=0&amp;query=any,contains,991004052479702656","Catalog Record")</f>
        <v>Catalog Record</v>
      </c>
      <c r="AV967" s="9" t="str">
        <f aca="false">HYPERLINK("http://www.worldcat.org/oclc/2214803","WorldCat Record")</f>
        <v>WorldCat Record</v>
      </c>
      <c r="AW967" s="6" t="s">
        <v>5872</v>
      </c>
      <c r="AX967" s="6" t="s">
        <v>5873</v>
      </c>
      <c r="AY967" s="6" t="s">
        <v>5874</v>
      </c>
      <c r="AZ967" s="6" t="s">
        <v>5874</v>
      </c>
      <c r="BA967" s="6" t="s">
        <v>5875</v>
      </c>
      <c r="BB967" s="6" t="s">
        <v>5876</v>
      </c>
      <c r="BC967" s="6" t="s">
        <v>5877</v>
      </c>
      <c r="BE967" s="15" t="s">
        <v>2145</v>
      </c>
      <c r="BF967" s="6" t="s">
        <v>5878</v>
      </c>
    </row>
    <row r="968" customFormat="false" ht="105.5" hidden="false" customHeight="false" outlineLevel="0" collapsed="false">
      <c r="A968" s="26" t="s">
        <v>63</v>
      </c>
      <c r="B968" s="27" t="s">
        <v>2129</v>
      </c>
      <c r="C968" s="27" t="s">
        <v>2130</v>
      </c>
      <c r="D968" s="27" t="s">
        <v>5879</v>
      </c>
      <c r="E968" s="27" t="s">
        <v>5880</v>
      </c>
      <c r="F968" s="27" t="s">
        <v>5881</v>
      </c>
      <c r="G968" s="28"/>
      <c r="H968" s="6" t="s">
        <v>63</v>
      </c>
      <c r="I968" s="6" t="s">
        <v>62</v>
      </c>
      <c r="J968" s="6" t="s">
        <v>63</v>
      </c>
      <c r="K968" s="6" t="s">
        <v>63</v>
      </c>
      <c r="L968" s="6" t="s">
        <v>64</v>
      </c>
      <c r="M968" s="27" t="s">
        <v>5882</v>
      </c>
      <c r="N968" s="27" t="s">
        <v>5883</v>
      </c>
      <c r="O968" s="6" t="s">
        <v>3405</v>
      </c>
      <c r="P968" s="28"/>
      <c r="Q968" s="6" t="s">
        <v>67</v>
      </c>
      <c r="R968" s="6" t="s">
        <v>123</v>
      </c>
      <c r="S968" s="28"/>
      <c r="T968" s="6" t="s">
        <v>5531</v>
      </c>
      <c r="U968" s="7" t="n">
        <v>2</v>
      </c>
      <c r="V968" s="7" t="n">
        <v>2</v>
      </c>
      <c r="W968" s="8" t="s">
        <v>5884</v>
      </c>
      <c r="X968" s="8" t="s">
        <v>5884</v>
      </c>
      <c r="Y968" s="8" t="s">
        <v>5695</v>
      </c>
      <c r="Z968" s="8" t="s">
        <v>5695</v>
      </c>
      <c r="AA968" s="7" t="n">
        <v>190</v>
      </c>
      <c r="AB968" s="7" t="n">
        <v>168</v>
      </c>
      <c r="AC968" s="7" t="n">
        <v>626</v>
      </c>
      <c r="AD968" s="7" t="n">
        <v>2</v>
      </c>
      <c r="AE968" s="7" t="n">
        <v>4</v>
      </c>
      <c r="AF968" s="7" t="n">
        <v>18</v>
      </c>
      <c r="AG968" s="7" t="n">
        <v>41</v>
      </c>
      <c r="AH968" s="7" t="n">
        <v>4</v>
      </c>
      <c r="AI968" s="7" t="n">
        <v>17</v>
      </c>
      <c r="AJ968" s="7" t="n">
        <v>4</v>
      </c>
      <c r="AK968" s="7" t="n">
        <v>10</v>
      </c>
      <c r="AL968" s="7" t="n">
        <v>13</v>
      </c>
      <c r="AM968" s="7" t="n">
        <v>25</v>
      </c>
      <c r="AN968" s="7" t="n">
        <v>1</v>
      </c>
      <c r="AO968" s="7" t="n">
        <v>2</v>
      </c>
      <c r="AP968" s="7" t="n">
        <v>0</v>
      </c>
      <c r="AQ968" s="7" t="n">
        <v>0</v>
      </c>
      <c r="AR968" s="6" t="s">
        <v>57</v>
      </c>
      <c r="AS968" s="6" t="s">
        <v>63</v>
      </c>
      <c r="AT968" s="9" t="str">
        <f aca="false">HYPERLINK("http://catalog.hathitrust.org/Record/002433787","HathiTrust Record")</f>
        <v>HathiTrust Record</v>
      </c>
      <c r="AU968" s="9" t="str">
        <f aca="false">HYPERLINK("https://creighton-primo.hosted.exlibrisgroup.com/primo-explore/search?tab=default_tab&amp;search_scope=EVERYTHING&amp;vid=01CRU&amp;lang=en_US&amp;offset=0&amp;query=any,contains,991003673579702656","Catalog Record")</f>
        <v>Catalog Record</v>
      </c>
      <c r="AV968" s="9" t="str">
        <f aca="false">HYPERLINK("http://www.worldcat.org/oclc/6170365","WorldCat Record")</f>
        <v>WorldCat Record</v>
      </c>
      <c r="AW968" s="6" t="s">
        <v>5885</v>
      </c>
      <c r="AX968" s="6" t="s">
        <v>5886</v>
      </c>
      <c r="AY968" s="6" t="s">
        <v>5887</v>
      </c>
      <c r="AZ968" s="6" t="s">
        <v>5887</v>
      </c>
      <c r="BA968" s="6" t="s">
        <v>5888</v>
      </c>
      <c r="BB968" s="28"/>
      <c r="BC968" s="6" t="s">
        <v>5889</v>
      </c>
      <c r="BE968" s="15" t="s">
        <v>2145</v>
      </c>
      <c r="BF968" s="6" t="s">
        <v>5890</v>
      </c>
    </row>
    <row r="969" customFormat="false" ht="105.5" hidden="false" customHeight="false" outlineLevel="0" collapsed="false">
      <c r="A969" s="26" t="s">
        <v>63</v>
      </c>
      <c r="B969" s="27" t="s">
        <v>2129</v>
      </c>
      <c r="C969" s="27" t="s">
        <v>2130</v>
      </c>
      <c r="D969" s="27" t="s">
        <v>5891</v>
      </c>
      <c r="E969" s="27" t="s">
        <v>5892</v>
      </c>
      <c r="F969" s="27" t="s">
        <v>5893</v>
      </c>
      <c r="G969" s="28"/>
      <c r="H969" s="6" t="s">
        <v>63</v>
      </c>
      <c r="I969" s="6" t="s">
        <v>62</v>
      </c>
      <c r="J969" s="6" t="s">
        <v>63</v>
      </c>
      <c r="K969" s="6" t="s">
        <v>63</v>
      </c>
      <c r="L969" s="6" t="s">
        <v>64</v>
      </c>
      <c r="M969" s="27" t="s">
        <v>5894</v>
      </c>
      <c r="N969" s="27" t="s">
        <v>5895</v>
      </c>
      <c r="O969" s="6" t="s">
        <v>2665</v>
      </c>
      <c r="P969" s="28"/>
      <c r="Q969" s="6" t="s">
        <v>67</v>
      </c>
      <c r="R969" s="6" t="s">
        <v>384</v>
      </c>
      <c r="S969" s="27" t="s">
        <v>5896</v>
      </c>
      <c r="T969" s="6" t="s">
        <v>5531</v>
      </c>
      <c r="U969" s="7" t="n">
        <v>2</v>
      </c>
      <c r="V969" s="7" t="n">
        <v>2</v>
      </c>
      <c r="W969" s="8" t="s">
        <v>5897</v>
      </c>
      <c r="X969" s="8" t="s">
        <v>5897</v>
      </c>
      <c r="Y969" s="8" t="s">
        <v>5695</v>
      </c>
      <c r="Z969" s="8" t="s">
        <v>5695</v>
      </c>
      <c r="AA969" s="7" t="n">
        <v>489</v>
      </c>
      <c r="AB969" s="7" t="n">
        <v>336</v>
      </c>
      <c r="AC969" s="7" t="n">
        <v>362</v>
      </c>
      <c r="AD969" s="7" t="n">
        <v>5</v>
      </c>
      <c r="AE969" s="7" t="n">
        <v>5</v>
      </c>
      <c r="AF969" s="7" t="n">
        <v>27</v>
      </c>
      <c r="AG969" s="7" t="n">
        <v>27</v>
      </c>
      <c r="AH969" s="7" t="n">
        <v>9</v>
      </c>
      <c r="AI969" s="7" t="n">
        <v>9</v>
      </c>
      <c r="AJ969" s="7" t="n">
        <v>6</v>
      </c>
      <c r="AK969" s="7" t="n">
        <v>6</v>
      </c>
      <c r="AL969" s="7" t="n">
        <v>19</v>
      </c>
      <c r="AM969" s="7" t="n">
        <v>19</v>
      </c>
      <c r="AN969" s="7" t="n">
        <v>3</v>
      </c>
      <c r="AO969" s="7" t="n">
        <v>3</v>
      </c>
      <c r="AP969" s="7" t="n">
        <v>0</v>
      </c>
      <c r="AQ969" s="7" t="n">
        <v>0</v>
      </c>
      <c r="AR969" s="6" t="s">
        <v>63</v>
      </c>
      <c r="AS969" s="6" t="s">
        <v>57</v>
      </c>
      <c r="AT969" s="9" t="str">
        <f aca="false">HYPERLINK("http://catalog.hathitrust.org/Record/001387216","HathiTrust Record")</f>
        <v>HathiTrust Record</v>
      </c>
      <c r="AU969" s="9" t="str">
        <f aca="false">HYPERLINK("https://creighton-primo.hosted.exlibrisgroup.com/primo-explore/search?tab=default_tab&amp;search_scope=EVERYTHING&amp;vid=01CRU&amp;lang=en_US&amp;offset=0&amp;query=any,contains,991002971019702656","Catalog Record")</f>
        <v>Catalog Record</v>
      </c>
      <c r="AV969" s="9" t="str">
        <f aca="false">HYPERLINK("http://www.worldcat.org/oclc/548975","WorldCat Record")</f>
        <v>WorldCat Record</v>
      </c>
      <c r="AW969" s="6" t="s">
        <v>5898</v>
      </c>
      <c r="AX969" s="6" t="s">
        <v>5899</v>
      </c>
      <c r="AY969" s="6" t="s">
        <v>5900</v>
      </c>
      <c r="AZ969" s="6" t="s">
        <v>5900</v>
      </c>
      <c r="BA969" s="6" t="s">
        <v>5901</v>
      </c>
      <c r="BB969" s="28"/>
      <c r="BC969" s="6" t="s">
        <v>5902</v>
      </c>
      <c r="BE969" s="15" t="s">
        <v>2145</v>
      </c>
      <c r="BF969" s="6" t="s">
        <v>5903</v>
      </c>
    </row>
    <row r="970" customFormat="false" ht="94" hidden="false" customHeight="false" outlineLevel="0" collapsed="false">
      <c r="A970" s="26" t="s">
        <v>63</v>
      </c>
      <c r="B970" s="27" t="s">
        <v>2129</v>
      </c>
      <c r="C970" s="27" t="s">
        <v>2130</v>
      </c>
      <c r="D970" s="27" t="s">
        <v>5904</v>
      </c>
      <c r="E970" s="27" t="s">
        <v>5905</v>
      </c>
      <c r="F970" s="27" t="s">
        <v>5906</v>
      </c>
      <c r="G970" s="28"/>
      <c r="H970" s="6" t="s">
        <v>63</v>
      </c>
      <c r="I970" s="6" t="s">
        <v>62</v>
      </c>
      <c r="J970" s="6" t="s">
        <v>63</v>
      </c>
      <c r="K970" s="6" t="s">
        <v>63</v>
      </c>
      <c r="L970" s="6" t="s">
        <v>64</v>
      </c>
      <c r="M970" s="27" t="s">
        <v>4565</v>
      </c>
      <c r="N970" s="27" t="s">
        <v>5907</v>
      </c>
      <c r="O970" s="6" t="s">
        <v>2369</v>
      </c>
      <c r="P970" s="28"/>
      <c r="Q970" s="6" t="s">
        <v>67</v>
      </c>
      <c r="R970" s="6" t="s">
        <v>401</v>
      </c>
      <c r="S970" s="28"/>
      <c r="T970" s="6" t="s">
        <v>5531</v>
      </c>
      <c r="U970" s="7" t="n">
        <v>2</v>
      </c>
      <c r="V970" s="7" t="n">
        <v>2</v>
      </c>
      <c r="W970" s="8" t="s">
        <v>5908</v>
      </c>
      <c r="X970" s="8" t="s">
        <v>5908</v>
      </c>
      <c r="Y970" s="8" t="s">
        <v>5695</v>
      </c>
      <c r="Z970" s="8" t="s">
        <v>5695</v>
      </c>
      <c r="AA970" s="7" t="n">
        <v>314</v>
      </c>
      <c r="AB970" s="7" t="n">
        <v>293</v>
      </c>
      <c r="AC970" s="7" t="n">
        <v>331</v>
      </c>
      <c r="AD970" s="7" t="n">
        <v>2</v>
      </c>
      <c r="AE970" s="7" t="n">
        <v>2</v>
      </c>
      <c r="AF970" s="7" t="n">
        <v>20</v>
      </c>
      <c r="AG970" s="7" t="n">
        <v>22</v>
      </c>
      <c r="AH970" s="7" t="n">
        <v>6</v>
      </c>
      <c r="AI970" s="7" t="n">
        <v>7</v>
      </c>
      <c r="AJ970" s="7" t="n">
        <v>7</v>
      </c>
      <c r="AK970" s="7" t="n">
        <v>7</v>
      </c>
      <c r="AL970" s="7" t="n">
        <v>14</v>
      </c>
      <c r="AM970" s="7" t="n">
        <v>16</v>
      </c>
      <c r="AN970" s="7" t="n">
        <v>1</v>
      </c>
      <c r="AO970" s="7" t="n">
        <v>1</v>
      </c>
      <c r="AP970" s="7" t="n">
        <v>0</v>
      </c>
      <c r="AQ970" s="7" t="n">
        <v>0</v>
      </c>
      <c r="AR970" s="6" t="s">
        <v>63</v>
      </c>
      <c r="AS970" s="6" t="s">
        <v>63</v>
      </c>
      <c r="AT970" s="28"/>
      <c r="AU970" s="9" t="str">
        <f aca="false">HYPERLINK("https://creighton-primo.hosted.exlibrisgroup.com/primo-explore/search?tab=default_tab&amp;search_scope=EVERYTHING&amp;vid=01CRU&amp;lang=en_US&amp;offset=0&amp;query=any,contains,991003436139702656","Catalog Record")</f>
        <v>Catalog Record</v>
      </c>
      <c r="AV970" s="9" t="str">
        <f aca="false">HYPERLINK("http://www.worldcat.org/oclc/971570","WorldCat Record")</f>
        <v>WorldCat Record</v>
      </c>
      <c r="AW970" s="6" t="s">
        <v>5909</v>
      </c>
      <c r="AX970" s="6" t="s">
        <v>5910</v>
      </c>
      <c r="AY970" s="6" t="s">
        <v>5911</v>
      </c>
      <c r="AZ970" s="6" t="s">
        <v>5911</v>
      </c>
      <c r="BA970" s="6" t="s">
        <v>5912</v>
      </c>
      <c r="BB970" s="28"/>
      <c r="BC970" s="6" t="s">
        <v>5913</v>
      </c>
      <c r="BE970" s="15" t="s">
        <v>2145</v>
      </c>
      <c r="BF970" s="6" t="s">
        <v>5914</v>
      </c>
    </row>
    <row r="971" customFormat="false" ht="117" hidden="false" customHeight="false" outlineLevel="0" collapsed="false">
      <c r="A971" s="26" t="s">
        <v>63</v>
      </c>
      <c r="B971" s="27" t="s">
        <v>2129</v>
      </c>
      <c r="C971" s="27" t="s">
        <v>2130</v>
      </c>
      <c r="D971" s="27" t="s">
        <v>5915</v>
      </c>
      <c r="E971" s="27" t="s">
        <v>5916</v>
      </c>
      <c r="F971" s="27" t="s">
        <v>5917</v>
      </c>
      <c r="G971" s="28"/>
      <c r="H971" s="6" t="s">
        <v>63</v>
      </c>
      <c r="I971" s="6" t="s">
        <v>62</v>
      </c>
      <c r="J971" s="6" t="s">
        <v>63</v>
      </c>
      <c r="K971" s="6" t="s">
        <v>63</v>
      </c>
      <c r="L971" s="6" t="s">
        <v>64</v>
      </c>
      <c r="M971" s="27" t="s">
        <v>5918</v>
      </c>
      <c r="N971" s="27" t="s">
        <v>5919</v>
      </c>
      <c r="O971" s="6" t="s">
        <v>2411</v>
      </c>
      <c r="P971" s="28"/>
      <c r="Q971" s="6" t="s">
        <v>67</v>
      </c>
      <c r="R971" s="6" t="s">
        <v>68</v>
      </c>
      <c r="S971" s="28"/>
      <c r="T971" s="6" t="s">
        <v>5531</v>
      </c>
      <c r="U971" s="7" t="n">
        <v>5</v>
      </c>
      <c r="V971" s="7" t="n">
        <v>5</v>
      </c>
      <c r="W971" s="8" t="s">
        <v>5920</v>
      </c>
      <c r="X971" s="8" t="s">
        <v>5920</v>
      </c>
      <c r="Y971" s="8" t="s">
        <v>4948</v>
      </c>
      <c r="Z971" s="8" t="s">
        <v>4948</v>
      </c>
      <c r="AA971" s="7" t="n">
        <v>298</v>
      </c>
      <c r="AB971" s="7" t="n">
        <v>237</v>
      </c>
      <c r="AC971" s="7" t="n">
        <v>424</v>
      </c>
      <c r="AD971" s="7" t="n">
        <v>3</v>
      </c>
      <c r="AE971" s="7" t="n">
        <v>3</v>
      </c>
      <c r="AF971" s="7" t="n">
        <v>20</v>
      </c>
      <c r="AG971" s="7" t="n">
        <v>28</v>
      </c>
      <c r="AH971" s="7" t="n">
        <v>5</v>
      </c>
      <c r="AI971" s="7" t="n">
        <v>11</v>
      </c>
      <c r="AJ971" s="7" t="n">
        <v>7</v>
      </c>
      <c r="AK971" s="7" t="n">
        <v>9</v>
      </c>
      <c r="AL971" s="7" t="n">
        <v>13</v>
      </c>
      <c r="AM971" s="7" t="n">
        <v>16</v>
      </c>
      <c r="AN971" s="7" t="n">
        <v>2</v>
      </c>
      <c r="AO971" s="7" t="n">
        <v>2</v>
      </c>
      <c r="AP971" s="7" t="n">
        <v>0</v>
      </c>
      <c r="AQ971" s="7" t="n">
        <v>0</v>
      </c>
      <c r="AR971" s="6" t="s">
        <v>63</v>
      </c>
      <c r="AS971" s="6" t="s">
        <v>63</v>
      </c>
      <c r="AT971" s="28"/>
      <c r="AU971" s="9" t="str">
        <f aca="false">HYPERLINK("https://creighton-primo.hosted.exlibrisgroup.com/primo-explore/search?tab=default_tab&amp;search_scope=EVERYTHING&amp;vid=01CRU&amp;lang=en_US&amp;offset=0&amp;query=any,contains,991001384329702656","Catalog Record")</f>
        <v>Catalog Record</v>
      </c>
      <c r="AV971" s="9" t="str">
        <f aca="false">HYPERLINK("http://www.worldcat.org/oclc/18715066","WorldCat Record")</f>
        <v>WorldCat Record</v>
      </c>
      <c r="AW971" s="6" t="s">
        <v>5921</v>
      </c>
      <c r="AX971" s="6" t="s">
        <v>5922</v>
      </c>
      <c r="AY971" s="6" t="s">
        <v>5923</v>
      </c>
      <c r="AZ971" s="6" t="s">
        <v>5923</v>
      </c>
      <c r="BA971" s="6" t="s">
        <v>5924</v>
      </c>
      <c r="BB971" s="6" t="s">
        <v>5925</v>
      </c>
      <c r="BC971" s="6" t="s">
        <v>5926</v>
      </c>
      <c r="BE971" s="15" t="s">
        <v>2145</v>
      </c>
      <c r="BF971" s="6" t="s">
        <v>5927</v>
      </c>
    </row>
    <row r="972" customFormat="false" ht="174.5" hidden="false" customHeight="false" outlineLevel="0" collapsed="false">
      <c r="A972" s="26" t="s">
        <v>63</v>
      </c>
      <c r="B972" s="27" t="s">
        <v>2129</v>
      </c>
      <c r="C972" s="27" t="s">
        <v>2130</v>
      </c>
      <c r="D972" s="27" t="s">
        <v>5928</v>
      </c>
      <c r="E972" s="27" t="s">
        <v>5929</v>
      </c>
      <c r="F972" s="27" t="s">
        <v>5930</v>
      </c>
      <c r="G972" s="28"/>
      <c r="H972" s="6" t="s">
        <v>63</v>
      </c>
      <c r="I972" s="6" t="s">
        <v>62</v>
      </c>
      <c r="J972" s="6" t="s">
        <v>63</v>
      </c>
      <c r="K972" s="6" t="s">
        <v>63</v>
      </c>
      <c r="L972" s="6" t="s">
        <v>64</v>
      </c>
      <c r="M972" s="27" t="s">
        <v>5931</v>
      </c>
      <c r="N972" s="27" t="s">
        <v>5932</v>
      </c>
      <c r="O972" s="6" t="s">
        <v>246</v>
      </c>
      <c r="P972" s="28"/>
      <c r="Q972" s="6" t="s">
        <v>67</v>
      </c>
      <c r="R972" s="6" t="s">
        <v>802</v>
      </c>
      <c r="S972" s="27" t="s">
        <v>5933</v>
      </c>
      <c r="T972" s="6" t="s">
        <v>5531</v>
      </c>
      <c r="U972" s="7" t="n">
        <v>1</v>
      </c>
      <c r="V972" s="7" t="n">
        <v>1</v>
      </c>
      <c r="W972" s="8" t="s">
        <v>5934</v>
      </c>
      <c r="X972" s="8" t="s">
        <v>5934</v>
      </c>
      <c r="Y972" s="8" t="s">
        <v>5695</v>
      </c>
      <c r="Z972" s="8" t="s">
        <v>5695</v>
      </c>
      <c r="AA972" s="7" t="n">
        <v>205</v>
      </c>
      <c r="AB972" s="7" t="n">
        <v>177</v>
      </c>
      <c r="AC972" s="7" t="n">
        <v>195</v>
      </c>
      <c r="AD972" s="7" t="n">
        <v>2</v>
      </c>
      <c r="AE972" s="7" t="n">
        <v>2</v>
      </c>
      <c r="AF972" s="7" t="n">
        <v>16</v>
      </c>
      <c r="AG972" s="7" t="n">
        <v>16</v>
      </c>
      <c r="AH972" s="7" t="n">
        <v>3</v>
      </c>
      <c r="AI972" s="7" t="n">
        <v>3</v>
      </c>
      <c r="AJ972" s="7" t="n">
        <v>4</v>
      </c>
      <c r="AK972" s="7" t="n">
        <v>4</v>
      </c>
      <c r="AL972" s="7" t="n">
        <v>12</v>
      </c>
      <c r="AM972" s="7" t="n">
        <v>12</v>
      </c>
      <c r="AN972" s="7" t="n">
        <v>1</v>
      </c>
      <c r="AO972" s="7" t="n">
        <v>1</v>
      </c>
      <c r="AP972" s="7" t="n">
        <v>0</v>
      </c>
      <c r="AQ972" s="7" t="n">
        <v>0</v>
      </c>
      <c r="AR972" s="6" t="s">
        <v>63</v>
      </c>
      <c r="AS972" s="6" t="s">
        <v>63</v>
      </c>
      <c r="AT972" s="28"/>
      <c r="AU972" s="9" t="str">
        <f aca="false">HYPERLINK("https://creighton-primo.hosted.exlibrisgroup.com/primo-explore/search?tab=default_tab&amp;search_scope=EVERYTHING&amp;vid=01CRU&amp;lang=en_US&amp;offset=0&amp;query=any,contains,991004868129702656","Catalog Record")</f>
        <v>Catalog Record</v>
      </c>
      <c r="AV972" s="9" t="str">
        <f aca="false">HYPERLINK("http://www.worldcat.org/oclc/12023858","WorldCat Record")</f>
        <v>WorldCat Record</v>
      </c>
      <c r="AW972" s="6" t="s">
        <v>5935</v>
      </c>
      <c r="AX972" s="6" t="s">
        <v>5936</v>
      </c>
      <c r="AY972" s="6" t="s">
        <v>5937</v>
      </c>
      <c r="AZ972" s="6" t="s">
        <v>5937</v>
      </c>
      <c r="BA972" s="6" t="s">
        <v>5938</v>
      </c>
      <c r="BB972" s="6" t="s">
        <v>5939</v>
      </c>
      <c r="BC972" s="6" t="s">
        <v>5940</v>
      </c>
      <c r="BE972" s="15" t="s">
        <v>2145</v>
      </c>
      <c r="BF972" s="6" t="s">
        <v>5941</v>
      </c>
    </row>
    <row r="973" customFormat="false" ht="71" hidden="false" customHeight="false" outlineLevel="0" collapsed="false">
      <c r="A973" s="26" t="s">
        <v>63</v>
      </c>
      <c r="B973" s="27" t="s">
        <v>2129</v>
      </c>
      <c r="C973" s="27" t="s">
        <v>2130</v>
      </c>
      <c r="D973" s="27" t="s">
        <v>5942</v>
      </c>
      <c r="E973" s="27" t="s">
        <v>5943</v>
      </c>
      <c r="F973" s="27" t="s">
        <v>5944</v>
      </c>
      <c r="G973" s="28"/>
      <c r="H973" s="6" t="s">
        <v>63</v>
      </c>
      <c r="I973" s="6" t="s">
        <v>62</v>
      </c>
      <c r="J973" s="6" t="s">
        <v>63</v>
      </c>
      <c r="K973" s="6" t="s">
        <v>63</v>
      </c>
      <c r="L973" s="6" t="s">
        <v>64</v>
      </c>
      <c r="M973" s="27" t="s">
        <v>5945</v>
      </c>
      <c r="N973" s="27" t="s">
        <v>5946</v>
      </c>
      <c r="O973" s="6" t="s">
        <v>3661</v>
      </c>
      <c r="P973" s="28"/>
      <c r="Q973" s="6" t="s">
        <v>67</v>
      </c>
      <c r="R973" s="6" t="s">
        <v>1108</v>
      </c>
      <c r="S973" s="28"/>
      <c r="T973" s="6" t="s">
        <v>5531</v>
      </c>
      <c r="U973" s="7" t="n">
        <v>1</v>
      </c>
      <c r="V973" s="7" t="n">
        <v>1</v>
      </c>
      <c r="W973" s="8" t="s">
        <v>5947</v>
      </c>
      <c r="X973" s="8" t="s">
        <v>5947</v>
      </c>
      <c r="Y973" s="8" t="s">
        <v>5783</v>
      </c>
      <c r="Z973" s="8" t="s">
        <v>5783</v>
      </c>
      <c r="AA973" s="7" t="n">
        <v>508</v>
      </c>
      <c r="AB973" s="7" t="n">
        <v>442</v>
      </c>
      <c r="AC973" s="7" t="n">
        <v>847</v>
      </c>
      <c r="AD973" s="7" t="n">
        <v>4</v>
      </c>
      <c r="AE973" s="7" t="n">
        <v>8</v>
      </c>
      <c r="AF973" s="7" t="n">
        <v>33</v>
      </c>
      <c r="AG973" s="7" t="n">
        <v>49</v>
      </c>
      <c r="AH973" s="7" t="n">
        <v>11</v>
      </c>
      <c r="AI973" s="7" t="n">
        <v>18</v>
      </c>
      <c r="AJ973" s="7" t="n">
        <v>6</v>
      </c>
      <c r="AK973" s="7" t="n">
        <v>10</v>
      </c>
      <c r="AL973" s="7" t="n">
        <v>20</v>
      </c>
      <c r="AM973" s="7" t="n">
        <v>24</v>
      </c>
      <c r="AN973" s="7" t="n">
        <v>3</v>
      </c>
      <c r="AO973" s="7" t="n">
        <v>7</v>
      </c>
      <c r="AP973" s="7" t="n">
        <v>1</v>
      </c>
      <c r="AQ973" s="7" t="n">
        <v>2</v>
      </c>
      <c r="AR973" s="6" t="s">
        <v>63</v>
      </c>
      <c r="AS973" s="6" t="s">
        <v>63</v>
      </c>
      <c r="AT973" s="28"/>
      <c r="AU973" s="9" t="str">
        <f aca="false">HYPERLINK("https://creighton-primo.hosted.exlibrisgroup.com/primo-explore/search?tab=default_tab&amp;search_scope=EVERYTHING&amp;vid=01CRU&amp;lang=en_US&amp;offset=0&amp;query=any,contains,991003768219702656","Catalog Record")</f>
        <v>Catalog Record</v>
      </c>
      <c r="AV973" s="9" t="str">
        <f aca="false">HYPERLINK("http://www.worldcat.org/oclc/1463236","WorldCat Record")</f>
        <v>WorldCat Record</v>
      </c>
      <c r="AW973" s="6" t="s">
        <v>5948</v>
      </c>
      <c r="AX973" s="6" t="s">
        <v>5949</v>
      </c>
      <c r="AY973" s="6" t="s">
        <v>5950</v>
      </c>
      <c r="AZ973" s="6" t="s">
        <v>5950</v>
      </c>
      <c r="BA973" s="6" t="s">
        <v>5951</v>
      </c>
      <c r="BB973" s="28"/>
      <c r="BC973" s="6" t="s">
        <v>5952</v>
      </c>
      <c r="BE973" s="15" t="s">
        <v>2145</v>
      </c>
      <c r="BF973" s="6" t="s">
        <v>5953</v>
      </c>
    </row>
    <row r="974" customFormat="false" ht="59.5" hidden="false" customHeight="false" outlineLevel="0" collapsed="false">
      <c r="A974" s="26" t="s">
        <v>57</v>
      </c>
      <c r="B974" s="27" t="s">
        <v>2129</v>
      </c>
      <c r="C974" s="27" t="s">
        <v>2130</v>
      </c>
      <c r="D974" s="27" t="s">
        <v>5954</v>
      </c>
      <c r="E974" s="27" t="s">
        <v>5955</v>
      </c>
      <c r="F974" s="27" t="s">
        <v>5956</v>
      </c>
      <c r="G974" s="28"/>
      <c r="H974" s="6" t="s">
        <v>63</v>
      </c>
      <c r="I974" s="6" t="s">
        <v>62</v>
      </c>
      <c r="J974" s="6" t="s">
        <v>63</v>
      </c>
      <c r="K974" s="6" t="s">
        <v>63</v>
      </c>
      <c r="L974" s="6" t="s">
        <v>64</v>
      </c>
      <c r="M974" s="27" t="s">
        <v>5957</v>
      </c>
      <c r="N974" s="27" t="s">
        <v>5958</v>
      </c>
      <c r="O974" s="6" t="s">
        <v>2665</v>
      </c>
      <c r="P974" s="28"/>
      <c r="Q974" s="6" t="s">
        <v>67</v>
      </c>
      <c r="R974" s="6" t="s">
        <v>384</v>
      </c>
      <c r="S974" s="28"/>
      <c r="T974" s="6" t="s">
        <v>5531</v>
      </c>
      <c r="U974" s="7" t="n">
        <v>1</v>
      </c>
      <c r="V974" s="7" t="n">
        <v>1</v>
      </c>
      <c r="W974" s="8" t="s">
        <v>5959</v>
      </c>
      <c r="X974" s="8" t="s">
        <v>5959</v>
      </c>
      <c r="Y974" s="8" t="s">
        <v>5783</v>
      </c>
      <c r="Z974" s="8" t="s">
        <v>5783</v>
      </c>
      <c r="AA974" s="7" t="n">
        <v>181</v>
      </c>
      <c r="AB974" s="7" t="n">
        <v>45</v>
      </c>
      <c r="AC974" s="7" t="n">
        <v>517</v>
      </c>
      <c r="AD974" s="7" t="n">
        <v>1</v>
      </c>
      <c r="AE974" s="7" t="n">
        <v>4</v>
      </c>
      <c r="AF974" s="7" t="n">
        <v>1</v>
      </c>
      <c r="AG974" s="7" t="n">
        <v>31</v>
      </c>
      <c r="AH974" s="7" t="n">
        <v>1</v>
      </c>
      <c r="AI974" s="7" t="n">
        <v>10</v>
      </c>
      <c r="AJ974" s="7" t="n">
        <v>0</v>
      </c>
      <c r="AK974" s="7" t="n">
        <v>7</v>
      </c>
      <c r="AL974" s="7" t="n">
        <v>1</v>
      </c>
      <c r="AM974" s="7" t="n">
        <v>21</v>
      </c>
      <c r="AN974" s="7" t="n">
        <v>0</v>
      </c>
      <c r="AO974" s="7" t="n">
        <v>3</v>
      </c>
      <c r="AP974" s="7" t="n">
        <v>0</v>
      </c>
      <c r="AQ974" s="7" t="n">
        <v>0</v>
      </c>
      <c r="AR974" s="6" t="s">
        <v>63</v>
      </c>
      <c r="AS974" s="6" t="s">
        <v>63</v>
      </c>
      <c r="AT974" s="28"/>
      <c r="AU974" s="9" t="str">
        <f aca="false">HYPERLINK("https://creighton-primo.hosted.exlibrisgroup.com/primo-explore/search?tab=default_tab&amp;search_scope=EVERYTHING&amp;vid=01CRU&amp;lang=en_US&amp;offset=0&amp;query=any,contains,991004224009702656","Catalog Record")</f>
        <v>Catalog Record</v>
      </c>
      <c r="AV974" s="9" t="str">
        <f aca="false">HYPERLINK("http://www.worldcat.org/oclc/2722362","WorldCat Record")</f>
        <v>WorldCat Record</v>
      </c>
      <c r="AW974" s="6" t="s">
        <v>5960</v>
      </c>
      <c r="AX974" s="6" t="s">
        <v>5961</v>
      </c>
      <c r="AY974" s="6" t="s">
        <v>5962</v>
      </c>
      <c r="AZ974" s="6" t="s">
        <v>5962</v>
      </c>
      <c r="BA974" s="6" t="s">
        <v>5963</v>
      </c>
      <c r="BB974" s="6" t="s">
        <v>5964</v>
      </c>
      <c r="BC974" s="6" t="s">
        <v>5965</v>
      </c>
      <c r="BE974" s="15" t="s">
        <v>2145</v>
      </c>
      <c r="BF974" s="6" t="s">
        <v>5966</v>
      </c>
    </row>
    <row r="975" customFormat="false" ht="140" hidden="false" customHeight="false" outlineLevel="0" collapsed="false">
      <c r="A975" s="26" t="s">
        <v>57</v>
      </c>
      <c r="B975" s="27" t="s">
        <v>2129</v>
      </c>
      <c r="C975" s="27" t="s">
        <v>2130</v>
      </c>
      <c r="D975" s="27" t="s">
        <v>5967</v>
      </c>
      <c r="E975" s="27" t="s">
        <v>5968</v>
      </c>
      <c r="F975" s="27" t="s">
        <v>5969</v>
      </c>
      <c r="G975" s="28"/>
      <c r="H975" s="6" t="s">
        <v>63</v>
      </c>
      <c r="I975" s="6" t="s">
        <v>62</v>
      </c>
      <c r="J975" s="6" t="s">
        <v>63</v>
      </c>
      <c r="K975" s="6" t="s">
        <v>63</v>
      </c>
      <c r="L975" s="6" t="s">
        <v>64</v>
      </c>
      <c r="M975" s="27" t="s">
        <v>5970</v>
      </c>
      <c r="N975" s="27" t="s">
        <v>5971</v>
      </c>
      <c r="O975" s="6" t="s">
        <v>2893</v>
      </c>
      <c r="P975" s="28"/>
      <c r="Q975" s="6" t="s">
        <v>67</v>
      </c>
      <c r="R975" s="6" t="s">
        <v>802</v>
      </c>
      <c r="S975" s="27" t="s">
        <v>5972</v>
      </c>
      <c r="T975" s="6" t="s">
        <v>5531</v>
      </c>
      <c r="U975" s="7" t="n">
        <v>1</v>
      </c>
      <c r="V975" s="7" t="n">
        <v>1</v>
      </c>
      <c r="W975" s="8" t="s">
        <v>5973</v>
      </c>
      <c r="X975" s="8" t="s">
        <v>5973</v>
      </c>
      <c r="Y975" s="8" t="s">
        <v>5974</v>
      </c>
      <c r="Z975" s="8" t="s">
        <v>5974</v>
      </c>
      <c r="AA975" s="7" t="n">
        <v>345</v>
      </c>
      <c r="AB975" s="7" t="n">
        <v>232</v>
      </c>
      <c r="AC975" s="7" t="n">
        <v>239</v>
      </c>
      <c r="AD975" s="7" t="n">
        <v>2</v>
      </c>
      <c r="AE975" s="7" t="n">
        <v>2</v>
      </c>
      <c r="AF975" s="7" t="n">
        <v>12</v>
      </c>
      <c r="AG975" s="7" t="n">
        <v>12</v>
      </c>
      <c r="AH975" s="7" t="n">
        <v>1</v>
      </c>
      <c r="AI975" s="7" t="n">
        <v>1</v>
      </c>
      <c r="AJ975" s="7" t="n">
        <v>5</v>
      </c>
      <c r="AK975" s="7" t="n">
        <v>5</v>
      </c>
      <c r="AL975" s="7" t="n">
        <v>9</v>
      </c>
      <c r="AM975" s="7" t="n">
        <v>9</v>
      </c>
      <c r="AN975" s="7" t="n">
        <v>1</v>
      </c>
      <c r="AO975" s="7" t="n">
        <v>1</v>
      </c>
      <c r="AP975" s="7" t="n">
        <v>0</v>
      </c>
      <c r="AQ975" s="7" t="n">
        <v>0</v>
      </c>
      <c r="AR975" s="6" t="s">
        <v>63</v>
      </c>
      <c r="AS975" s="6" t="s">
        <v>57</v>
      </c>
      <c r="AT975" s="9" t="str">
        <f aca="false">HYPERLINK("http://catalog.hathitrust.org/Record/000038779","HathiTrust Record")</f>
        <v>HathiTrust Record</v>
      </c>
      <c r="AU975" s="9" t="str">
        <f aca="false">HYPERLINK("https://creighton-primo.hosted.exlibrisgroup.com/primo-explore/search?tab=default_tab&amp;search_scope=EVERYTHING&amp;vid=01CRU&amp;lang=en_US&amp;offset=0&amp;query=any,contains,991003884159702656","Catalog Record")</f>
        <v>Catalog Record</v>
      </c>
      <c r="AV975" s="9" t="str">
        <f aca="false">HYPERLINK("http://www.worldcat.org/oclc/1733545","WorldCat Record")</f>
        <v>WorldCat Record</v>
      </c>
      <c r="AW975" s="6" t="s">
        <v>5975</v>
      </c>
      <c r="AX975" s="6" t="s">
        <v>5976</v>
      </c>
      <c r="AY975" s="6" t="s">
        <v>5977</v>
      </c>
      <c r="AZ975" s="6" t="s">
        <v>5977</v>
      </c>
      <c r="BA975" s="6" t="s">
        <v>5978</v>
      </c>
      <c r="BB975" s="6" t="s">
        <v>5979</v>
      </c>
      <c r="BC975" s="6" t="s">
        <v>5980</v>
      </c>
      <c r="BE975" s="15" t="s">
        <v>2145</v>
      </c>
      <c r="BF975" s="6" t="s">
        <v>5981</v>
      </c>
    </row>
    <row r="976" customFormat="false" ht="105.5" hidden="false" customHeight="false" outlineLevel="0" collapsed="false">
      <c r="A976" s="26" t="s">
        <v>63</v>
      </c>
      <c r="B976" s="27" t="s">
        <v>2129</v>
      </c>
      <c r="C976" s="27" t="s">
        <v>2130</v>
      </c>
      <c r="D976" s="27" t="s">
        <v>5982</v>
      </c>
      <c r="E976" s="27" t="s">
        <v>5983</v>
      </c>
      <c r="F976" s="27" t="s">
        <v>5984</v>
      </c>
      <c r="G976" s="28"/>
      <c r="H976" s="6" t="s">
        <v>63</v>
      </c>
      <c r="I976" s="6" t="s">
        <v>62</v>
      </c>
      <c r="J976" s="6" t="s">
        <v>63</v>
      </c>
      <c r="K976" s="6" t="s">
        <v>63</v>
      </c>
      <c r="L976" s="6" t="s">
        <v>64</v>
      </c>
      <c r="M976" s="28"/>
      <c r="N976" s="27" t="s">
        <v>5985</v>
      </c>
      <c r="O976" s="6" t="s">
        <v>2693</v>
      </c>
      <c r="P976" s="28"/>
      <c r="Q976" s="6" t="s">
        <v>67</v>
      </c>
      <c r="R976" s="6" t="s">
        <v>384</v>
      </c>
      <c r="S976" s="27" t="s">
        <v>5986</v>
      </c>
      <c r="T976" s="6" t="s">
        <v>5531</v>
      </c>
      <c r="U976" s="7" t="n">
        <v>2</v>
      </c>
      <c r="V976" s="7" t="n">
        <v>2</v>
      </c>
      <c r="W976" s="8" t="s">
        <v>5987</v>
      </c>
      <c r="X976" s="8" t="s">
        <v>5987</v>
      </c>
      <c r="Y976" s="8" t="s">
        <v>5974</v>
      </c>
      <c r="Z976" s="8" t="s">
        <v>5974</v>
      </c>
      <c r="AA976" s="7" t="n">
        <v>302</v>
      </c>
      <c r="AB976" s="7" t="n">
        <v>223</v>
      </c>
      <c r="AC976" s="7" t="n">
        <v>228</v>
      </c>
      <c r="AD976" s="7" t="n">
        <v>3</v>
      </c>
      <c r="AE976" s="7" t="n">
        <v>3</v>
      </c>
      <c r="AF976" s="7" t="n">
        <v>16</v>
      </c>
      <c r="AG976" s="7" t="n">
        <v>16</v>
      </c>
      <c r="AH976" s="7" t="n">
        <v>3</v>
      </c>
      <c r="AI976" s="7" t="n">
        <v>3</v>
      </c>
      <c r="AJ976" s="7" t="n">
        <v>4</v>
      </c>
      <c r="AK976" s="7" t="n">
        <v>4</v>
      </c>
      <c r="AL976" s="7" t="n">
        <v>11</v>
      </c>
      <c r="AM976" s="7" t="n">
        <v>11</v>
      </c>
      <c r="AN976" s="7" t="n">
        <v>2</v>
      </c>
      <c r="AO976" s="7" t="n">
        <v>2</v>
      </c>
      <c r="AP976" s="7" t="n">
        <v>0</v>
      </c>
      <c r="AQ976" s="7" t="n">
        <v>0</v>
      </c>
      <c r="AR976" s="6" t="s">
        <v>63</v>
      </c>
      <c r="AS976" s="6" t="s">
        <v>63</v>
      </c>
      <c r="AT976" s="28"/>
      <c r="AU976" s="9" t="str">
        <f aca="false">HYPERLINK("https://creighton-primo.hosted.exlibrisgroup.com/primo-explore/search?tab=default_tab&amp;search_scope=EVERYTHING&amp;vid=01CRU&amp;lang=en_US&amp;offset=0&amp;query=any,contains,991000120799702656","Catalog Record")</f>
        <v>Catalog Record</v>
      </c>
      <c r="AV976" s="9" t="str">
        <f aca="false">HYPERLINK("http://www.worldcat.org/oclc/50082","WorldCat Record")</f>
        <v>WorldCat Record</v>
      </c>
      <c r="AW976" s="6" t="s">
        <v>5988</v>
      </c>
      <c r="AX976" s="6" t="s">
        <v>5989</v>
      </c>
      <c r="AY976" s="6" t="s">
        <v>5990</v>
      </c>
      <c r="AZ976" s="6" t="s">
        <v>5990</v>
      </c>
      <c r="BA976" s="6" t="s">
        <v>5991</v>
      </c>
      <c r="BB976" s="6" t="s">
        <v>5992</v>
      </c>
      <c r="BC976" s="6" t="s">
        <v>5993</v>
      </c>
      <c r="BE976" s="15" t="s">
        <v>2145</v>
      </c>
      <c r="BF976" s="6" t="s">
        <v>5994</v>
      </c>
    </row>
    <row r="977" customFormat="false" ht="82.5" hidden="false" customHeight="false" outlineLevel="0" collapsed="false">
      <c r="A977" s="26" t="s">
        <v>63</v>
      </c>
      <c r="B977" s="27" t="s">
        <v>2129</v>
      </c>
      <c r="C977" s="27" t="s">
        <v>2130</v>
      </c>
      <c r="D977" s="27" t="s">
        <v>5995</v>
      </c>
      <c r="E977" s="27" t="s">
        <v>5996</v>
      </c>
      <c r="F977" s="27" t="s">
        <v>5997</v>
      </c>
      <c r="G977" s="28"/>
      <c r="H977" s="6" t="s">
        <v>63</v>
      </c>
      <c r="I977" s="6" t="s">
        <v>62</v>
      </c>
      <c r="J977" s="6" t="s">
        <v>63</v>
      </c>
      <c r="K977" s="6" t="s">
        <v>63</v>
      </c>
      <c r="L977" s="6" t="s">
        <v>64</v>
      </c>
      <c r="M977" s="27" t="s">
        <v>5998</v>
      </c>
      <c r="N977" s="27" t="s">
        <v>4891</v>
      </c>
      <c r="O977" s="6" t="s">
        <v>2811</v>
      </c>
      <c r="P977" s="28"/>
      <c r="Q977" s="6" t="s">
        <v>67</v>
      </c>
      <c r="R977" s="6" t="s">
        <v>68</v>
      </c>
      <c r="S977" s="28"/>
      <c r="T977" s="6" t="s">
        <v>5531</v>
      </c>
      <c r="U977" s="7" t="n">
        <v>1</v>
      </c>
      <c r="V977" s="7" t="n">
        <v>1</v>
      </c>
      <c r="W977" s="8" t="s">
        <v>5999</v>
      </c>
      <c r="X977" s="8" t="s">
        <v>5999</v>
      </c>
      <c r="Y977" s="8" t="s">
        <v>5974</v>
      </c>
      <c r="Z977" s="8" t="s">
        <v>5974</v>
      </c>
      <c r="AA977" s="7" t="n">
        <v>458</v>
      </c>
      <c r="AB977" s="7" t="n">
        <v>365</v>
      </c>
      <c r="AC977" s="7" t="n">
        <v>372</v>
      </c>
      <c r="AD977" s="7" t="n">
        <v>4</v>
      </c>
      <c r="AE977" s="7" t="n">
        <v>4</v>
      </c>
      <c r="AF977" s="7" t="n">
        <v>20</v>
      </c>
      <c r="AG977" s="7" t="n">
        <v>20</v>
      </c>
      <c r="AH977" s="7" t="n">
        <v>6</v>
      </c>
      <c r="AI977" s="7" t="n">
        <v>6</v>
      </c>
      <c r="AJ977" s="7" t="n">
        <v>7</v>
      </c>
      <c r="AK977" s="7" t="n">
        <v>7</v>
      </c>
      <c r="AL977" s="7" t="n">
        <v>11</v>
      </c>
      <c r="AM977" s="7" t="n">
        <v>11</v>
      </c>
      <c r="AN977" s="7" t="n">
        <v>3</v>
      </c>
      <c r="AO977" s="7" t="n">
        <v>3</v>
      </c>
      <c r="AP977" s="7" t="n">
        <v>0</v>
      </c>
      <c r="AQ977" s="7" t="n">
        <v>0</v>
      </c>
      <c r="AR977" s="6" t="s">
        <v>63</v>
      </c>
      <c r="AS977" s="6" t="s">
        <v>63</v>
      </c>
      <c r="AT977" s="28"/>
      <c r="AU977" s="9" t="str">
        <f aca="false">HYPERLINK("https://creighton-primo.hosted.exlibrisgroup.com/primo-explore/search?tab=default_tab&amp;search_scope=EVERYTHING&amp;vid=01CRU&amp;lang=en_US&amp;offset=0&amp;query=any,contains,991000774429702656","Catalog Record")</f>
        <v>Catalog Record</v>
      </c>
      <c r="AV977" s="9" t="str">
        <f aca="false">HYPERLINK("http://www.worldcat.org/oclc/131957","WorldCat Record")</f>
        <v>WorldCat Record</v>
      </c>
      <c r="AW977" s="6" t="s">
        <v>6000</v>
      </c>
      <c r="AX977" s="6" t="s">
        <v>6001</v>
      </c>
      <c r="AY977" s="6" t="s">
        <v>6002</v>
      </c>
      <c r="AZ977" s="6" t="s">
        <v>6002</v>
      </c>
      <c r="BA977" s="6" t="s">
        <v>6003</v>
      </c>
      <c r="BB977" s="6" t="s">
        <v>6004</v>
      </c>
      <c r="BC977" s="6" t="s">
        <v>6005</v>
      </c>
      <c r="BE977" s="15" t="s">
        <v>2145</v>
      </c>
      <c r="BF977" s="6" t="s">
        <v>6006</v>
      </c>
    </row>
    <row r="978" customFormat="false" ht="48" hidden="false" customHeight="false" outlineLevel="0" collapsed="false">
      <c r="A978" s="26" t="s">
        <v>63</v>
      </c>
      <c r="B978" s="27" t="s">
        <v>2129</v>
      </c>
      <c r="C978" s="27" t="s">
        <v>2130</v>
      </c>
      <c r="D978" s="27" t="s">
        <v>6007</v>
      </c>
      <c r="E978" s="27" t="s">
        <v>6008</v>
      </c>
      <c r="F978" s="27" t="s">
        <v>6009</v>
      </c>
      <c r="G978" s="28"/>
      <c r="H978" s="6" t="s">
        <v>63</v>
      </c>
      <c r="I978" s="6" t="s">
        <v>62</v>
      </c>
      <c r="J978" s="6" t="s">
        <v>63</v>
      </c>
      <c r="K978" s="6" t="s">
        <v>63</v>
      </c>
      <c r="L978" s="6" t="s">
        <v>64</v>
      </c>
      <c r="M978" s="27" t="s">
        <v>4552</v>
      </c>
      <c r="N978" s="27" t="s">
        <v>4407</v>
      </c>
      <c r="O978" s="6" t="s">
        <v>2811</v>
      </c>
      <c r="P978" s="28"/>
      <c r="Q978" s="6" t="s">
        <v>67</v>
      </c>
      <c r="R978" s="6" t="s">
        <v>68</v>
      </c>
      <c r="S978" s="27" t="s">
        <v>4408</v>
      </c>
      <c r="T978" s="6" t="s">
        <v>5531</v>
      </c>
      <c r="U978" s="7" t="n">
        <v>3</v>
      </c>
      <c r="V978" s="7" t="n">
        <v>3</v>
      </c>
      <c r="W978" s="8" t="s">
        <v>6010</v>
      </c>
      <c r="X978" s="8" t="s">
        <v>6010</v>
      </c>
      <c r="Y978" s="8" t="s">
        <v>5974</v>
      </c>
      <c r="Z978" s="8" t="s">
        <v>5974</v>
      </c>
      <c r="AA978" s="7" t="n">
        <v>555</v>
      </c>
      <c r="AB978" s="7" t="n">
        <v>474</v>
      </c>
      <c r="AC978" s="7" t="n">
        <v>521</v>
      </c>
      <c r="AD978" s="7" t="n">
        <v>4</v>
      </c>
      <c r="AE978" s="7" t="n">
        <v>4</v>
      </c>
      <c r="AF978" s="7" t="n">
        <v>23</v>
      </c>
      <c r="AG978" s="7" t="n">
        <v>24</v>
      </c>
      <c r="AH978" s="7" t="n">
        <v>7</v>
      </c>
      <c r="AI978" s="7" t="n">
        <v>7</v>
      </c>
      <c r="AJ978" s="7" t="n">
        <v>7</v>
      </c>
      <c r="AK978" s="7" t="n">
        <v>7</v>
      </c>
      <c r="AL978" s="7" t="n">
        <v>10</v>
      </c>
      <c r="AM978" s="7" t="n">
        <v>11</v>
      </c>
      <c r="AN978" s="7" t="n">
        <v>3</v>
      </c>
      <c r="AO978" s="7" t="n">
        <v>3</v>
      </c>
      <c r="AP978" s="7" t="n">
        <v>0</v>
      </c>
      <c r="AQ978" s="7" t="n">
        <v>0</v>
      </c>
      <c r="AR978" s="6" t="s">
        <v>63</v>
      </c>
      <c r="AS978" s="6" t="s">
        <v>57</v>
      </c>
      <c r="AT978" s="9" t="str">
        <f aca="false">HYPERLINK("http://catalog.hathitrust.org/Record/001387241","HathiTrust Record")</f>
        <v>HathiTrust Record</v>
      </c>
      <c r="AU978" s="9" t="str">
        <f aca="false">HYPERLINK("https://creighton-primo.hosted.exlibrisgroup.com/primo-explore/search?tab=default_tab&amp;search_scope=EVERYTHING&amp;vid=01CRU&amp;lang=en_US&amp;offset=0&amp;query=any,contains,991000832289702656","Catalog Record")</f>
        <v>Catalog Record</v>
      </c>
      <c r="AV978" s="9" t="str">
        <f aca="false">HYPERLINK("http://www.worldcat.org/oclc/148212","WorldCat Record")</f>
        <v>WorldCat Record</v>
      </c>
      <c r="AW978" s="6" t="s">
        <v>6011</v>
      </c>
      <c r="AX978" s="6" t="s">
        <v>6012</v>
      </c>
      <c r="AY978" s="6" t="s">
        <v>6013</v>
      </c>
      <c r="AZ978" s="6" t="s">
        <v>6013</v>
      </c>
      <c r="BA978" s="6" t="s">
        <v>6014</v>
      </c>
      <c r="BB978" s="6" t="s">
        <v>6015</v>
      </c>
      <c r="BC978" s="6" t="s">
        <v>6016</v>
      </c>
      <c r="BE978" s="15" t="s">
        <v>2145</v>
      </c>
      <c r="BF978" s="6" t="s">
        <v>6017</v>
      </c>
    </row>
    <row r="979" customFormat="false" ht="117" hidden="false" customHeight="false" outlineLevel="0" collapsed="false">
      <c r="A979" s="26" t="s">
        <v>63</v>
      </c>
      <c r="B979" s="27" t="s">
        <v>2129</v>
      </c>
      <c r="C979" s="27" t="s">
        <v>2130</v>
      </c>
      <c r="D979" s="27" t="s">
        <v>6018</v>
      </c>
      <c r="E979" s="27" t="s">
        <v>6019</v>
      </c>
      <c r="F979" s="27" t="s">
        <v>6020</v>
      </c>
      <c r="G979" s="28"/>
      <c r="H979" s="6" t="s">
        <v>63</v>
      </c>
      <c r="I979" s="6" t="s">
        <v>62</v>
      </c>
      <c r="J979" s="6" t="s">
        <v>63</v>
      </c>
      <c r="K979" s="6" t="s">
        <v>63</v>
      </c>
      <c r="L979" s="6" t="s">
        <v>64</v>
      </c>
      <c r="M979" s="27" t="s">
        <v>6021</v>
      </c>
      <c r="N979" s="27" t="s">
        <v>6022</v>
      </c>
      <c r="O979" s="6" t="s">
        <v>2411</v>
      </c>
      <c r="P979" s="28"/>
      <c r="Q979" s="6" t="s">
        <v>67</v>
      </c>
      <c r="R979" s="6" t="s">
        <v>384</v>
      </c>
      <c r="S979" s="27" t="s">
        <v>4567</v>
      </c>
      <c r="T979" s="6" t="s">
        <v>5531</v>
      </c>
      <c r="U979" s="7" t="n">
        <v>2</v>
      </c>
      <c r="V979" s="7" t="n">
        <v>2</v>
      </c>
      <c r="W979" s="8" t="s">
        <v>6023</v>
      </c>
      <c r="X979" s="8" t="s">
        <v>6023</v>
      </c>
      <c r="Y979" s="8" t="s">
        <v>6024</v>
      </c>
      <c r="Z979" s="8" t="s">
        <v>6024</v>
      </c>
      <c r="AA979" s="7" t="n">
        <v>322</v>
      </c>
      <c r="AB979" s="7" t="n">
        <v>217</v>
      </c>
      <c r="AC979" s="7" t="n">
        <v>218</v>
      </c>
      <c r="AD979" s="7" t="n">
        <v>2</v>
      </c>
      <c r="AE979" s="7" t="n">
        <v>2</v>
      </c>
      <c r="AF979" s="7" t="n">
        <v>11</v>
      </c>
      <c r="AG979" s="7" t="n">
        <v>11</v>
      </c>
      <c r="AH979" s="7" t="n">
        <v>2</v>
      </c>
      <c r="AI979" s="7" t="n">
        <v>2</v>
      </c>
      <c r="AJ979" s="7" t="n">
        <v>5</v>
      </c>
      <c r="AK979" s="7" t="n">
        <v>5</v>
      </c>
      <c r="AL979" s="7" t="n">
        <v>6</v>
      </c>
      <c r="AM979" s="7" t="n">
        <v>6</v>
      </c>
      <c r="AN979" s="7" t="n">
        <v>1</v>
      </c>
      <c r="AO979" s="7" t="n">
        <v>1</v>
      </c>
      <c r="AP979" s="7" t="n">
        <v>0</v>
      </c>
      <c r="AQ979" s="7" t="n">
        <v>0</v>
      </c>
      <c r="AR979" s="6" t="s">
        <v>63</v>
      </c>
      <c r="AS979" s="6" t="s">
        <v>57</v>
      </c>
      <c r="AT979" s="9" t="str">
        <f aca="false">HYPERLINK("http://catalog.hathitrust.org/Record/001543322","HathiTrust Record")</f>
        <v>HathiTrust Record</v>
      </c>
      <c r="AU979" s="9" t="str">
        <f aca="false">HYPERLINK("https://creighton-primo.hosted.exlibrisgroup.com/primo-explore/search?tab=default_tab&amp;search_scope=EVERYTHING&amp;vid=01CRU&amp;lang=en_US&amp;offset=0&amp;query=any,contains,991001400779702656","Catalog Record")</f>
        <v>Catalog Record</v>
      </c>
      <c r="AV979" s="9" t="str">
        <f aca="false">HYPERLINK("http://www.worldcat.org/oclc/18817251","WorldCat Record")</f>
        <v>WorldCat Record</v>
      </c>
      <c r="AW979" s="6" t="s">
        <v>6025</v>
      </c>
      <c r="AX979" s="6" t="s">
        <v>6026</v>
      </c>
      <c r="AY979" s="6" t="s">
        <v>6027</v>
      </c>
      <c r="AZ979" s="6" t="s">
        <v>6027</v>
      </c>
      <c r="BA979" s="6" t="s">
        <v>6028</v>
      </c>
      <c r="BB979" s="6" t="s">
        <v>6029</v>
      </c>
      <c r="BC979" s="6" t="s">
        <v>6030</v>
      </c>
      <c r="BE979" s="15" t="s">
        <v>2145</v>
      </c>
      <c r="BF979" s="6" t="s">
        <v>6031</v>
      </c>
    </row>
    <row r="980" customFormat="false" ht="82.5" hidden="false" customHeight="false" outlineLevel="0" collapsed="false">
      <c r="A980" s="26" t="s">
        <v>63</v>
      </c>
      <c r="B980" s="27" t="s">
        <v>2129</v>
      </c>
      <c r="C980" s="27" t="s">
        <v>2130</v>
      </c>
      <c r="D980" s="27" t="s">
        <v>6032</v>
      </c>
      <c r="E980" s="27" t="s">
        <v>6033</v>
      </c>
      <c r="F980" s="27" t="s">
        <v>6034</v>
      </c>
      <c r="G980" s="28"/>
      <c r="H980" s="6" t="s">
        <v>63</v>
      </c>
      <c r="I980" s="6" t="s">
        <v>62</v>
      </c>
      <c r="J980" s="6" t="s">
        <v>63</v>
      </c>
      <c r="K980" s="6" t="s">
        <v>63</v>
      </c>
      <c r="L980" s="6" t="s">
        <v>64</v>
      </c>
      <c r="M980" s="27" t="s">
        <v>6035</v>
      </c>
      <c r="N980" s="27" t="s">
        <v>6036</v>
      </c>
      <c r="O980" s="6" t="s">
        <v>180</v>
      </c>
      <c r="P980" s="28"/>
      <c r="Q980" s="6" t="s">
        <v>67</v>
      </c>
      <c r="R980" s="6" t="s">
        <v>4707</v>
      </c>
      <c r="S980" s="27" t="s">
        <v>6037</v>
      </c>
      <c r="T980" s="6" t="s">
        <v>5531</v>
      </c>
      <c r="U980" s="7" t="n">
        <v>2</v>
      </c>
      <c r="V980" s="7" t="n">
        <v>2</v>
      </c>
      <c r="W980" s="8" t="s">
        <v>6038</v>
      </c>
      <c r="X980" s="8" t="s">
        <v>6038</v>
      </c>
      <c r="Y980" s="8" t="s">
        <v>5974</v>
      </c>
      <c r="Z980" s="8" t="s">
        <v>5974</v>
      </c>
      <c r="AA980" s="7" t="n">
        <v>355</v>
      </c>
      <c r="AB980" s="7" t="n">
        <v>311</v>
      </c>
      <c r="AC980" s="7" t="n">
        <v>732</v>
      </c>
      <c r="AD980" s="7" t="n">
        <v>3</v>
      </c>
      <c r="AE980" s="7" t="n">
        <v>4</v>
      </c>
      <c r="AF980" s="7" t="n">
        <v>34</v>
      </c>
      <c r="AG980" s="7" t="n">
        <v>39</v>
      </c>
      <c r="AH980" s="7" t="n">
        <v>11</v>
      </c>
      <c r="AI980" s="7" t="n">
        <v>15</v>
      </c>
      <c r="AJ980" s="7" t="n">
        <v>9</v>
      </c>
      <c r="AK980" s="7" t="n">
        <v>9</v>
      </c>
      <c r="AL980" s="7" t="n">
        <v>25</v>
      </c>
      <c r="AM980" s="7" t="n">
        <v>25</v>
      </c>
      <c r="AN980" s="7" t="n">
        <v>1</v>
      </c>
      <c r="AO980" s="7" t="n">
        <v>2</v>
      </c>
      <c r="AP980" s="7" t="n">
        <v>0</v>
      </c>
      <c r="AQ980" s="7" t="n">
        <v>0</v>
      </c>
      <c r="AR980" s="6" t="s">
        <v>57</v>
      </c>
      <c r="AS980" s="6" t="s">
        <v>63</v>
      </c>
      <c r="AT980" s="9" t="str">
        <f aca="false">HYPERLINK("http://catalog.hathitrust.org/Record/001681900","HathiTrust Record")</f>
        <v>HathiTrust Record</v>
      </c>
      <c r="AU980" s="9" t="str">
        <f aca="false">HYPERLINK("https://creighton-primo.hosted.exlibrisgroup.com/primo-explore/search?tab=default_tab&amp;search_scope=EVERYTHING&amp;vid=01CRU&amp;lang=en_US&amp;offset=0&amp;query=any,contains,991002998089702656","Catalog Record")</f>
        <v>Catalog Record</v>
      </c>
      <c r="AV980" s="9" t="str">
        <f aca="false">HYPERLINK("http://www.worldcat.org/oclc/566518","WorldCat Record")</f>
        <v>WorldCat Record</v>
      </c>
      <c r="AW980" s="6" t="s">
        <v>6039</v>
      </c>
      <c r="AX980" s="6" t="s">
        <v>6040</v>
      </c>
      <c r="AY980" s="6" t="s">
        <v>6041</v>
      </c>
      <c r="AZ980" s="6" t="s">
        <v>6041</v>
      </c>
      <c r="BA980" s="6" t="s">
        <v>6042</v>
      </c>
      <c r="BB980" s="6" t="s">
        <v>6043</v>
      </c>
      <c r="BC980" s="6" t="s">
        <v>6044</v>
      </c>
      <c r="BE980" s="15" t="s">
        <v>2145</v>
      </c>
      <c r="BF980" s="6" t="s">
        <v>6045</v>
      </c>
    </row>
    <row r="981" customFormat="false" ht="128.5" hidden="false" customHeight="false" outlineLevel="0" collapsed="false">
      <c r="A981" s="26" t="s">
        <v>63</v>
      </c>
      <c r="B981" s="27" t="s">
        <v>2129</v>
      </c>
      <c r="C981" s="27" t="s">
        <v>2130</v>
      </c>
      <c r="D981" s="27" t="s">
        <v>6046</v>
      </c>
      <c r="E981" s="27" t="s">
        <v>6047</v>
      </c>
      <c r="F981" s="27" t="s">
        <v>6048</v>
      </c>
      <c r="G981" s="28"/>
      <c r="H981" s="6" t="s">
        <v>63</v>
      </c>
      <c r="I981" s="6" t="s">
        <v>62</v>
      </c>
      <c r="J981" s="6" t="s">
        <v>63</v>
      </c>
      <c r="K981" s="6" t="s">
        <v>63</v>
      </c>
      <c r="L981" s="6" t="s">
        <v>64</v>
      </c>
      <c r="M981" s="28"/>
      <c r="N981" s="27" t="s">
        <v>6049</v>
      </c>
      <c r="O981" s="6" t="s">
        <v>2221</v>
      </c>
      <c r="P981" s="28"/>
      <c r="Q981" s="6" t="s">
        <v>67</v>
      </c>
      <c r="R981" s="6" t="s">
        <v>384</v>
      </c>
      <c r="S981" s="27" t="s">
        <v>6050</v>
      </c>
      <c r="T981" s="6" t="s">
        <v>5531</v>
      </c>
      <c r="U981" s="7" t="n">
        <v>5</v>
      </c>
      <c r="V981" s="7" t="n">
        <v>5</v>
      </c>
      <c r="W981" s="8" t="s">
        <v>6051</v>
      </c>
      <c r="X981" s="8" t="s">
        <v>6051</v>
      </c>
      <c r="Y981" s="8" t="s">
        <v>4624</v>
      </c>
      <c r="Z981" s="8" t="s">
        <v>4624</v>
      </c>
      <c r="AA981" s="7" t="n">
        <v>458</v>
      </c>
      <c r="AB981" s="7" t="n">
        <v>374</v>
      </c>
      <c r="AC981" s="7" t="n">
        <v>380</v>
      </c>
      <c r="AD981" s="7" t="n">
        <v>2</v>
      </c>
      <c r="AE981" s="7" t="n">
        <v>2</v>
      </c>
      <c r="AF981" s="7" t="n">
        <v>26</v>
      </c>
      <c r="AG981" s="7" t="n">
        <v>26</v>
      </c>
      <c r="AH981" s="7" t="n">
        <v>8</v>
      </c>
      <c r="AI981" s="7" t="n">
        <v>8</v>
      </c>
      <c r="AJ981" s="7" t="n">
        <v>8</v>
      </c>
      <c r="AK981" s="7" t="n">
        <v>8</v>
      </c>
      <c r="AL981" s="7" t="n">
        <v>19</v>
      </c>
      <c r="AM981" s="7" t="n">
        <v>19</v>
      </c>
      <c r="AN981" s="7" t="n">
        <v>1</v>
      </c>
      <c r="AO981" s="7" t="n">
        <v>1</v>
      </c>
      <c r="AP981" s="7" t="n">
        <v>0</v>
      </c>
      <c r="AQ981" s="7" t="n">
        <v>0</v>
      </c>
      <c r="AR981" s="6" t="s">
        <v>63</v>
      </c>
      <c r="AS981" s="6" t="s">
        <v>63</v>
      </c>
      <c r="AT981" s="28"/>
      <c r="AU981" s="9" t="str">
        <f aca="false">HYPERLINK("https://creighton-primo.hosted.exlibrisgroup.com/primo-explore/search?tab=default_tab&amp;search_scope=EVERYTHING&amp;vid=01CRU&amp;lang=en_US&amp;offset=0&amp;query=any,contains,991001178219702656","Catalog Record")</f>
        <v>Catalog Record</v>
      </c>
      <c r="AV981" s="9" t="str">
        <f aca="false">HYPERLINK("http://www.worldcat.org/oclc/17105328","WorldCat Record")</f>
        <v>WorldCat Record</v>
      </c>
      <c r="AW981" s="6" t="s">
        <v>6052</v>
      </c>
      <c r="AX981" s="6" t="s">
        <v>6053</v>
      </c>
      <c r="AY981" s="6" t="s">
        <v>6054</v>
      </c>
      <c r="AZ981" s="6" t="s">
        <v>6054</v>
      </c>
      <c r="BA981" s="6" t="s">
        <v>6055</v>
      </c>
      <c r="BB981" s="6" t="s">
        <v>6056</v>
      </c>
      <c r="BC981" s="6" t="s">
        <v>6057</v>
      </c>
      <c r="BE981" s="15" t="s">
        <v>2145</v>
      </c>
      <c r="BF981" s="6" t="s">
        <v>6058</v>
      </c>
    </row>
    <row r="982" customFormat="false" ht="71" hidden="false" customHeight="false" outlineLevel="0" collapsed="false">
      <c r="A982" s="26" t="s">
        <v>63</v>
      </c>
      <c r="B982" s="27" t="s">
        <v>2129</v>
      </c>
      <c r="C982" s="27" t="s">
        <v>2130</v>
      </c>
      <c r="D982" s="27" t="s">
        <v>6059</v>
      </c>
      <c r="E982" s="27" t="s">
        <v>6060</v>
      </c>
      <c r="F982" s="27" t="s">
        <v>6061</v>
      </c>
      <c r="G982" s="28"/>
      <c r="H982" s="6" t="s">
        <v>63</v>
      </c>
      <c r="I982" s="6" t="s">
        <v>62</v>
      </c>
      <c r="J982" s="6" t="s">
        <v>63</v>
      </c>
      <c r="K982" s="6" t="s">
        <v>63</v>
      </c>
      <c r="L982" s="6" t="s">
        <v>64</v>
      </c>
      <c r="M982" s="27" t="s">
        <v>6062</v>
      </c>
      <c r="N982" s="27" t="s">
        <v>6063</v>
      </c>
      <c r="O982" s="6" t="s">
        <v>264</v>
      </c>
      <c r="P982" s="28"/>
      <c r="Q982" s="6" t="s">
        <v>67</v>
      </c>
      <c r="R982" s="6" t="s">
        <v>68</v>
      </c>
      <c r="S982" s="28"/>
      <c r="T982" s="6" t="s">
        <v>5531</v>
      </c>
      <c r="U982" s="7" t="n">
        <v>1</v>
      </c>
      <c r="V982" s="7" t="n">
        <v>1</v>
      </c>
      <c r="W982" s="8" t="s">
        <v>6064</v>
      </c>
      <c r="X982" s="8" t="s">
        <v>6064</v>
      </c>
      <c r="Y982" s="8" t="s">
        <v>6065</v>
      </c>
      <c r="Z982" s="8" t="s">
        <v>6065</v>
      </c>
      <c r="AA982" s="7" t="n">
        <v>307</v>
      </c>
      <c r="AB982" s="7" t="n">
        <v>235</v>
      </c>
      <c r="AC982" s="7" t="n">
        <v>242</v>
      </c>
      <c r="AD982" s="7" t="n">
        <v>2</v>
      </c>
      <c r="AE982" s="7" t="n">
        <v>2</v>
      </c>
      <c r="AF982" s="7" t="n">
        <v>15</v>
      </c>
      <c r="AG982" s="7" t="n">
        <v>15</v>
      </c>
      <c r="AH982" s="7" t="n">
        <v>7</v>
      </c>
      <c r="AI982" s="7" t="n">
        <v>7</v>
      </c>
      <c r="AJ982" s="7" t="n">
        <v>4</v>
      </c>
      <c r="AK982" s="7" t="n">
        <v>4</v>
      </c>
      <c r="AL982" s="7" t="n">
        <v>7</v>
      </c>
      <c r="AM982" s="7" t="n">
        <v>7</v>
      </c>
      <c r="AN982" s="7" t="n">
        <v>1</v>
      </c>
      <c r="AO982" s="7" t="n">
        <v>1</v>
      </c>
      <c r="AP982" s="7" t="n">
        <v>0</v>
      </c>
      <c r="AQ982" s="7" t="n">
        <v>0</v>
      </c>
      <c r="AR982" s="6" t="s">
        <v>63</v>
      </c>
      <c r="AS982" s="6" t="s">
        <v>57</v>
      </c>
      <c r="AT982" s="9" t="str">
        <f aca="false">HYPERLINK("http://catalog.hathitrust.org/Record/001387308","HathiTrust Record")</f>
        <v>HathiTrust Record</v>
      </c>
      <c r="AU982" s="9" t="str">
        <f aca="false">HYPERLINK("https://creighton-primo.hosted.exlibrisgroup.com/primo-explore/search?tab=default_tab&amp;search_scope=EVERYTHING&amp;vid=01CRU&amp;lang=en_US&amp;offset=0&amp;query=any,contains,991000103549702656","Catalog Record")</f>
        <v>Catalog Record</v>
      </c>
      <c r="AV982" s="9" t="str">
        <f aca="false">HYPERLINK("http://www.worldcat.org/oclc/45523","WorldCat Record")</f>
        <v>WorldCat Record</v>
      </c>
      <c r="AW982" s="6" t="s">
        <v>6066</v>
      </c>
      <c r="AX982" s="6" t="s">
        <v>6067</v>
      </c>
      <c r="AY982" s="6" t="s">
        <v>6068</v>
      </c>
      <c r="AZ982" s="6" t="s">
        <v>6068</v>
      </c>
      <c r="BA982" s="6" t="s">
        <v>6069</v>
      </c>
      <c r="BB982" s="28"/>
      <c r="BC982" s="6" t="s">
        <v>6070</v>
      </c>
      <c r="BE982" s="15" t="s">
        <v>2145</v>
      </c>
      <c r="BF982" s="6" t="s">
        <v>6071</v>
      </c>
    </row>
    <row r="983" customFormat="false" ht="128.5" hidden="false" customHeight="false" outlineLevel="0" collapsed="false">
      <c r="A983" s="26" t="s">
        <v>63</v>
      </c>
      <c r="B983" s="27" t="s">
        <v>2129</v>
      </c>
      <c r="C983" s="27" t="s">
        <v>2130</v>
      </c>
      <c r="D983" s="27" t="s">
        <v>6072</v>
      </c>
      <c r="E983" s="27" t="s">
        <v>6073</v>
      </c>
      <c r="F983" s="27" t="s">
        <v>6074</v>
      </c>
      <c r="G983" s="28"/>
      <c r="H983" s="6" t="s">
        <v>63</v>
      </c>
      <c r="I983" s="6" t="s">
        <v>62</v>
      </c>
      <c r="J983" s="6" t="s">
        <v>63</v>
      </c>
      <c r="K983" s="6" t="s">
        <v>63</v>
      </c>
      <c r="L983" s="6" t="s">
        <v>64</v>
      </c>
      <c r="M983" s="27" t="s">
        <v>6075</v>
      </c>
      <c r="N983" s="27" t="s">
        <v>6076</v>
      </c>
      <c r="O983" s="6" t="s">
        <v>3094</v>
      </c>
      <c r="P983" s="28"/>
      <c r="Q983" s="6" t="s">
        <v>67</v>
      </c>
      <c r="R983" s="6" t="s">
        <v>123</v>
      </c>
      <c r="S983" s="27" t="s">
        <v>6077</v>
      </c>
      <c r="T983" s="6" t="s">
        <v>5531</v>
      </c>
      <c r="U983" s="7" t="n">
        <v>1</v>
      </c>
      <c r="V983" s="7" t="n">
        <v>1</v>
      </c>
      <c r="W983" s="8" t="s">
        <v>6078</v>
      </c>
      <c r="X983" s="8" t="s">
        <v>6078</v>
      </c>
      <c r="Y983" s="8" t="s">
        <v>6065</v>
      </c>
      <c r="Z983" s="8" t="s">
        <v>6065</v>
      </c>
      <c r="AA983" s="7" t="n">
        <v>194</v>
      </c>
      <c r="AB983" s="7" t="n">
        <v>169</v>
      </c>
      <c r="AC983" s="7" t="n">
        <v>177</v>
      </c>
      <c r="AD983" s="7" t="n">
        <v>1</v>
      </c>
      <c r="AE983" s="7" t="n">
        <v>1</v>
      </c>
      <c r="AF983" s="7" t="n">
        <v>20</v>
      </c>
      <c r="AG983" s="7" t="n">
        <v>20</v>
      </c>
      <c r="AH983" s="7" t="n">
        <v>7</v>
      </c>
      <c r="AI983" s="7" t="n">
        <v>7</v>
      </c>
      <c r="AJ983" s="7" t="n">
        <v>4</v>
      </c>
      <c r="AK983" s="7" t="n">
        <v>4</v>
      </c>
      <c r="AL983" s="7" t="n">
        <v>16</v>
      </c>
      <c r="AM983" s="7" t="n">
        <v>16</v>
      </c>
      <c r="AN983" s="7" t="n">
        <v>0</v>
      </c>
      <c r="AO983" s="7" t="n">
        <v>0</v>
      </c>
      <c r="AP983" s="7" t="n">
        <v>0</v>
      </c>
      <c r="AQ983" s="7" t="n">
        <v>0</v>
      </c>
      <c r="AR983" s="6" t="s">
        <v>63</v>
      </c>
      <c r="AS983" s="6" t="s">
        <v>57</v>
      </c>
      <c r="AT983" s="9" t="str">
        <f aca="false">HYPERLINK("http://catalog.hathitrust.org/Record/009465977","HathiTrust Record")</f>
        <v>HathiTrust Record</v>
      </c>
      <c r="AU983" s="9" t="str">
        <f aca="false">HYPERLINK("https://creighton-primo.hosted.exlibrisgroup.com/primo-explore/search?tab=default_tab&amp;search_scope=EVERYTHING&amp;vid=01CRU&amp;lang=en_US&amp;offset=0&amp;query=any,contains,991003708229702656","Catalog Record")</f>
        <v>Catalog Record</v>
      </c>
      <c r="AV983" s="9" t="str">
        <f aca="false">HYPERLINK("http://www.worldcat.org/oclc/1346565","WorldCat Record")</f>
        <v>WorldCat Record</v>
      </c>
      <c r="AW983" s="6" t="s">
        <v>6079</v>
      </c>
      <c r="AX983" s="6" t="s">
        <v>6080</v>
      </c>
      <c r="AY983" s="6" t="s">
        <v>6081</v>
      </c>
      <c r="AZ983" s="6" t="s">
        <v>6081</v>
      </c>
      <c r="BA983" s="6" t="s">
        <v>6082</v>
      </c>
      <c r="BB983" s="28"/>
      <c r="BC983" s="6" t="s">
        <v>6083</v>
      </c>
      <c r="BE983" s="15" t="s">
        <v>2145</v>
      </c>
      <c r="BF983" s="6" t="s">
        <v>6084</v>
      </c>
    </row>
    <row r="984" customFormat="false" ht="140" hidden="false" customHeight="false" outlineLevel="0" collapsed="false">
      <c r="A984" s="26" t="s">
        <v>63</v>
      </c>
      <c r="B984" s="27" t="s">
        <v>2129</v>
      </c>
      <c r="C984" s="27" t="s">
        <v>2130</v>
      </c>
      <c r="D984" s="27" t="s">
        <v>6085</v>
      </c>
      <c r="E984" s="27" t="s">
        <v>6086</v>
      </c>
      <c r="F984" s="27" t="s">
        <v>6087</v>
      </c>
      <c r="G984" s="28"/>
      <c r="H984" s="6" t="s">
        <v>63</v>
      </c>
      <c r="I984" s="6" t="s">
        <v>62</v>
      </c>
      <c r="J984" s="6" t="s">
        <v>63</v>
      </c>
      <c r="K984" s="6" t="s">
        <v>63</v>
      </c>
      <c r="L984" s="6" t="s">
        <v>64</v>
      </c>
      <c r="M984" s="27" t="s">
        <v>3948</v>
      </c>
      <c r="N984" s="27" t="s">
        <v>6088</v>
      </c>
      <c r="O984" s="6" t="s">
        <v>2975</v>
      </c>
      <c r="P984" s="28"/>
      <c r="Q984" s="6" t="s">
        <v>67</v>
      </c>
      <c r="R984" s="6" t="s">
        <v>1059</v>
      </c>
      <c r="S984" s="28"/>
      <c r="T984" s="6" t="s">
        <v>5531</v>
      </c>
      <c r="U984" s="7" t="n">
        <v>3</v>
      </c>
      <c r="V984" s="7" t="n">
        <v>3</v>
      </c>
      <c r="W984" s="8" t="s">
        <v>6089</v>
      </c>
      <c r="X984" s="8" t="s">
        <v>6089</v>
      </c>
      <c r="Y984" s="8" t="s">
        <v>6065</v>
      </c>
      <c r="Z984" s="8" t="s">
        <v>6065</v>
      </c>
      <c r="AA984" s="7" t="n">
        <v>654</v>
      </c>
      <c r="AB984" s="7" t="n">
        <v>556</v>
      </c>
      <c r="AC984" s="7" t="n">
        <v>560</v>
      </c>
      <c r="AD984" s="7" t="n">
        <v>6</v>
      </c>
      <c r="AE984" s="7" t="n">
        <v>6</v>
      </c>
      <c r="AF984" s="7" t="n">
        <v>38</v>
      </c>
      <c r="AG984" s="7" t="n">
        <v>38</v>
      </c>
      <c r="AH984" s="7" t="n">
        <v>12</v>
      </c>
      <c r="AI984" s="7" t="n">
        <v>12</v>
      </c>
      <c r="AJ984" s="7" t="n">
        <v>9</v>
      </c>
      <c r="AK984" s="7" t="n">
        <v>9</v>
      </c>
      <c r="AL984" s="7" t="n">
        <v>23</v>
      </c>
      <c r="AM984" s="7" t="n">
        <v>23</v>
      </c>
      <c r="AN984" s="7" t="n">
        <v>4</v>
      </c>
      <c r="AO984" s="7" t="n">
        <v>4</v>
      </c>
      <c r="AP984" s="7" t="n">
        <v>0</v>
      </c>
      <c r="AQ984" s="7" t="n">
        <v>0</v>
      </c>
      <c r="AR984" s="6" t="s">
        <v>63</v>
      </c>
      <c r="AS984" s="6" t="s">
        <v>57</v>
      </c>
      <c r="AT984" s="9" t="str">
        <f aca="false">HYPERLINK("http://catalog.hathitrust.org/Record/001387321","HathiTrust Record")</f>
        <v>HathiTrust Record</v>
      </c>
      <c r="AU984" s="9" t="str">
        <f aca="false">HYPERLINK("https://creighton-primo.hosted.exlibrisgroup.com/primo-explore/search?tab=default_tab&amp;search_scope=EVERYTHING&amp;vid=01CRU&amp;lang=en_US&amp;offset=0&amp;query=any,contains,991005432239702656","Catalog Record")</f>
        <v>Catalog Record</v>
      </c>
      <c r="AV984" s="9" t="str">
        <f aca="false">HYPERLINK("http://www.worldcat.org/oclc/1006","WorldCat Record")</f>
        <v>WorldCat Record</v>
      </c>
      <c r="AW984" s="6" t="s">
        <v>6090</v>
      </c>
      <c r="AX984" s="6" t="s">
        <v>6091</v>
      </c>
      <c r="AY984" s="6" t="s">
        <v>6092</v>
      </c>
      <c r="AZ984" s="6" t="s">
        <v>6092</v>
      </c>
      <c r="BA984" s="6" t="s">
        <v>6093</v>
      </c>
      <c r="BB984" s="28"/>
      <c r="BC984" s="6" t="s">
        <v>6094</v>
      </c>
      <c r="BE984" s="15" t="s">
        <v>2145</v>
      </c>
      <c r="BF984" s="6" t="s">
        <v>6095</v>
      </c>
    </row>
    <row r="985" customFormat="false" ht="105.5" hidden="false" customHeight="false" outlineLevel="0" collapsed="false">
      <c r="A985" s="26" t="s">
        <v>63</v>
      </c>
      <c r="B985" s="27" t="s">
        <v>2129</v>
      </c>
      <c r="C985" s="27" t="s">
        <v>2130</v>
      </c>
      <c r="D985" s="27" t="s">
        <v>6096</v>
      </c>
      <c r="E985" s="27" t="s">
        <v>6097</v>
      </c>
      <c r="F985" s="27" t="s">
        <v>6098</v>
      </c>
      <c r="G985" s="28"/>
      <c r="H985" s="6" t="s">
        <v>63</v>
      </c>
      <c r="I985" s="6" t="s">
        <v>62</v>
      </c>
      <c r="J985" s="6" t="s">
        <v>63</v>
      </c>
      <c r="K985" s="6" t="s">
        <v>63</v>
      </c>
      <c r="L985" s="6" t="s">
        <v>64</v>
      </c>
      <c r="M985" s="27" t="s">
        <v>6099</v>
      </c>
      <c r="N985" s="27" t="s">
        <v>6100</v>
      </c>
      <c r="O985" s="6" t="s">
        <v>3513</v>
      </c>
      <c r="P985" s="28"/>
      <c r="Q985" s="6" t="s">
        <v>67</v>
      </c>
      <c r="R985" s="6" t="s">
        <v>2503</v>
      </c>
      <c r="S985" s="28"/>
      <c r="T985" s="6" t="s">
        <v>5531</v>
      </c>
      <c r="U985" s="7" t="n">
        <v>1</v>
      </c>
      <c r="V985" s="7" t="n">
        <v>1</v>
      </c>
      <c r="W985" s="8" t="s">
        <v>5947</v>
      </c>
      <c r="X985" s="8" t="s">
        <v>5947</v>
      </c>
      <c r="Y985" s="8" t="s">
        <v>6065</v>
      </c>
      <c r="Z985" s="8" t="s">
        <v>6065</v>
      </c>
      <c r="AA985" s="7" t="n">
        <v>175</v>
      </c>
      <c r="AB985" s="7" t="n">
        <v>161</v>
      </c>
      <c r="AC985" s="7" t="n">
        <v>346</v>
      </c>
      <c r="AD985" s="7" t="n">
        <v>4</v>
      </c>
      <c r="AE985" s="7" t="n">
        <v>5</v>
      </c>
      <c r="AF985" s="7" t="n">
        <v>19</v>
      </c>
      <c r="AG985" s="7" t="n">
        <v>25</v>
      </c>
      <c r="AH985" s="7" t="n">
        <v>6</v>
      </c>
      <c r="AI985" s="7" t="n">
        <v>8</v>
      </c>
      <c r="AJ985" s="7" t="n">
        <v>7</v>
      </c>
      <c r="AK985" s="7" t="n">
        <v>8</v>
      </c>
      <c r="AL985" s="7" t="n">
        <v>10</v>
      </c>
      <c r="AM985" s="7" t="n">
        <v>14</v>
      </c>
      <c r="AN985" s="7" t="n">
        <v>2</v>
      </c>
      <c r="AO985" s="7" t="n">
        <v>3</v>
      </c>
      <c r="AP985" s="7" t="n">
        <v>2</v>
      </c>
      <c r="AQ985" s="7" t="n">
        <v>2</v>
      </c>
      <c r="AR985" s="6" t="s">
        <v>63</v>
      </c>
      <c r="AS985" s="6" t="s">
        <v>63</v>
      </c>
      <c r="AT985" s="9" t="str">
        <f aca="false">HYPERLINK("http://catalog.hathitrust.org/Record/001387461","HathiTrust Record")</f>
        <v>HathiTrust Record</v>
      </c>
      <c r="AU985" s="9" t="str">
        <f aca="false">HYPERLINK("https://creighton-primo.hosted.exlibrisgroup.com/primo-explore/search?tab=default_tab&amp;search_scope=EVERYTHING&amp;vid=01CRU&amp;lang=en_US&amp;offset=0&amp;query=any,contains,991003436579702656","Catalog Record")</f>
        <v>Catalog Record</v>
      </c>
      <c r="AV985" s="9" t="str">
        <f aca="false">HYPERLINK("http://www.worldcat.org/oclc/972105","WorldCat Record")</f>
        <v>WorldCat Record</v>
      </c>
      <c r="AW985" s="6" t="s">
        <v>6101</v>
      </c>
      <c r="AX985" s="6" t="s">
        <v>6102</v>
      </c>
      <c r="AY985" s="6" t="s">
        <v>6103</v>
      </c>
      <c r="AZ985" s="6" t="s">
        <v>6103</v>
      </c>
      <c r="BA985" s="6" t="s">
        <v>6104</v>
      </c>
      <c r="BB985" s="28"/>
      <c r="BC985" s="6" t="s">
        <v>6105</v>
      </c>
      <c r="BE985" s="15" t="s">
        <v>2145</v>
      </c>
      <c r="BF985" s="6" t="s">
        <v>6106</v>
      </c>
    </row>
    <row r="986" customFormat="false" ht="232" hidden="false" customHeight="false" outlineLevel="0" collapsed="false">
      <c r="A986" s="26" t="s">
        <v>63</v>
      </c>
      <c r="B986" s="27" t="s">
        <v>2129</v>
      </c>
      <c r="C986" s="27" t="s">
        <v>2130</v>
      </c>
      <c r="D986" s="27" t="s">
        <v>6107</v>
      </c>
      <c r="E986" s="27" t="s">
        <v>6108</v>
      </c>
      <c r="F986" s="27" t="s">
        <v>6109</v>
      </c>
      <c r="G986" s="28"/>
      <c r="H986" s="6" t="s">
        <v>63</v>
      </c>
      <c r="I986" s="6" t="s">
        <v>62</v>
      </c>
      <c r="J986" s="6" t="s">
        <v>63</v>
      </c>
      <c r="K986" s="6" t="s">
        <v>63</v>
      </c>
      <c r="L986" s="6" t="s">
        <v>64</v>
      </c>
      <c r="M986" s="27" t="s">
        <v>6110</v>
      </c>
      <c r="N986" s="27" t="s">
        <v>6111</v>
      </c>
      <c r="O986" s="6" t="s">
        <v>2975</v>
      </c>
      <c r="P986" s="28"/>
      <c r="Q986" s="6" t="s">
        <v>67</v>
      </c>
      <c r="R986" s="6" t="s">
        <v>123</v>
      </c>
      <c r="S986" s="28"/>
      <c r="T986" s="6" t="s">
        <v>5531</v>
      </c>
      <c r="U986" s="7" t="n">
        <v>4</v>
      </c>
      <c r="V986" s="7" t="n">
        <v>4</v>
      </c>
      <c r="W986" s="8" t="s">
        <v>6112</v>
      </c>
      <c r="X986" s="8" t="s">
        <v>6112</v>
      </c>
      <c r="Y986" s="8" t="s">
        <v>6113</v>
      </c>
      <c r="Z986" s="8" t="s">
        <v>6113</v>
      </c>
      <c r="AA986" s="7" t="n">
        <v>390</v>
      </c>
      <c r="AB986" s="7" t="n">
        <v>365</v>
      </c>
      <c r="AC986" s="7" t="n">
        <v>392</v>
      </c>
      <c r="AD986" s="7" t="n">
        <v>4</v>
      </c>
      <c r="AE986" s="7" t="n">
        <v>4</v>
      </c>
      <c r="AF986" s="7" t="n">
        <v>14</v>
      </c>
      <c r="AG986" s="7" t="n">
        <v>15</v>
      </c>
      <c r="AH986" s="7" t="n">
        <v>5</v>
      </c>
      <c r="AI986" s="7" t="n">
        <v>6</v>
      </c>
      <c r="AJ986" s="7" t="n">
        <v>2</v>
      </c>
      <c r="AK986" s="7" t="n">
        <v>2</v>
      </c>
      <c r="AL986" s="7" t="n">
        <v>8</v>
      </c>
      <c r="AM986" s="7" t="n">
        <v>8</v>
      </c>
      <c r="AN986" s="7" t="n">
        <v>2</v>
      </c>
      <c r="AO986" s="7" t="n">
        <v>2</v>
      </c>
      <c r="AP986" s="7" t="n">
        <v>0</v>
      </c>
      <c r="AQ986" s="7" t="n">
        <v>0</v>
      </c>
      <c r="AR986" s="6" t="s">
        <v>63</v>
      </c>
      <c r="AS986" s="6" t="s">
        <v>63</v>
      </c>
      <c r="AT986" s="28"/>
      <c r="AU986" s="9" t="str">
        <f aca="false">HYPERLINK("https://creighton-primo.hosted.exlibrisgroup.com/primo-explore/search?tab=default_tab&amp;search_scope=EVERYTHING&amp;vid=01CRU&amp;lang=en_US&amp;offset=0&amp;query=any,contains,991003477759702656","Catalog Record")</f>
        <v>Catalog Record</v>
      </c>
      <c r="AV986" s="9" t="str">
        <f aca="false">HYPERLINK("http://www.worldcat.org/oclc/1023260","WorldCat Record")</f>
        <v>WorldCat Record</v>
      </c>
      <c r="AW986" s="6" t="s">
        <v>6114</v>
      </c>
      <c r="AX986" s="6" t="s">
        <v>6115</v>
      </c>
      <c r="AY986" s="6" t="s">
        <v>6116</v>
      </c>
      <c r="AZ986" s="6" t="s">
        <v>6116</v>
      </c>
      <c r="BA986" s="6" t="s">
        <v>6117</v>
      </c>
      <c r="BB986" s="28"/>
      <c r="BC986" s="6" t="s">
        <v>6118</v>
      </c>
      <c r="BE986" s="15" t="s">
        <v>2145</v>
      </c>
      <c r="BF986" s="6" t="s">
        <v>6119</v>
      </c>
    </row>
    <row r="987" customFormat="false" ht="128.5" hidden="false" customHeight="false" outlineLevel="0" collapsed="false">
      <c r="A987" s="26" t="s">
        <v>63</v>
      </c>
      <c r="B987" s="27" t="s">
        <v>2129</v>
      </c>
      <c r="C987" s="27" t="s">
        <v>2130</v>
      </c>
      <c r="D987" s="27" t="s">
        <v>6120</v>
      </c>
      <c r="E987" s="27" t="s">
        <v>6121</v>
      </c>
      <c r="F987" s="27" t="s">
        <v>6122</v>
      </c>
      <c r="G987" s="28"/>
      <c r="H987" s="6" t="s">
        <v>63</v>
      </c>
      <c r="I987" s="6" t="s">
        <v>62</v>
      </c>
      <c r="J987" s="6" t="s">
        <v>63</v>
      </c>
      <c r="K987" s="6" t="s">
        <v>63</v>
      </c>
      <c r="L987" s="6" t="s">
        <v>64</v>
      </c>
      <c r="M987" s="27" t="s">
        <v>6123</v>
      </c>
      <c r="N987" s="27" t="s">
        <v>6124</v>
      </c>
      <c r="O987" s="6" t="s">
        <v>2411</v>
      </c>
      <c r="P987" s="28"/>
      <c r="Q987" s="6" t="s">
        <v>67</v>
      </c>
      <c r="R987" s="6" t="s">
        <v>384</v>
      </c>
      <c r="S987" s="28"/>
      <c r="T987" s="6" t="s">
        <v>5531</v>
      </c>
      <c r="U987" s="7" t="n">
        <v>5</v>
      </c>
      <c r="V987" s="7" t="n">
        <v>5</v>
      </c>
      <c r="W987" s="8" t="s">
        <v>6125</v>
      </c>
      <c r="X987" s="8" t="s">
        <v>6125</v>
      </c>
      <c r="Y987" s="8" t="s">
        <v>6113</v>
      </c>
      <c r="Z987" s="8" t="s">
        <v>6113</v>
      </c>
      <c r="AA987" s="7" t="n">
        <v>598</v>
      </c>
      <c r="AB987" s="7" t="n">
        <v>443</v>
      </c>
      <c r="AC987" s="7" t="n">
        <v>455</v>
      </c>
      <c r="AD987" s="7" t="n">
        <v>2</v>
      </c>
      <c r="AE987" s="7" t="n">
        <v>2</v>
      </c>
      <c r="AF987" s="7" t="n">
        <v>32</v>
      </c>
      <c r="AG987" s="7" t="n">
        <v>32</v>
      </c>
      <c r="AH987" s="7" t="n">
        <v>8</v>
      </c>
      <c r="AI987" s="7" t="n">
        <v>8</v>
      </c>
      <c r="AJ987" s="7" t="n">
        <v>7</v>
      </c>
      <c r="AK987" s="7" t="n">
        <v>7</v>
      </c>
      <c r="AL987" s="7" t="n">
        <v>16</v>
      </c>
      <c r="AM987" s="7" t="n">
        <v>16</v>
      </c>
      <c r="AN987" s="7" t="n">
        <v>1</v>
      </c>
      <c r="AO987" s="7" t="n">
        <v>1</v>
      </c>
      <c r="AP987" s="7" t="n">
        <v>7</v>
      </c>
      <c r="AQ987" s="7" t="n">
        <v>7</v>
      </c>
      <c r="AR987" s="6" t="s">
        <v>63</v>
      </c>
      <c r="AS987" s="6" t="s">
        <v>57</v>
      </c>
      <c r="AT987" s="9" t="str">
        <f aca="false">HYPERLINK("http://catalog.hathitrust.org/Record/001088232","HathiTrust Record")</f>
        <v>HathiTrust Record</v>
      </c>
      <c r="AU987" s="9" t="str">
        <f aca="false">HYPERLINK("https://creighton-primo.hosted.exlibrisgroup.com/primo-explore/search?tab=default_tab&amp;search_scope=EVERYTHING&amp;vid=01CRU&amp;lang=en_US&amp;offset=0&amp;query=any,contains,991001318569702656","Catalog Record")</f>
        <v>Catalog Record</v>
      </c>
      <c r="AV987" s="9" t="str">
        <f aca="false">HYPERLINK("http://www.worldcat.org/oclc/18192464","WorldCat Record")</f>
        <v>WorldCat Record</v>
      </c>
      <c r="AW987" s="6" t="s">
        <v>6126</v>
      </c>
      <c r="AX987" s="6" t="s">
        <v>6127</v>
      </c>
      <c r="AY987" s="6" t="s">
        <v>6128</v>
      </c>
      <c r="AZ987" s="6" t="s">
        <v>6128</v>
      </c>
      <c r="BA987" s="6" t="s">
        <v>6129</v>
      </c>
      <c r="BB987" s="6" t="s">
        <v>6130</v>
      </c>
      <c r="BC987" s="6" t="s">
        <v>6131</v>
      </c>
      <c r="BE987" s="15" t="s">
        <v>2145</v>
      </c>
      <c r="BF987" s="6" t="s">
        <v>6132</v>
      </c>
    </row>
    <row r="988" customFormat="false" ht="174.5" hidden="false" customHeight="false" outlineLevel="0" collapsed="false">
      <c r="A988" s="26" t="s">
        <v>63</v>
      </c>
      <c r="B988" s="27" t="s">
        <v>2129</v>
      </c>
      <c r="C988" s="27" t="s">
        <v>2130</v>
      </c>
      <c r="D988" s="27" t="s">
        <v>6133</v>
      </c>
      <c r="E988" s="27" t="s">
        <v>6134</v>
      </c>
      <c r="F988" s="27" t="s">
        <v>6135</v>
      </c>
      <c r="G988" s="28"/>
      <c r="H988" s="6" t="s">
        <v>63</v>
      </c>
      <c r="I988" s="6" t="s">
        <v>62</v>
      </c>
      <c r="J988" s="6" t="s">
        <v>63</v>
      </c>
      <c r="K988" s="6" t="s">
        <v>63</v>
      </c>
      <c r="L988" s="6" t="s">
        <v>64</v>
      </c>
      <c r="M988" s="27" t="s">
        <v>6136</v>
      </c>
      <c r="N988" s="27" t="s">
        <v>6137</v>
      </c>
      <c r="O988" s="6" t="s">
        <v>152</v>
      </c>
      <c r="P988" s="27" t="s">
        <v>327</v>
      </c>
      <c r="Q988" s="6" t="s">
        <v>67</v>
      </c>
      <c r="R988" s="6" t="s">
        <v>181</v>
      </c>
      <c r="S988" s="28"/>
      <c r="T988" s="6" t="s">
        <v>6138</v>
      </c>
      <c r="U988" s="7" t="n">
        <v>3</v>
      </c>
      <c r="V988" s="7" t="n">
        <v>3</v>
      </c>
      <c r="W988" s="8" t="s">
        <v>6139</v>
      </c>
      <c r="X988" s="8" t="s">
        <v>6139</v>
      </c>
      <c r="Y988" s="8" t="s">
        <v>6140</v>
      </c>
      <c r="Z988" s="8" t="s">
        <v>6140</v>
      </c>
      <c r="AA988" s="7" t="n">
        <v>733</v>
      </c>
      <c r="AB988" s="7" t="n">
        <v>652</v>
      </c>
      <c r="AC988" s="7" t="n">
        <v>652</v>
      </c>
      <c r="AD988" s="7" t="n">
        <v>5</v>
      </c>
      <c r="AE988" s="7" t="n">
        <v>5</v>
      </c>
      <c r="AF988" s="7" t="n">
        <v>23</v>
      </c>
      <c r="AG988" s="7" t="n">
        <v>23</v>
      </c>
      <c r="AH988" s="7" t="n">
        <v>8</v>
      </c>
      <c r="AI988" s="7" t="n">
        <v>8</v>
      </c>
      <c r="AJ988" s="7" t="n">
        <v>6</v>
      </c>
      <c r="AK988" s="7" t="n">
        <v>6</v>
      </c>
      <c r="AL988" s="7" t="n">
        <v>14</v>
      </c>
      <c r="AM988" s="7" t="n">
        <v>14</v>
      </c>
      <c r="AN988" s="7" t="n">
        <v>3</v>
      </c>
      <c r="AO988" s="7" t="n">
        <v>3</v>
      </c>
      <c r="AP988" s="7" t="n">
        <v>0</v>
      </c>
      <c r="AQ988" s="7" t="n">
        <v>0</v>
      </c>
      <c r="AR988" s="6" t="s">
        <v>63</v>
      </c>
      <c r="AS988" s="6" t="s">
        <v>63</v>
      </c>
      <c r="AT988" s="28"/>
      <c r="AU988" s="9" t="str">
        <f aca="false">HYPERLINK("https://creighton-primo.hosted.exlibrisgroup.com/primo-explore/search?tab=default_tab&amp;search_scope=EVERYTHING&amp;vid=01CRU&amp;lang=en_US&amp;offset=0&amp;query=any,contains,991000354499702656","Catalog Record")</f>
        <v>Catalog Record</v>
      </c>
      <c r="AV988" s="9" t="str">
        <f aca="false">HYPERLINK("http://www.worldcat.org/oclc/10323831","WorldCat Record")</f>
        <v>WorldCat Record</v>
      </c>
      <c r="AW988" s="6" t="s">
        <v>6141</v>
      </c>
      <c r="AX988" s="6" t="s">
        <v>6142</v>
      </c>
      <c r="AY988" s="6" t="s">
        <v>6143</v>
      </c>
      <c r="AZ988" s="6" t="s">
        <v>6143</v>
      </c>
      <c r="BA988" s="6" t="s">
        <v>6144</v>
      </c>
      <c r="BB988" s="6" t="s">
        <v>6145</v>
      </c>
      <c r="BC988" s="6" t="s">
        <v>6146</v>
      </c>
      <c r="BE988" s="15" t="s">
        <v>2145</v>
      </c>
      <c r="BF988" s="6" t="s">
        <v>6147</v>
      </c>
    </row>
    <row r="989" customFormat="false" ht="105.5" hidden="false" customHeight="false" outlineLevel="0" collapsed="false">
      <c r="A989" s="26" t="s">
        <v>57</v>
      </c>
      <c r="B989" s="27" t="s">
        <v>2129</v>
      </c>
      <c r="C989" s="27" t="s">
        <v>2130</v>
      </c>
      <c r="D989" s="27" t="s">
        <v>6148</v>
      </c>
      <c r="E989" s="27" t="s">
        <v>6149</v>
      </c>
      <c r="F989" s="27" t="s">
        <v>6150</v>
      </c>
      <c r="G989" s="28"/>
      <c r="H989" s="6" t="s">
        <v>63</v>
      </c>
      <c r="I989" s="6" t="s">
        <v>62</v>
      </c>
      <c r="J989" s="6" t="s">
        <v>63</v>
      </c>
      <c r="K989" s="6" t="s">
        <v>63</v>
      </c>
      <c r="L989" s="6" t="s">
        <v>64</v>
      </c>
      <c r="M989" s="27" t="s">
        <v>6151</v>
      </c>
      <c r="N989" s="27" t="s">
        <v>6152</v>
      </c>
      <c r="O989" s="6" t="s">
        <v>152</v>
      </c>
      <c r="P989" s="28"/>
      <c r="Q989" s="6" t="s">
        <v>67</v>
      </c>
      <c r="R989" s="6" t="s">
        <v>222</v>
      </c>
      <c r="S989" s="28"/>
      <c r="T989" s="6" t="s">
        <v>6138</v>
      </c>
      <c r="U989" s="7" t="n">
        <v>2</v>
      </c>
      <c r="V989" s="7" t="n">
        <v>2</v>
      </c>
      <c r="W989" s="8" t="s">
        <v>6153</v>
      </c>
      <c r="X989" s="8" t="s">
        <v>6153</v>
      </c>
      <c r="Y989" s="8" t="s">
        <v>6140</v>
      </c>
      <c r="Z989" s="8" t="s">
        <v>6140</v>
      </c>
      <c r="AA989" s="7" t="n">
        <v>526</v>
      </c>
      <c r="AB989" s="7" t="n">
        <v>403</v>
      </c>
      <c r="AC989" s="7" t="n">
        <v>409</v>
      </c>
      <c r="AD989" s="7" t="n">
        <v>3</v>
      </c>
      <c r="AE989" s="7" t="n">
        <v>3</v>
      </c>
      <c r="AF989" s="7" t="n">
        <v>24</v>
      </c>
      <c r="AG989" s="7" t="n">
        <v>24</v>
      </c>
      <c r="AH989" s="7" t="n">
        <v>10</v>
      </c>
      <c r="AI989" s="7" t="n">
        <v>10</v>
      </c>
      <c r="AJ989" s="7" t="n">
        <v>8</v>
      </c>
      <c r="AK989" s="7" t="n">
        <v>8</v>
      </c>
      <c r="AL989" s="7" t="n">
        <v>14</v>
      </c>
      <c r="AM989" s="7" t="n">
        <v>14</v>
      </c>
      <c r="AN989" s="7" t="n">
        <v>2</v>
      </c>
      <c r="AO989" s="7" t="n">
        <v>2</v>
      </c>
      <c r="AP989" s="7" t="n">
        <v>0</v>
      </c>
      <c r="AQ989" s="7" t="n">
        <v>0</v>
      </c>
      <c r="AR989" s="6" t="s">
        <v>63</v>
      </c>
      <c r="AS989" s="6" t="s">
        <v>63</v>
      </c>
      <c r="AT989" s="28"/>
      <c r="AU989" s="9" t="str">
        <f aca="false">HYPERLINK("https://creighton-primo.hosted.exlibrisgroup.com/primo-explore/search?tab=default_tab&amp;search_scope=EVERYTHING&amp;vid=01CRU&amp;lang=en_US&amp;offset=0&amp;query=any,contains,991000324859702656","Catalog Record")</f>
        <v>Catalog Record</v>
      </c>
      <c r="AV989" s="9" t="str">
        <f aca="false">HYPERLINK("http://www.worldcat.org/oclc/10163315","WorldCat Record")</f>
        <v>WorldCat Record</v>
      </c>
      <c r="AW989" s="6" t="s">
        <v>6154</v>
      </c>
      <c r="AX989" s="6" t="s">
        <v>6155</v>
      </c>
      <c r="AY989" s="6" t="s">
        <v>6156</v>
      </c>
      <c r="AZ989" s="6" t="s">
        <v>6156</v>
      </c>
      <c r="BA989" s="6" t="s">
        <v>6157</v>
      </c>
      <c r="BB989" s="6" t="s">
        <v>6158</v>
      </c>
      <c r="BC989" s="6" t="s">
        <v>6159</v>
      </c>
      <c r="BE989" s="15" t="s">
        <v>2145</v>
      </c>
      <c r="BF989" s="6" t="s">
        <v>6160</v>
      </c>
    </row>
    <row r="990" customFormat="false" ht="197.5" hidden="false" customHeight="false" outlineLevel="0" collapsed="false">
      <c r="A990" s="26" t="s">
        <v>57</v>
      </c>
      <c r="B990" s="27" t="s">
        <v>2129</v>
      </c>
      <c r="C990" s="27" t="s">
        <v>2130</v>
      </c>
      <c r="D990" s="27" t="s">
        <v>6161</v>
      </c>
      <c r="E990" s="27" t="s">
        <v>6162</v>
      </c>
      <c r="F990" s="27" t="s">
        <v>6163</v>
      </c>
      <c r="G990" s="28"/>
      <c r="H990" s="6" t="s">
        <v>63</v>
      </c>
      <c r="I990" s="6" t="s">
        <v>62</v>
      </c>
      <c r="J990" s="6" t="s">
        <v>63</v>
      </c>
      <c r="K990" s="6" t="s">
        <v>63</v>
      </c>
      <c r="L990" s="6" t="s">
        <v>64</v>
      </c>
      <c r="M990" s="28"/>
      <c r="N990" s="27" t="s">
        <v>6164</v>
      </c>
      <c r="O990" s="6" t="s">
        <v>2315</v>
      </c>
      <c r="P990" s="28"/>
      <c r="Q990" s="6" t="s">
        <v>67</v>
      </c>
      <c r="R990" s="6" t="s">
        <v>384</v>
      </c>
      <c r="S990" s="28"/>
      <c r="T990" s="6" t="s">
        <v>6138</v>
      </c>
      <c r="U990" s="7" t="n">
        <v>8</v>
      </c>
      <c r="V990" s="7" t="n">
        <v>8</v>
      </c>
      <c r="W990" s="8" t="s">
        <v>6153</v>
      </c>
      <c r="X990" s="8" t="s">
        <v>6153</v>
      </c>
      <c r="Y990" s="8" t="s">
        <v>6165</v>
      </c>
      <c r="Z990" s="8" t="s">
        <v>6165</v>
      </c>
      <c r="AA990" s="7" t="n">
        <v>569</v>
      </c>
      <c r="AB990" s="7" t="n">
        <v>431</v>
      </c>
      <c r="AC990" s="7" t="n">
        <v>437</v>
      </c>
      <c r="AD990" s="7" t="n">
        <v>1</v>
      </c>
      <c r="AE990" s="7" t="n">
        <v>1</v>
      </c>
      <c r="AF990" s="7" t="n">
        <v>26</v>
      </c>
      <c r="AG990" s="7" t="n">
        <v>26</v>
      </c>
      <c r="AH990" s="7" t="n">
        <v>10</v>
      </c>
      <c r="AI990" s="7" t="n">
        <v>10</v>
      </c>
      <c r="AJ990" s="7" t="n">
        <v>9</v>
      </c>
      <c r="AK990" s="7" t="n">
        <v>9</v>
      </c>
      <c r="AL990" s="7" t="n">
        <v>14</v>
      </c>
      <c r="AM990" s="7" t="n">
        <v>14</v>
      </c>
      <c r="AN990" s="7" t="n">
        <v>0</v>
      </c>
      <c r="AO990" s="7" t="n">
        <v>0</v>
      </c>
      <c r="AP990" s="7" t="n">
        <v>0</v>
      </c>
      <c r="AQ990" s="7" t="n">
        <v>0</v>
      </c>
      <c r="AR990" s="6" t="s">
        <v>63</v>
      </c>
      <c r="AS990" s="6" t="s">
        <v>63</v>
      </c>
      <c r="AT990" s="28"/>
      <c r="AU990" s="9" t="str">
        <f aca="false">HYPERLINK("https://creighton-primo.hosted.exlibrisgroup.com/primo-explore/search?tab=default_tab&amp;search_scope=EVERYTHING&amp;vid=01CRU&amp;lang=en_US&amp;offset=0&amp;query=any,contains,991000588159702656","Catalog Record")</f>
        <v>Catalog Record</v>
      </c>
      <c r="AV990" s="9" t="str">
        <f aca="false">HYPERLINK("http://www.worldcat.org/oclc/11782895","WorldCat Record")</f>
        <v>WorldCat Record</v>
      </c>
      <c r="AW990" s="6" t="s">
        <v>6166</v>
      </c>
      <c r="AX990" s="6" t="s">
        <v>6167</v>
      </c>
      <c r="AY990" s="6" t="s">
        <v>6168</v>
      </c>
      <c r="AZ990" s="6" t="s">
        <v>6168</v>
      </c>
      <c r="BA990" s="6" t="s">
        <v>6169</v>
      </c>
      <c r="BB990" s="6" t="s">
        <v>6170</v>
      </c>
      <c r="BC990" s="6" t="s">
        <v>6171</v>
      </c>
      <c r="BE990" s="15" t="s">
        <v>2145</v>
      </c>
      <c r="BF990" s="6" t="s">
        <v>6172</v>
      </c>
    </row>
    <row r="991" customFormat="false" ht="117" hidden="false" customHeight="false" outlineLevel="0" collapsed="false">
      <c r="A991" s="26" t="s">
        <v>63</v>
      </c>
      <c r="B991" s="27" t="s">
        <v>2129</v>
      </c>
      <c r="C991" s="27" t="s">
        <v>2130</v>
      </c>
      <c r="D991" s="27" t="s">
        <v>6173</v>
      </c>
      <c r="E991" s="27" t="s">
        <v>6174</v>
      </c>
      <c r="F991" s="27" t="s">
        <v>6175</v>
      </c>
      <c r="G991" s="28"/>
      <c r="H991" s="6" t="s">
        <v>63</v>
      </c>
      <c r="I991" s="6" t="s">
        <v>62</v>
      </c>
      <c r="J991" s="6" t="s">
        <v>63</v>
      </c>
      <c r="K991" s="6" t="s">
        <v>63</v>
      </c>
      <c r="L991" s="6" t="s">
        <v>64</v>
      </c>
      <c r="M991" s="28"/>
      <c r="N991" s="27" t="s">
        <v>6176</v>
      </c>
      <c r="O991" s="6" t="s">
        <v>246</v>
      </c>
      <c r="P991" s="28"/>
      <c r="Q991" s="6" t="s">
        <v>67</v>
      </c>
      <c r="R991" s="6" t="s">
        <v>384</v>
      </c>
      <c r="S991" s="28"/>
      <c r="T991" s="6" t="s">
        <v>6138</v>
      </c>
      <c r="U991" s="7" t="n">
        <v>1</v>
      </c>
      <c r="V991" s="7" t="n">
        <v>1</v>
      </c>
      <c r="W991" s="8" t="s">
        <v>6177</v>
      </c>
      <c r="X991" s="8" t="s">
        <v>6177</v>
      </c>
      <c r="Y991" s="8" t="s">
        <v>6140</v>
      </c>
      <c r="Z991" s="8" t="s">
        <v>6140</v>
      </c>
      <c r="AA991" s="7" t="n">
        <v>533</v>
      </c>
      <c r="AB991" s="7" t="n">
        <v>384</v>
      </c>
      <c r="AC991" s="7" t="n">
        <v>395</v>
      </c>
      <c r="AD991" s="7" t="n">
        <v>4</v>
      </c>
      <c r="AE991" s="7" t="n">
        <v>4</v>
      </c>
      <c r="AF991" s="7" t="n">
        <v>23</v>
      </c>
      <c r="AG991" s="7" t="n">
        <v>23</v>
      </c>
      <c r="AH991" s="7" t="n">
        <v>7</v>
      </c>
      <c r="AI991" s="7" t="n">
        <v>7</v>
      </c>
      <c r="AJ991" s="7" t="n">
        <v>7</v>
      </c>
      <c r="AK991" s="7" t="n">
        <v>7</v>
      </c>
      <c r="AL991" s="7" t="n">
        <v>12</v>
      </c>
      <c r="AM991" s="7" t="n">
        <v>12</v>
      </c>
      <c r="AN991" s="7" t="n">
        <v>3</v>
      </c>
      <c r="AO991" s="7" t="n">
        <v>3</v>
      </c>
      <c r="AP991" s="7" t="n">
        <v>0</v>
      </c>
      <c r="AQ991" s="7" t="n">
        <v>0</v>
      </c>
      <c r="AR991" s="6" t="s">
        <v>63</v>
      </c>
      <c r="AS991" s="6" t="s">
        <v>63</v>
      </c>
      <c r="AT991" s="28"/>
      <c r="AU991" s="9" t="str">
        <f aca="false">HYPERLINK("https://creighton-primo.hosted.exlibrisgroup.com/primo-explore/search?tab=default_tab&amp;search_scope=EVERYTHING&amp;vid=01CRU&amp;lang=en_US&amp;offset=0&amp;query=any,contains,991004713719702656","Catalog Record")</f>
        <v>Catalog Record</v>
      </c>
      <c r="AV991" s="9" t="str">
        <f aca="false">HYPERLINK("http://www.worldcat.org/oclc/4775275","WorldCat Record")</f>
        <v>WorldCat Record</v>
      </c>
      <c r="AW991" s="6" t="s">
        <v>6178</v>
      </c>
      <c r="AX991" s="6" t="s">
        <v>6179</v>
      </c>
      <c r="AY991" s="6" t="s">
        <v>6180</v>
      </c>
      <c r="AZ991" s="6" t="s">
        <v>6180</v>
      </c>
      <c r="BA991" s="6" t="s">
        <v>6181</v>
      </c>
      <c r="BB991" s="6" t="s">
        <v>6182</v>
      </c>
      <c r="BC991" s="6" t="s">
        <v>6183</v>
      </c>
      <c r="BE991" s="15" t="s">
        <v>2145</v>
      </c>
      <c r="BF991" s="6" t="s">
        <v>6184</v>
      </c>
    </row>
    <row r="992" customFormat="false" ht="151.5" hidden="false" customHeight="false" outlineLevel="0" collapsed="false">
      <c r="A992" s="26" t="s">
        <v>63</v>
      </c>
      <c r="B992" s="27" t="s">
        <v>2129</v>
      </c>
      <c r="C992" s="27" t="s">
        <v>2130</v>
      </c>
      <c r="D992" s="27" t="s">
        <v>6185</v>
      </c>
      <c r="E992" s="27" t="s">
        <v>6186</v>
      </c>
      <c r="F992" s="27" t="s">
        <v>6187</v>
      </c>
      <c r="G992" s="28"/>
      <c r="H992" s="6" t="s">
        <v>63</v>
      </c>
      <c r="I992" s="6" t="s">
        <v>62</v>
      </c>
      <c r="J992" s="6" t="s">
        <v>63</v>
      </c>
      <c r="K992" s="6" t="s">
        <v>63</v>
      </c>
      <c r="L992" s="6" t="s">
        <v>64</v>
      </c>
      <c r="M992" s="27" t="s">
        <v>6188</v>
      </c>
      <c r="N992" s="27" t="s">
        <v>6189</v>
      </c>
      <c r="O992" s="6" t="s">
        <v>3697</v>
      </c>
      <c r="P992" s="28"/>
      <c r="Q992" s="6" t="s">
        <v>67</v>
      </c>
      <c r="R992" s="6" t="s">
        <v>1224</v>
      </c>
      <c r="S992" s="27" t="s">
        <v>6190</v>
      </c>
      <c r="T992" s="6" t="s">
        <v>6138</v>
      </c>
      <c r="U992" s="7" t="n">
        <v>1</v>
      </c>
      <c r="V992" s="7" t="n">
        <v>1</v>
      </c>
      <c r="W992" s="8" t="s">
        <v>6191</v>
      </c>
      <c r="X992" s="8" t="s">
        <v>6191</v>
      </c>
      <c r="Y992" s="8" t="s">
        <v>6192</v>
      </c>
      <c r="Z992" s="8" t="s">
        <v>6192</v>
      </c>
      <c r="AA992" s="7" t="n">
        <v>286</v>
      </c>
      <c r="AB992" s="7" t="n">
        <v>231</v>
      </c>
      <c r="AC992" s="7" t="n">
        <v>233</v>
      </c>
      <c r="AD992" s="7" t="n">
        <v>2</v>
      </c>
      <c r="AE992" s="7" t="n">
        <v>2</v>
      </c>
      <c r="AF992" s="7" t="n">
        <v>16</v>
      </c>
      <c r="AG992" s="7" t="n">
        <v>16</v>
      </c>
      <c r="AH992" s="7" t="n">
        <v>3</v>
      </c>
      <c r="AI992" s="7" t="n">
        <v>3</v>
      </c>
      <c r="AJ992" s="7" t="n">
        <v>5</v>
      </c>
      <c r="AK992" s="7" t="n">
        <v>5</v>
      </c>
      <c r="AL992" s="7" t="n">
        <v>12</v>
      </c>
      <c r="AM992" s="7" t="n">
        <v>12</v>
      </c>
      <c r="AN992" s="7" t="n">
        <v>1</v>
      </c>
      <c r="AO992" s="7" t="n">
        <v>1</v>
      </c>
      <c r="AP992" s="7" t="n">
        <v>0</v>
      </c>
      <c r="AQ992" s="7" t="n">
        <v>0</v>
      </c>
      <c r="AR992" s="6" t="s">
        <v>63</v>
      </c>
      <c r="AS992" s="6" t="s">
        <v>63</v>
      </c>
      <c r="AT992" s="28"/>
      <c r="AU992" s="9" t="str">
        <f aca="false">HYPERLINK("https://creighton-primo.hosted.exlibrisgroup.com/primo-explore/search?tab=default_tab&amp;search_scope=EVERYTHING&amp;vid=01CRU&amp;lang=en_US&amp;offset=0&amp;query=any,contains,991001346279702656","Catalog Record")</f>
        <v>Catalog Record</v>
      </c>
      <c r="AV992" s="9" t="str">
        <f aca="false">HYPERLINK("http://www.worldcat.org/oclc/18414653","WorldCat Record")</f>
        <v>WorldCat Record</v>
      </c>
      <c r="AW992" s="6" t="s">
        <v>6193</v>
      </c>
      <c r="AX992" s="6" t="s">
        <v>6194</v>
      </c>
      <c r="AY992" s="6" t="s">
        <v>6195</v>
      </c>
      <c r="AZ992" s="6" t="s">
        <v>6195</v>
      </c>
      <c r="BA992" s="6" t="s">
        <v>6196</v>
      </c>
      <c r="BB992" s="6" t="s">
        <v>6197</v>
      </c>
      <c r="BC992" s="6" t="s">
        <v>6198</v>
      </c>
      <c r="BE992" s="15" t="s">
        <v>2145</v>
      </c>
      <c r="BF992" s="6" t="s">
        <v>6199</v>
      </c>
    </row>
    <row r="993" customFormat="false" ht="197.5" hidden="false" customHeight="false" outlineLevel="0" collapsed="false">
      <c r="A993" s="26" t="s">
        <v>63</v>
      </c>
      <c r="B993" s="27" t="s">
        <v>2129</v>
      </c>
      <c r="C993" s="27" t="s">
        <v>2130</v>
      </c>
      <c r="D993" s="27" t="s">
        <v>6200</v>
      </c>
      <c r="E993" s="27" t="s">
        <v>6201</v>
      </c>
      <c r="F993" s="27" t="s">
        <v>6202</v>
      </c>
      <c r="G993" s="28"/>
      <c r="H993" s="6" t="s">
        <v>63</v>
      </c>
      <c r="I993" s="6" t="s">
        <v>62</v>
      </c>
      <c r="J993" s="6" t="s">
        <v>63</v>
      </c>
      <c r="K993" s="6" t="s">
        <v>63</v>
      </c>
      <c r="L993" s="6" t="s">
        <v>64</v>
      </c>
      <c r="M993" s="28"/>
      <c r="N993" s="27" t="s">
        <v>6203</v>
      </c>
      <c r="O993" s="6" t="s">
        <v>6204</v>
      </c>
      <c r="P993" s="28"/>
      <c r="Q993" s="6" t="s">
        <v>67</v>
      </c>
      <c r="R993" s="6" t="s">
        <v>68</v>
      </c>
      <c r="S993" s="28"/>
      <c r="T993" s="6" t="s">
        <v>6138</v>
      </c>
      <c r="U993" s="7" t="n">
        <v>4</v>
      </c>
      <c r="V993" s="7" t="n">
        <v>4</v>
      </c>
      <c r="W993" s="8" t="s">
        <v>6205</v>
      </c>
      <c r="X993" s="8" t="s">
        <v>6205</v>
      </c>
      <c r="Y993" s="8" t="s">
        <v>6206</v>
      </c>
      <c r="Z993" s="8" t="s">
        <v>6206</v>
      </c>
      <c r="AA993" s="7" t="n">
        <v>259</v>
      </c>
      <c r="AB993" s="7" t="n">
        <v>212</v>
      </c>
      <c r="AC993" s="7" t="n">
        <v>707</v>
      </c>
      <c r="AD993" s="7" t="n">
        <v>4</v>
      </c>
      <c r="AE993" s="7" t="n">
        <v>4</v>
      </c>
      <c r="AF993" s="7" t="n">
        <v>16</v>
      </c>
      <c r="AG993" s="7" t="n">
        <v>18</v>
      </c>
      <c r="AH993" s="7" t="n">
        <v>4</v>
      </c>
      <c r="AI993" s="7" t="n">
        <v>6</v>
      </c>
      <c r="AJ993" s="7" t="n">
        <v>6</v>
      </c>
      <c r="AK993" s="7" t="n">
        <v>6</v>
      </c>
      <c r="AL993" s="7" t="n">
        <v>7</v>
      </c>
      <c r="AM993" s="7" t="n">
        <v>7</v>
      </c>
      <c r="AN993" s="7" t="n">
        <v>3</v>
      </c>
      <c r="AO993" s="7" t="n">
        <v>3</v>
      </c>
      <c r="AP993" s="7" t="n">
        <v>0</v>
      </c>
      <c r="AQ993" s="7" t="n">
        <v>0</v>
      </c>
      <c r="AR993" s="6" t="s">
        <v>63</v>
      </c>
      <c r="AS993" s="6" t="s">
        <v>63</v>
      </c>
      <c r="AT993" s="28"/>
      <c r="AU993" s="9" t="str">
        <f aca="false">HYPERLINK("https://creighton-primo.hosted.exlibrisgroup.com/primo-explore/search?tab=default_tab&amp;search_scope=EVERYTHING&amp;vid=01CRU&amp;lang=en_US&amp;offset=0&amp;query=any,contains,991005427949702656","Catalog Record")</f>
        <v>Catalog Record</v>
      </c>
      <c r="AV993" s="9" t="str">
        <f aca="false">HYPERLINK("http://www.worldcat.org/oclc/38566235","WorldCat Record")</f>
        <v>WorldCat Record</v>
      </c>
      <c r="AW993" s="6" t="s">
        <v>6207</v>
      </c>
      <c r="AX993" s="6" t="s">
        <v>6208</v>
      </c>
      <c r="AY993" s="6" t="s">
        <v>6209</v>
      </c>
      <c r="AZ993" s="6" t="s">
        <v>6209</v>
      </c>
      <c r="BA993" s="6" t="s">
        <v>6210</v>
      </c>
      <c r="BB993" s="6" t="s">
        <v>6211</v>
      </c>
      <c r="BC993" s="6" t="s">
        <v>6212</v>
      </c>
      <c r="BE993" s="15" t="s">
        <v>2145</v>
      </c>
      <c r="BF993" s="6" t="s">
        <v>6213</v>
      </c>
    </row>
    <row r="994" customFormat="false" ht="163" hidden="false" customHeight="false" outlineLevel="0" collapsed="false">
      <c r="A994" s="26" t="s">
        <v>63</v>
      </c>
      <c r="B994" s="27" t="s">
        <v>2129</v>
      </c>
      <c r="C994" s="27" t="s">
        <v>2130</v>
      </c>
      <c r="D994" s="27" t="s">
        <v>6214</v>
      </c>
      <c r="E994" s="27" t="s">
        <v>6215</v>
      </c>
      <c r="F994" s="27" t="s">
        <v>6216</v>
      </c>
      <c r="G994" s="28"/>
      <c r="H994" s="6" t="s">
        <v>63</v>
      </c>
      <c r="I994" s="6" t="s">
        <v>62</v>
      </c>
      <c r="J994" s="6" t="s">
        <v>63</v>
      </c>
      <c r="K994" s="6" t="s">
        <v>63</v>
      </c>
      <c r="L994" s="6" t="s">
        <v>64</v>
      </c>
      <c r="M994" s="27" t="s">
        <v>6217</v>
      </c>
      <c r="N994" s="27" t="s">
        <v>6218</v>
      </c>
      <c r="O994" s="6" t="s">
        <v>208</v>
      </c>
      <c r="P994" s="27" t="s">
        <v>6219</v>
      </c>
      <c r="Q994" s="6" t="s">
        <v>67</v>
      </c>
      <c r="R994" s="6" t="s">
        <v>272</v>
      </c>
      <c r="S994" s="28"/>
      <c r="T994" s="6" t="s">
        <v>6138</v>
      </c>
      <c r="U994" s="7" t="n">
        <v>3</v>
      </c>
      <c r="V994" s="7" t="n">
        <v>3</v>
      </c>
      <c r="W994" s="8" t="s">
        <v>6177</v>
      </c>
      <c r="X994" s="8" t="s">
        <v>6177</v>
      </c>
      <c r="Y994" s="8" t="s">
        <v>6140</v>
      </c>
      <c r="Z994" s="8" t="s">
        <v>6140</v>
      </c>
      <c r="AA994" s="7" t="n">
        <v>373</v>
      </c>
      <c r="AB994" s="7" t="n">
        <v>314</v>
      </c>
      <c r="AC994" s="7" t="n">
        <v>319</v>
      </c>
      <c r="AD994" s="7" t="n">
        <v>3</v>
      </c>
      <c r="AE994" s="7" t="n">
        <v>3</v>
      </c>
      <c r="AF994" s="7" t="n">
        <v>8</v>
      </c>
      <c r="AG994" s="7" t="n">
        <v>8</v>
      </c>
      <c r="AH994" s="7" t="n">
        <v>1</v>
      </c>
      <c r="AI994" s="7" t="n">
        <v>1</v>
      </c>
      <c r="AJ994" s="7" t="n">
        <v>2</v>
      </c>
      <c r="AK994" s="7" t="n">
        <v>2</v>
      </c>
      <c r="AL994" s="7" t="n">
        <v>4</v>
      </c>
      <c r="AM994" s="7" t="n">
        <v>4</v>
      </c>
      <c r="AN994" s="7" t="n">
        <v>2</v>
      </c>
      <c r="AO994" s="7" t="n">
        <v>2</v>
      </c>
      <c r="AP994" s="7" t="n">
        <v>0</v>
      </c>
      <c r="AQ994" s="7" t="n">
        <v>0</v>
      </c>
      <c r="AR994" s="6" t="s">
        <v>63</v>
      </c>
      <c r="AS994" s="6" t="s">
        <v>63</v>
      </c>
      <c r="AT994" s="28"/>
      <c r="AU994" s="9" t="str">
        <f aca="false">HYPERLINK("https://creighton-primo.hosted.exlibrisgroup.com/primo-explore/search?tab=default_tab&amp;search_scope=EVERYTHING&amp;vid=01CRU&amp;lang=en_US&amp;offset=0&amp;query=any,contains,991001056179702656","Catalog Record")</f>
        <v>Catalog Record</v>
      </c>
      <c r="AV994" s="9" t="str">
        <f aca="false">HYPERLINK("http://www.worldcat.org/oclc/15696382","WorldCat Record")</f>
        <v>WorldCat Record</v>
      </c>
      <c r="AW994" s="6" t="s">
        <v>6220</v>
      </c>
      <c r="AX994" s="6" t="s">
        <v>6221</v>
      </c>
      <c r="AY994" s="6" t="s">
        <v>6222</v>
      </c>
      <c r="AZ994" s="6" t="s">
        <v>6222</v>
      </c>
      <c r="BA994" s="6" t="s">
        <v>6223</v>
      </c>
      <c r="BB994" s="6" t="s">
        <v>6224</v>
      </c>
      <c r="BC994" s="6" t="s">
        <v>6225</v>
      </c>
      <c r="BE994" s="15" t="s">
        <v>2145</v>
      </c>
      <c r="BF994" s="6" t="s">
        <v>6226</v>
      </c>
    </row>
    <row r="995" customFormat="false" ht="163" hidden="false" customHeight="false" outlineLevel="0" collapsed="false">
      <c r="A995" s="26" t="s">
        <v>63</v>
      </c>
      <c r="B995" s="27" t="s">
        <v>2129</v>
      </c>
      <c r="C995" s="27" t="s">
        <v>2130</v>
      </c>
      <c r="D995" s="27" t="s">
        <v>6227</v>
      </c>
      <c r="E995" s="27" t="s">
        <v>6228</v>
      </c>
      <c r="F995" s="27" t="s">
        <v>6229</v>
      </c>
      <c r="G995" s="28"/>
      <c r="H995" s="6" t="s">
        <v>63</v>
      </c>
      <c r="I995" s="6" t="s">
        <v>62</v>
      </c>
      <c r="J995" s="6" t="s">
        <v>63</v>
      </c>
      <c r="K995" s="6" t="s">
        <v>63</v>
      </c>
      <c r="L995" s="6" t="s">
        <v>64</v>
      </c>
      <c r="M995" s="27" t="s">
        <v>6230</v>
      </c>
      <c r="N995" s="27" t="s">
        <v>6231</v>
      </c>
      <c r="O995" s="6" t="s">
        <v>4025</v>
      </c>
      <c r="P995" s="28"/>
      <c r="Q995" s="6" t="s">
        <v>67</v>
      </c>
      <c r="R995" s="6" t="s">
        <v>68</v>
      </c>
      <c r="S995" s="28"/>
      <c r="T995" s="6" t="s">
        <v>6138</v>
      </c>
      <c r="U995" s="7" t="n">
        <v>1</v>
      </c>
      <c r="V995" s="7" t="n">
        <v>1</v>
      </c>
      <c r="W995" s="8" t="s">
        <v>6177</v>
      </c>
      <c r="X995" s="8" t="s">
        <v>6177</v>
      </c>
      <c r="Y995" s="8" t="s">
        <v>4528</v>
      </c>
      <c r="Z995" s="8" t="s">
        <v>4528</v>
      </c>
      <c r="AA995" s="7" t="n">
        <v>323</v>
      </c>
      <c r="AB995" s="7" t="n">
        <v>280</v>
      </c>
      <c r="AC995" s="7" t="n">
        <v>1103</v>
      </c>
      <c r="AD995" s="7" t="n">
        <v>3</v>
      </c>
      <c r="AE995" s="7" t="n">
        <v>7</v>
      </c>
      <c r="AF995" s="7" t="n">
        <v>16</v>
      </c>
      <c r="AG995" s="7" t="n">
        <v>35</v>
      </c>
      <c r="AH995" s="7" t="n">
        <v>4</v>
      </c>
      <c r="AI995" s="7" t="n">
        <v>15</v>
      </c>
      <c r="AJ995" s="7" t="n">
        <v>5</v>
      </c>
      <c r="AK995" s="7" t="n">
        <v>10</v>
      </c>
      <c r="AL995" s="7" t="n">
        <v>10</v>
      </c>
      <c r="AM995" s="7" t="n">
        <v>12</v>
      </c>
      <c r="AN995" s="7" t="n">
        <v>2</v>
      </c>
      <c r="AO995" s="7" t="n">
        <v>6</v>
      </c>
      <c r="AP995" s="7" t="n">
        <v>0</v>
      </c>
      <c r="AQ995" s="7" t="n">
        <v>0</v>
      </c>
      <c r="AR995" s="6" t="s">
        <v>63</v>
      </c>
      <c r="AS995" s="6" t="s">
        <v>57</v>
      </c>
      <c r="AT995" s="9" t="str">
        <f aca="false">HYPERLINK("http://catalog.hathitrust.org/Record/002458600","HathiTrust Record")</f>
        <v>HathiTrust Record</v>
      </c>
      <c r="AU995" s="9" t="str">
        <f aca="false">HYPERLINK("https://creighton-primo.hosted.exlibrisgroup.com/primo-explore/search?tab=default_tab&amp;search_scope=EVERYTHING&amp;vid=01CRU&amp;lang=en_US&amp;offset=0&amp;query=any,contains,991001882859702656","Catalog Record")</f>
        <v>Catalog Record</v>
      </c>
      <c r="AV995" s="9" t="str">
        <f aca="false">HYPERLINK("http://www.worldcat.org/oclc/23744479","WorldCat Record")</f>
        <v>WorldCat Record</v>
      </c>
      <c r="AW995" s="6" t="s">
        <v>6232</v>
      </c>
      <c r="AX995" s="6" t="s">
        <v>6233</v>
      </c>
      <c r="AY995" s="6" t="s">
        <v>6234</v>
      </c>
      <c r="AZ995" s="6" t="s">
        <v>6234</v>
      </c>
      <c r="BA995" s="6" t="s">
        <v>6235</v>
      </c>
      <c r="BB995" s="6" t="s">
        <v>6236</v>
      </c>
      <c r="BC995" s="6" t="s">
        <v>6237</v>
      </c>
      <c r="BE995" s="15" t="s">
        <v>2145</v>
      </c>
      <c r="BF995" s="6" t="s">
        <v>6238</v>
      </c>
    </row>
    <row r="996" customFormat="false" ht="71" hidden="false" customHeight="false" outlineLevel="0" collapsed="false">
      <c r="A996" s="26" t="s">
        <v>63</v>
      </c>
      <c r="B996" s="27" t="s">
        <v>2129</v>
      </c>
      <c r="C996" s="27" t="s">
        <v>2130</v>
      </c>
      <c r="D996" s="27" t="s">
        <v>6239</v>
      </c>
      <c r="E996" s="27" t="s">
        <v>6240</v>
      </c>
      <c r="F996" s="27" t="s">
        <v>6241</v>
      </c>
      <c r="G996" s="28"/>
      <c r="H996" s="6" t="s">
        <v>63</v>
      </c>
      <c r="I996" s="6" t="s">
        <v>62</v>
      </c>
      <c r="J996" s="6" t="s">
        <v>63</v>
      </c>
      <c r="K996" s="6" t="s">
        <v>63</v>
      </c>
      <c r="L996" s="6" t="s">
        <v>64</v>
      </c>
      <c r="M996" s="27" t="s">
        <v>6242</v>
      </c>
      <c r="N996" s="27" t="s">
        <v>6243</v>
      </c>
      <c r="O996" s="6" t="s">
        <v>208</v>
      </c>
      <c r="P996" s="28"/>
      <c r="Q996" s="6" t="s">
        <v>67</v>
      </c>
      <c r="R996" s="6" t="s">
        <v>1059</v>
      </c>
      <c r="S996" s="28"/>
      <c r="T996" s="6" t="s">
        <v>6138</v>
      </c>
      <c r="U996" s="7" t="n">
        <v>2</v>
      </c>
      <c r="V996" s="7" t="n">
        <v>2</v>
      </c>
      <c r="W996" s="8" t="s">
        <v>6244</v>
      </c>
      <c r="X996" s="8" t="s">
        <v>6244</v>
      </c>
      <c r="Y996" s="8" t="s">
        <v>6245</v>
      </c>
      <c r="Z996" s="8" t="s">
        <v>6245</v>
      </c>
      <c r="AA996" s="7" t="n">
        <v>538</v>
      </c>
      <c r="AB996" s="7" t="n">
        <v>428</v>
      </c>
      <c r="AC996" s="7" t="n">
        <v>428</v>
      </c>
      <c r="AD996" s="7" t="n">
        <v>4</v>
      </c>
      <c r="AE996" s="7" t="n">
        <v>4</v>
      </c>
      <c r="AF996" s="7" t="n">
        <v>29</v>
      </c>
      <c r="AG996" s="7" t="n">
        <v>29</v>
      </c>
      <c r="AH996" s="7" t="n">
        <v>12</v>
      </c>
      <c r="AI996" s="7" t="n">
        <v>12</v>
      </c>
      <c r="AJ996" s="7" t="n">
        <v>7</v>
      </c>
      <c r="AK996" s="7" t="n">
        <v>7</v>
      </c>
      <c r="AL996" s="7" t="n">
        <v>16</v>
      </c>
      <c r="AM996" s="7" t="n">
        <v>16</v>
      </c>
      <c r="AN996" s="7" t="n">
        <v>3</v>
      </c>
      <c r="AO996" s="7" t="n">
        <v>3</v>
      </c>
      <c r="AP996" s="7" t="n">
        <v>0</v>
      </c>
      <c r="AQ996" s="7" t="n">
        <v>0</v>
      </c>
      <c r="AR996" s="6" t="s">
        <v>63</v>
      </c>
      <c r="AS996" s="6" t="s">
        <v>63</v>
      </c>
      <c r="AT996" s="28"/>
      <c r="AU996" s="9" t="str">
        <f aca="false">HYPERLINK("https://creighton-primo.hosted.exlibrisgroup.com/primo-explore/search?tab=default_tab&amp;search_scope=EVERYTHING&amp;vid=01CRU&amp;lang=en_US&amp;offset=0&amp;query=any,contains,991001015749702656","Catalog Record")</f>
        <v>Catalog Record</v>
      </c>
      <c r="AV996" s="9" t="str">
        <f aca="false">HYPERLINK("http://www.worldcat.org/oclc/15317516","WorldCat Record")</f>
        <v>WorldCat Record</v>
      </c>
      <c r="AW996" s="6" t="s">
        <v>6246</v>
      </c>
      <c r="AX996" s="6" t="s">
        <v>6247</v>
      </c>
      <c r="AY996" s="6" t="s">
        <v>6248</v>
      </c>
      <c r="AZ996" s="6" t="s">
        <v>6248</v>
      </c>
      <c r="BA996" s="6" t="s">
        <v>6249</v>
      </c>
      <c r="BB996" s="6" t="s">
        <v>6250</v>
      </c>
      <c r="BC996" s="6" t="s">
        <v>6251</v>
      </c>
      <c r="BE996" s="15" t="s">
        <v>2145</v>
      </c>
      <c r="BF996" s="6" t="s">
        <v>6252</v>
      </c>
    </row>
    <row r="997" customFormat="false" ht="71" hidden="false" customHeight="false" outlineLevel="0" collapsed="false">
      <c r="A997" s="26" t="s">
        <v>63</v>
      </c>
      <c r="B997" s="27" t="s">
        <v>2129</v>
      </c>
      <c r="C997" s="27" t="s">
        <v>2130</v>
      </c>
      <c r="D997" s="27" t="s">
        <v>6253</v>
      </c>
      <c r="E997" s="27" t="s">
        <v>6254</v>
      </c>
      <c r="F997" s="27" t="s">
        <v>6255</v>
      </c>
      <c r="G997" s="28"/>
      <c r="H997" s="6" t="s">
        <v>63</v>
      </c>
      <c r="I997" s="6" t="s">
        <v>62</v>
      </c>
      <c r="J997" s="6" t="s">
        <v>63</v>
      </c>
      <c r="K997" s="6" t="s">
        <v>63</v>
      </c>
      <c r="L997" s="6" t="s">
        <v>64</v>
      </c>
      <c r="M997" s="28"/>
      <c r="N997" s="27" t="s">
        <v>6256</v>
      </c>
      <c r="O997" s="6" t="s">
        <v>108</v>
      </c>
      <c r="P997" s="28"/>
      <c r="Q997" s="6" t="s">
        <v>67</v>
      </c>
      <c r="R997" s="6" t="s">
        <v>802</v>
      </c>
      <c r="S997" s="27" t="s">
        <v>6257</v>
      </c>
      <c r="T997" s="6" t="s">
        <v>6138</v>
      </c>
      <c r="U997" s="7" t="n">
        <v>2</v>
      </c>
      <c r="V997" s="7" t="n">
        <v>2</v>
      </c>
      <c r="W997" s="8" t="s">
        <v>6258</v>
      </c>
      <c r="X997" s="8" t="s">
        <v>6258</v>
      </c>
      <c r="Y997" s="8" t="s">
        <v>6140</v>
      </c>
      <c r="Z997" s="8" t="s">
        <v>6140</v>
      </c>
      <c r="AA997" s="7" t="n">
        <v>199</v>
      </c>
      <c r="AB997" s="7" t="n">
        <v>113</v>
      </c>
      <c r="AC997" s="7" t="n">
        <v>123</v>
      </c>
      <c r="AD997" s="7" t="n">
        <v>3</v>
      </c>
      <c r="AE997" s="7" t="n">
        <v>3</v>
      </c>
      <c r="AF997" s="7" t="n">
        <v>7</v>
      </c>
      <c r="AG997" s="7" t="n">
        <v>9</v>
      </c>
      <c r="AH997" s="7" t="n">
        <v>0</v>
      </c>
      <c r="AI997" s="7" t="n">
        <v>1</v>
      </c>
      <c r="AJ997" s="7" t="n">
        <v>2</v>
      </c>
      <c r="AK997" s="7" t="n">
        <v>3</v>
      </c>
      <c r="AL997" s="7" t="n">
        <v>4</v>
      </c>
      <c r="AM997" s="7" t="n">
        <v>6</v>
      </c>
      <c r="AN997" s="7" t="n">
        <v>2</v>
      </c>
      <c r="AO997" s="7" t="n">
        <v>2</v>
      </c>
      <c r="AP997" s="7" t="n">
        <v>0</v>
      </c>
      <c r="AQ997" s="7" t="n">
        <v>0</v>
      </c>
      <c r="AR997" s="6" t="s">
        <v>63</v>
      </c>
      <c r="AS997" s="6" t="s">
        <v>63</v>
      </c>
      <c r="AT997" s="28"/>
      <c r="AU997" s="9" t="str">
        <f aca="false">HYPERLINK("https://creighton-primo.hosted.exlibrisgroup.com/primo-explore/search?tab=default_tab&amp;search_scope=EVERYTHING&amp;vid=01CRU&amp;lang=en_US&amp;offset=0&amp;query=any,contains,991004365009702656","Catalog Record")</f>
        <v>Catalog Record</v>
      </c>
      <c r="AV997" s="9" t="str">
        <f aca="false">HYPERLINK("http://www.worldcat.org/oclc/3169141","WorldCat Record")</f>
        <v>WorldCat Record</v>
      </c>
      <c r="AW997" s="6" t="s">
        <v>6259</v>
      </c>
      <c r="AX997" s="6" t="s">
        <v>6260</v>
      </c>
      <c r="AY997" s="6" t="s">
        <v>6261</v>
      </c>
      <c r="AZ997" s="6" t="s">
        <v>6261</v>
      </c>
      <c r="BA997" s="6" t="s">
        <v>6262</v>
      </c>
      <c r="BB997" s="6" t="s">
        <v>6263</v>
      </c>
      <c r="BC997" s="6" t="s">
        <v>6264</v>
      </c>
      <c r="BE997" s="15" t="s">
        <v>2145</v>
      </c>
      <c r="BF997" s="6" t="s">
        <v>6265</v>
      </c>
    </row>
    <row r="998" customFormat="false" ht="117" hidden="false" customHeight="false" outlineLevel="0" collapsed="false">
      <c r="A998" s="26" t="s">
        <v>63</v>
      </c>
      <c r="B998" s="27" t="s">
        <v>2129</v>
      </c>
      <c r="C998" s="27" t="s">
        <v>2130</v>
      </c>
      <c r="D998" s="27" t="s">
        <v>6266</v>
      </c>
      <c r="E998" s="27" t="s">
        <v>6267</v>
      </c>
      <c r="F998" s="27" t="s">
        <v>6268</v>
      </c>
      <c r="G998" s="28"/>
      <c r="H998" s="6" t="s">
        <v>63</v>
      </c>
      <c r="I998" s="6" t="s">
        <v>62</v>
      </c>
      <c r="J998" s="6" t="s">
        <v>63</v>
      </c>
      <c r="K998" s="6" t="s">
        <v>63</v>
      </c>
      <c r="L998" s="6" t="s">
        <v>64</v>
      </c>
      <c r="M998" s="27" t="s">
        <v>6269</v>
      </c>
      <c r="N998" s="27" t="s">
        <v>3849</v>
      </c>
      <c r="O998" s="6" t="s">
        <v>3248</v>
      </c>
      <c r="P998" s="28"/>
      <c r="Q998" s="6" t="s">
        <v>67</v>
      </c>
      <c r="R998" s="6" t="s">
        <v>384</v>
      </c>
      <c r="S998" s="27" t="s">
        <v>6270</v>
      </c>
      <c r="T998" s="6" t="s">
        <v>6138</v>
      </c>
      <c r="U998" s="7" t="n">
        <v>5</v>
      </c>
      <c r="V998" s="7" t="n">
        <v>5</v>
      </c>
      <c r="W998" s="8" t="s">
        <v>2652</v>
      </c>
      <c r="X998" s="8" t="s">
        <v>2652</v>
      </c>
      <c r="Y998" s="8" t="s">
        <v>6271</v>
      </c>
      <c r="Z998" s="8" t="s">
        <v>6271</v>
      </c>
      <c r="AA998" s="7" t="n">
        <v>396</v>
      </c>
      <c r="AB998" s="7" t="n">
        <v>282</v>
      </c>
      <c r="AC998" s="7" t="n">
        <v>282</v>
      </c>
      <c r="AD998" s="7" t="n">
        <v>3</v>
      </c>
      <c r="AE998" s="7" t="n">
        <v>3</v>
      </c>
      <c r="AF998" s="7" t="n">
        <v>17</v>
      </c>
      <c r="AG998" s="7" t="n">
        <v>17</v>
      </c>
      <c r="AH998" s="7" t="n">
        <v>4</v>
      </c>
      <c r="AI998" s="7" t="n">
        <v>4</v>
      </c>
      <c r="AJ998" s="7" t="n">
        <v>7</v>
      </c>
      <c r="AK998" s="7" t="n">
        <v>7</v>
      </c>
      <c r="AL998" s="7" t="n">
        <v>9</v>
      </c>
      <c r="AM998" s="7" t="n">
        <v>9</v>
      </c>
      <c r="AN998" s="7" t="n">
        <v>2</v>
      </c>
      <c r="AO998" s="7" t="n">
        <v>2</v>
      </c>
      <c r="AP998" s="7" t="n">
        <v>0</v>
      </c>
      <c r="AQ998" s="7" t="n">
        <v>0</v>
      </c>
      <c r="AR998" s="6" t="s">
        <v>63</v>
      </c>
      <c r="AS998" s="6" t="s">
        <v>63</v>
      </c>
      <c r="AT998" s="28"/>
      <c r="AU998" s="9" t="str">
        <f aca="false">HYPERLINK("https://creighton-primo.hosted.exlibrisgroup.com/primo-explore/search?tab=default_tab&amp;search_scope=EVERYTHING&amp;vid=01CRU&amp;lang=en_US&amp;offset=0&amp;query=any,contains,991002587559702656","Catalog Record")</f>
        <v>Catalog Record</v>
      </c>
      <c r="AV998" s="9" t="str">
        <f aca="false">HYPERLINK("http://www.worldcat.org/oclc/33899872","WorldCat Record")</f>
        <v>WorldCat Record</v>
      </c>
      <c r="AW998" s="6" t="s">
        <v>6272</v>
      </c>
      <c r="AX998" s="6" t="s">
        <v>6273</v>
      </c>
      <c r="AY998" s="6" t="s">
        <v>6274</v>
      </c>
      <c r="AZ998" s="6" t="s">
        <v>6274</v>
      </c>
      <c r="BA998" s="6" t="s">
        <v>6275</v>
      </c>
      <c r="BB998" s="6" t="s">
        <v>6276</v>
      </c>
      <c r="BC998" s="6" t="s">
        <v>6277</v>
      </c>
      <c r="BE998" s="15" t="s">
        <v>2145</v>
      </c>
      <c r="BF998" s="6" t="s">
        <v>6278</v>
      </c>
    </row>
    <row r="999" customFormat="false" ht="48" hidden="false" customHeight="false" outlineLevel="0" collapsed="false">
      <c r="A999" s="26" t="s">
        <v>63</v>
      </c>
      <c r="B999" s="27" t="s">
        <v>2129</v>
      </c>
      <c r="C999" s="27" t="s">
        <v>2130</v>
      </c>
      <c r="D999" s="27" t="s">
        <v>6279</v>
      </c>
      <c r="E999" s="27" t="s">
        <v>6280</v>
      </c>
      <c r="F999" s="27" t="s">
        <v>6281</v>
      </c>
      <c r="G999" s="28"/>
      <c r="H999" s="6" t="s">
        <v>63</v>
      </c>
      <c r="I999" s="6" t="s">
        <v>62</v>
      </c>
      <c r="J999" s="6" t="s">
        <v>63</v>
      </c>
      <c r="K999" s="6" t="s">
        <v>63</v>
      </c>
      <c r="L999" s="6" t="s">
        <v>64</v>
      </c>
      <c r="M999" s="27" t="s">
        <v>6282</v>
      </c>
      <c r="N999" s="27" t="s">
        <v>6283</v>
      </c>
      <c r="O999" s="6" t="s">
        <v>2315</v>
      </c>
      <c r="P999" s="27" t="s">
        <v>6284</v>
      </c>
      <c r="Q999" s="6" t="s">
        <v>6285</v>
      </c>
      <c r="R999" s="6" t="s">
        <v>4946</v>
      </c>
      <c r="S999" s="27" t="s">
        <v>6286</v>
      </c>
      <c r="T999" s="6" t="s">
        <v>6138</v>
      </c>
      <c r="U999" s="7" t="n">
        <v>0</v>
      </c>
      <c r="V999" s="7" t="n">
        <v>0</v>
      </c>
      <c r="W999" s="8" t="s">
        <v>6287</v>
      </c>
      <c r="X999" s="8" t="s">
        <v>6287</v>
      </c>
      <c r="Y999" s="8" t="s">
        <v>6140</v>
      </c>
      <c r="Z999" s="8" t="s">
        <v>6140</v>
      </c>
      <c r="AA999" s="7" t="n">
        <v>22</v>
      </c>
      <c r="AB999" s="7" t="n">
        <v>13</v>
      </c>
      <c r="AC999" s="7" t="n">
        <v>59</v>
      </c>
      <c r="AD999" s="7" t="n">
        <v>1</v>
      </c>
      <c r="AE999" s="7" t="n">
        <v>1</v>
      </c>
      <c r="AF999" s="7" t="n">
        <v>3</v>
      </c>
      <c r="AG999" s="7" t="n">
        <v>8</v>
      </c>
      <c r="AH999" s="7" t="n">
        <v>0</v>
      </c>
      <c r="AI999" s="7" t="n">
        <v>0</v>
      </c>
      <c r="AJ999" s="7" t="n">
        <v>2</v>
      </c>
      <c r="AK999" s="7" t="n">
        <v>4</v>
      </c>
      <c r="AL999" s="7" t="n">
        <v>2</v>
      </c>
      <c r="AM999" s="7" t="n">
        <v>7</v>
      </c>
      <c r="AN999" s="7" t="n">
        <v>0</v>
      </c>
      <c r="AO999" s="7" t="n">
        <v>0</v>
      </c>
      <c r="AP999" s="7" t="n">
        <v>0</v>
      </c>
      <c r="AQ999" s="7" t="n">
        <v>0</v>
      </c>
      <c r="AR999" s="6" t="s">
        <v>63</v>
      </c>
      <c r="AS999" s="6" t="s">
        <v>63</v>
      </c>
      <c r="AT999" s="28"/>
      <c r="AU999" s="9" t="str">
        <f aca="false">HYPERLINK("https://creighton-primo.hosted.exlibrisgroup.com/primo-explore/search?tab=default_tab&amp;search_scope=EVERYTHING&amp;vid=01CRU&amp;lang=en_US&amp;offset=0&amp;query=any,contains,991000994249702656","Catalog Record")</f>
        <v>Catalog Record</v>
      </c>
      <c r="AV999" s="9" t="str">
        <f aca="false">HYPERLINK("http://www.worldcat.org/oclc/15128478","WorldCat Record")</f>
        <v>WorldCat Record</v>
      </c>
      <c r="AW999" s="6" t="s">
        <v>6288</v>
      </c>
      <c r="AX999" s="6" t="s">
        <v>6289</v>
      </c>
      <c r="AY999" s="6" t="s">
        <v>6290</v>
      </c>
      <c r="AZ999" s="6" t="s">
        <v>6290</v>
      </c>
      <c r="BA999" s="6" t="s">
        <v>6291</v>
      </c>
      <c r="BB999" s="6" t="s">
        <v>6292</v>
      </c>
      <c r="BC999" s="6" t="s">
        <v>6293</v>
      </c>
      <c r="BE999" s="15" t="s">
        <v>2145</v>
      </c>
      <c r="BF999" s="6" t="s">
        <v>6294</v>
      </c>
    </row>
    <row r="1000" customFormat="false" ht="82.5" hidden="false" customHeight="false" outlineLevel="0" collapsed="false">
      <c r="A1000" s="26" t="s">
        <v>63</v>
      </c>
      <c r="B1000" s="27" t="s">
        <v>2129</v>
      </c>
      <c r="C1000" s="27" t="s">
        <v>2130</v>
      </c>
      <c r="D1000" s="27" t="s">
        <v>6295</v>
      </c>
      <c r="E1000" s="27" t="s">
        <v>6296</v>
      </c>
      <c r="F1000" s="27" t="s">
        <v>6297</v>
      </c>
      <c r="G1000" s="28"/>
      <c r="H1000" s="6" t="s">
        <v>63</v>
      </c>
      <c r="I1000" s="6" t="s">
        <v>62</v>
      </c>
      <c r="J1000" s="6" t="s">
        <v>63</v>
      </c>
      <c r="K1000" s="6" t="s">
        <v>63</v>
      </c>
      <c r="L1000" s="6" t="s">
        <v>64</v>
      </c>
      <c r="M1000" s="27" t="s">
        <v>6298</v>
      </c>
      <c r="N1000" s="27" t="s">
        <v>3877</v>
      </c>
      <c r="O1000" s="6" t="s">
        <v>2262</v>
      </c>
      <c r="P1000" s="28"/>
      <c r="Q1000" s="6" t="s">
        <v>67</v>
      </c>
      <c r="R1000" s="6" t="s">
        <v>384</v>
      </c>
      <c r="S1000" s="27" t="s">
        <v>6299</v>
      </c>
      <c r="T1000" s="6" t="s">
        <v>6138</v>
      </c>
      <c r="U1000" s="7" t="n">
        <v>1</v>
      </c>
      <c r="V1000" s="7" t="n">
        <v>1</v>
      </c>
      <c r="W1000" s="8" t="s">
        <v>6300</v>
      </c>
      <c r="X1000" s="8" t="s">
        <v>6300</v>
      </c>
      <c r="Y1000" s="8" t="s">
        <v>6140</v>
      </c>
      <c r="Z1000" s="8" t="s">
        <v>6140</v>
      </c>
      <c r="AA1000" s="7" t="n">
        <v>292</v>
      </c>
      <c r="AB1000" s="7" t="n">
        <v>194</v>
      </c>
      <c r="AC1000" s="7" t="n">
        <v>217</v>
      </c>
      <c r="AD1000" s="7" t="n">
        <v>3</v>
      </c>
      <c r="AE1000" s="7" t="n">
        <v>3</v>
      </c>
      <c r="AF1000" s="7" t="n">
        <v>12</v>
      </c>
      <c r="AG1000" s="7" t="n">
        <v>12</v>
      </c>
      <c r="AH1000" s="7" t="n">
        <v>2</v>
      </c>
      <c r="AI1000" s="7" t="n">
        <v>2</v>
      </c>
      <c r="AJ1000" s="7" t="n">
        <v>3</v>
      </c>
      <c r="AK1000" s="7" t="n">
        <v>3</v>
      </c>
      <c r="AL1000" s="7" t="n">
        <v>9</v>
      </c>
      <c r="AM1000" s="7" t="n">
        <v>9</v>
      </c>
      <c r="AN1000" s="7" t="n">
        <v>2</v>
      </c>
      <c r="AO1000" s="7" t="n">
        <v>2</v>
      </c>
      <c r="AP1000" s="7" t="n">
        <v>0</v>
      </c>
      <c r="AQ1000" s="7" t="n">
        <v>0</v>
      </c>
      <c r="AR1000" s="6" t="s">
        <v>63</v>
      </c>
      <c r="AS1000" s="6" t="s">
        <v>63</v>
      </c>
      <c r="AT1000" s="28"/>
      <c r="AU1000" s="9" t="str">
        <f aca="false">HYPERLINK("https://creighton-primo.hosted.exlibrisgroup.com/primo-explore/search?tab=default_tab&amp;search_scope=EVERYTHING&amp;vid=01CRU&amp;lang=en_US&amp;offset=0&amp;query=any,contains,991000637619702656","Catalog Record")</f>
        <v>Catalog Record</v>
      </c>
      <c r="AV1000" s="9" t="str">
        <f aca="false">HYPERLINK("http://www.worldcat.org/oclc/12082704","WorldCat Record")</f>
        <v>WorldCat Record</v>
      </c>
      <c r="AW1000" s="6" t="s">
        <v>6301</v>
      </c>
      <c r="AX1000" s="6" t="s">
        <v>6302</v>
      </c>
      <c r="AY1000" s="6" t="s">
        <v>6303</v>
      </c>
      <c r="AZ1000" s="6" t="s">
        <v>6303</v>
      </c>
      <c r="BA1000" s="6" t="s">
        <v>6304</v>
      </c>
      <c r="BB1000" s="6" t="s">
        <v>6305</v>
      </c>
      <c r="BC1000" s="6" t="s">
        <v>6306</v>
      </c>
      <c r="BE1000" s="15" t="s">
        <v>2145</v>
      </c>
      <c r="BF1000" s="6" t="s">
        <v>6307</v>
      </c>
    </row>
    <row r="1001" customFormat="false" ht="174.5" hidden="false" customHeight="false" outlineLevel="0" collapsed="false">
      <c r="A1001" s="26" t="s">
        <v>63</v>
      </c>
      <c r="B1001" s="27" t="s">
        <v>2129</v>
      </c>
      <c r="C1001" s="27" t="s">
        <v>2130</v>
      </c>
      <c r="D1001" s="27" t="s">
        <v>6308</v>
      </c>
      <c r="E1001" s="27" t="s">
        <v>6309</v>
      </c>
      <c r="F1001" s="27" t="s">
        <v>6310</v>
      </c>
      <c r="G1001" s="28"/>
      <c r="H1001" s="6" t="s">
        <v>63</v>
      </c>
      <c r="I1001" s="6" t="s">
        <v>62</v>
      </c>
      <c r="J1001" s="6" t="s">
        <v>63</v>
      </c>
      <c r="K1001" s="6" t="s">
        <v>63</v>
      </c>
      <c r="L1001" s="6" t="s">
        <v>64</v>
      </c>
      <c r="M1001" s="27" t="s">
        <v>6311</v>
      </c>
      <c r="N1001" s="27" t="s">
        <v>6312</v>
      </c>
      <c r="O1001" s="6" t="s">
        <v>2329</v>
      </c>
      <c r="P1001" s="28"/>
      <c r="Q1001" s="6" t="s">
        <v>67</v>
      </c>
      <c r="R1001" s="6" t="s">
        <v>3769</v>
      </c>
      <c r="S1001" s="28"/>
      <c r="T1001" s="6" t="s">
        <v>6138</v>
      </c>
      <c r="U1001" s="7" t="n">
        <v>1</v>
      </c>
      <c r="V1001" s="7" t="n">
        <v>1</v>
      </c>
      <c r="W1001" s="8" t="s">
        <v>6313</v>
      </c>
      <c r="X1001" s="8" t="s">
        <v>6313</v>
      </c>
      <c r="Y1001" s="8" t="s">
        <v>6314</v>
      </c>
      <c r="Z1001" s="8" t="s">
        <v>6314</v>
      </c>
      <c r="AA1001" s="7" t="n">
        <v>844</v>
      </c>
      <c r="AB1001" s="7" t="n">
        <v>700</v>
      </c>
      <c r="AC1001" s="7" t="n">
        <v>704</v>
      </c>
      <c r="AD1001" s="7" t="n">
        <v>6</v>
      </c>
      <c r="AE1001" s="7" t="n">
        <v>6</v>
      </c>
      <c r="AF1001" s="7" t="n">
        <v>36</v>
      </c>
      <c r="AG1001" s="7" t="n">
        <v>36</v>
      </c>
      <c r="AH1001" s="7" t="n">
        <v>13</v>
      </c>
      <c r="AI1001" s="7" t="n">
        <v>13</v>
      </c>
      <c r="AJ1001" s="7" t="n">
        <v>8</v>
      </c>
      <c r="AK1001" s="7" t="n">
        <v>8</v>
      </c>
      <c r="AL1001" s="7" t="n">
        <v>21</v>
      </c>
      <c r="AM1001" s="7" t="n">
        <v>21</v>
      </c>
      <c r="AN1001" s="7" t="n">
        <v>4</v>
      </c>
      <c r="AO1001" s="7" t="n">
        <v>4</v>
      </c>
      <c r="AP1001" s="7" t="n">
        <v>1</v>
      </c>
      <c r="AQ1001" s="7" t="n">
        <v>1</v>
      </c>
      <c r="AR1001" s="6" t="s">
        <v>63</v>
      </c>
      <c r="AS1001" s="6" t="s">
        <v>63</v>
      </c>
      <c r="AT1001" s="28"/>
      <c r="AU1001" s="9" t="str">
        <f aca="false">HYPERLINK("https://creighton-primo.hosted.exlibrisgroup.com/primo-explore/search?tab=default_tab&amp;search_scope=EVERYTHING&amp;vid=01CRU&amp;lang=en_US&amp;offset=0&amp;query=any,contains,991003142999702656","Catalog Record")</f>
        <v>Catalog Record</v>
      </c>
      <c r="AV1001" s="9" t="str">
        <f aca="false">HYPERLINK("http://www.worldcat.org/oclc/684454","WorldCat Record")</f>
        <v>WorldCat Record</v>
      </c>
      <c r="AW1001" s="6" t="s">
        <v>6315</v>
      </c>
      <c r="AX1001" s="6" t="s">
        <v>6316</v>
      </c>
      <c r="AY1001" s="6" t="s">
        <v>6317</v>
      </c>
      <c r="AZ1001" s="6" t="s">
        <v>6317</v>
      </c>
      <c r="BA1001" s="6" t="s">
        <v>6318</v>
      </c>
      <c r="BB1001" s="28"/>
      <c r="BC1001" s="6" t="s">
        <v>6319</v>
      </c>
      <c r="BE1001" s="15" t="s">
        <v>2145</v>
      </c>
      <c r="BF1001" s="6" t="s">
        <v>6320</v>
      </c>
    </row>
    <row r="1002" customFormat="false" ht="71" hidden="false" customHeight="false" outlineLevel="0" collapsed="false">
      <c r="A1002" s="26" t="s">
        <v>63</v>
      </c>
      <c r="B1002" s="27" t="s">
        <v>2129</v>
      </c>
      <c r="C1002" s="27" t="s">
        <v>2130</v>
      </c>
      <c r="D1002" s="27" t="s">
        <v>6321</v>
      </c>
      <c r="E1002" s="27" t="s">
        <v>6322</v>
      </c>
      <c r="F1002" s="27" t="s">
        <v>6323</v>
      </c>
      <c r="G1002" s="28"/>
      <c r="H1002" s="6" t="s">
        <v>63</v>
      </c>
      <c r="I1002" s="6" t="s">
        <v>62</v>
      </c>
      <c r="J1002" s="6" t="s">
        <v>63</v>
      </c>
      <c r="K1002" s="6" t="s">
        <v>63</v>
      </c>
      <c r="L1002" s="6" t="s">
        <v>64</v>
      </c>
      <c r="M1002" s="27" t="s">
        <v>6324</v>
      </c>
      <c r="N1002" s="27" t="s">
        <v>6325</v>
      </c>
      <c r="O1002" s="6" t="s">
        <v>2693</v>
      </c>
      <c r="P1002" s="28"/>
      <c r="Q1002" s="6" t="s">
        <v>67</v>
      </c>
      <c r="R1002" s="6" t="s">
        <v>384</v>
      </c>
      <c r="S1002" s="27" t="s">
        <v>6326</v>
      </c>
      <c r="T1002" s="6" t="s">
        <v>6138</v>
      </c>
      <c r="U1002" s="7" t="n">
        <v>3</v>
      </c>
      <c r="V1002" s="7" t="n">
        <v>3</v>
      </c>
      <c r="W1002" s="8" t="s">
        <v>6313</v>
      </c>
      <c r="X1002" s="8" t="s">
        <v>6313</v>
      </c>
      <c r="Y1002" s="8" t="s">
        <v>6327</v>
      </c>
      <c r="Z1002" s="8" t="s">
        <v>6327</v>
      </c>
      <c r="AA1002" s="7" t="n">
        <v>427</v>
      </c>
      <c r="AB1002" s="7" t="n">
        <v>313</v>
      </c>
      <c r="AC1002" s="7" t="n">
        <v>393</v>
      </c>
      <c r="AD1002" s="7" t="n">
        <v>3</v>
      </c>
      <c r="AE1002" s="7" t="n">
        <v>4</v>
      </c>
      <c r="AF1002" s="7" t="n">
        <v>13</v>
      </c>
      <c r="AG1002" s="7" t="n">
        <v>15</v>
      </c>
      <c r="AH1002" s="7" t="n">
        <v>2</v>
      </c>
      <c r="AI1002" s="7" t="n">
        <v>3</v>
      </c>
      <c r="AJ1002" s="7" t="n">
        <v>5</v>
      </c>
      <c r="AK1002" s="7" t="n">
        <v>5</v>
      </c>
      <c r="AL1002" s="7" t="n">
        <v>8</v>
      </c>
      <c r="AM1002" s="7" t="n">
        <v>8</v>
      </c>
      <c r="AN1002" s="7" t="n">
        <v>2</v>
      </c>
      <c r="AO1002" s="7" t="n">
        <v>3</v>
      </c>
      <c r="AP1002" s="7" t="n">
        <v>0</v>
      </c>
      <c r="AQ1002" s="7" t="n">
        <v>0</v>
      </c>
      <c r="AR1002" s="6" t="s">
        <v>63</v>
      </c>
      <c r="AS1002" s="6" t="s">
        <v>57</v>
      </c>
      <c r="AT1002" s="9" t="str">
        <f aca="false">HYPERLINK("http://catalog.hathitrust.org/Record/009062936","HathiTrust Record")</f>
        <v>HathiTrust Record</v>
      </c>
      <c r="AU1002" s="9" t="str">
        <f aca="false">HYPERLINK("https://creighton-primo.hosted.exlibrisgroup.com/primo-explore/search?tab=default_tab&amp;search_scope=EVERYTHING&amp;vid=01CRU&amp;lang=en_US&amp;offset=0&amp;query=any,contains,991002288279702656","Catalog Record")</f>
        <v>Catalog Record</v>
      </c>
      <c r="AV1002" s="9" t="str">
        <f aca="false">HYPERLINK("http://www.worldcat.org/oclc/312239","WorldCat Record")</f>
        <v>WorldCat Record</v>
      </c>
      <c r="AW1002" s="6" t="s">
        <v>6328</v>
      </c>
      <c r="AX1002" s="6" t="s">
        <v>6329</v>
      </c>
      <c r="AY1002" s="6" t="s">
        <v>6330</v>
      </c>
      <c r="AZ1002" s="6" t="s">
        <v>6330</v>
      </c>
      <c r="BA1002" s="6" t="s">
        <v>6331</v>
      </c>
      <c r="BB1002" s="28"/>
      <c r="BC1002" s="6" t="s">
        <v>6332</v>
      </c>
      <c r="BE1002" s="15" t="s">
        <v>2145</v>
      </c>
      <c r="BF1002" s="6" t="s">
        <v>6333</v>
      </c>
    </row>
    <row r="1003" customFormat="false" ht="186" hidden="false" customHeight="false" outlineLevel="0" collapsed="false">
      <c r="A1003" s="26" t="s">
        <v>63</v>
      </c>
      <c r="B1003" s="27" t="s">
        <v>2129</v>
      </c>
      <c r="C1003" s="27" t="s">
        <v>2130</v>
      </c>
      <c r="D1003" s="27" t="s">
        <v>6334</v>
      </c>
      <c r="E1003" s="27" t="s">
        <v>6335</v>
      </c>
      <c r="F1003" s="27" t="s">
        <v>6336</v>
      </c>
      <c r="G1003" s="28"/>
      <c r="H1003" s="6" t="s">
        <v>63</v>
      </c>
      <c r="I1003" s="6" t="s">
        <v>62</v>
      </c>
      <c r="J1003" s="6" t="s">
        <v>63</v>
      </c>
      <c r="K1003" s="6" t="s">
        <v>63</v>
      </c>
      <c r="L1003" s="6" t="s">
        <v>64</v>
      </c>
      <c r="M1003" s="28"/>
      <c r="N1003" s="27" t="s">
        <v>6337</v>
      </c>
      <c r="O1003" s="6" t="s">
        <v>4025</v>
      </c>
      <c r="P1003" s="28"/>
      <c r="Q1003" s="6" t="s">
        <v>67</v>
      </c>
      <c r="R1003" s="6" t="s">
        <v>68</v>
      </c>
      <c r="S1003" s="28"/>
      <c r="T1003" s="6" t="s">
        <v>6138</v>
      </c>
      <c r="U1003" s="7" t="n">
        <v>3</v>
      </c>
      <c r="V1003" s="7" t="n">
        <v>3</v>
      </c>
      <c r="W1003" s="8" t="s">
        <v>6313</v>
      </c>
      <c r="X1003" s="8" t="s">
        <v>6313</v>
      </c>
      <c r="Y1003" s="8" t="s">
        <v>6338</v>
      </c>
      <c r="Z1003" s="8" t="s">
        <v>6338</v>
      </c>
      <c r="AA1003" s="7" t="n">
        <v>215</v>
      </c>
      <c r="AB1003" s="7" t="n">
        <v>178</v>
      </c>
      <c r="AC1003" s="7" t="n">
        <v>185</v>
      </c>
      <c r="AD1003" s="7" t="n">
        <v>3</v>
      </c>
      <c r="AE1003" s="7" t="n">
        <v>3</v>
      </c>
      <c r="AF1003" s="7" t="n">
        <v>11</v>
      </c>
      <c r="AG1003" s="7" t="n">
        <v>11</v>
      </c>
      <c r="AH1003" s="7" t="n">
        <v>2</v>
      </c>
      <c r="AI1003" s="7" t="n">
        <v>2</v>
      </c>
      <c r="AJ1003" s="7" t="n">
        <v>2</v>
      </c>
      <c r="AK1003" s="7" t="n">
        <v>2</v>
      </c>
      <c r="AL1003" s="7" t="n">
        <v>8</v>
      </c>
      <c r="AM1003" s="7" t="n">
        <v>8</v>
      </c>
      <c r="AN1003" s="7" t="n">
        <v>2</v>
      </c>
      <c r="AO1003" s="7" t="n">
        <v>2</v>
      </c>
      <c r="AP1003" s="7" t="n">
        <v>0</v>
      </c>
      <c r="AQ1003" s="7" t="n">
        <v>0</v>
      </c>
      <c r="AR1003" s="6" t="s">
        <v>63</v>
      </c>
      <c r="AS1003" s="6" t="s">
        <v>57</v>
      </c>
      <c r="AT1003" s="9" t="str">
        <f aca="false">HYPERLINK("http://catalog.hathitrust.org/Record/002473821","HathiTrust Record")</f>
        <v>HathiTrust Record</v>
      </c>
      <c r="AU1003" s="9" t="str">
        <f aca="false">HYPERLINK("https://creighton-primo.hosted.exlibrisgroup.com/primo-explore/search?tab=default_tab&amp;search_scope=EVERYTHING&amp;vid=01CRU&amp;lang=en_US&amp;offset=0&amp;query=any,contains,991001817439702656","Catalog Record")</f>
        <v>Catalog Record</v>
      </c>
      <c r="AV1003" s="9" t="str">
        <f aca="false">HYPERLINK("http://www.worldcat.org/oclc/22858863","WorldCat Record")</f>
        <v>WorldCat Record</v>
      </c>
      <c r="AW1003" s="6" t="s">
        <v>6339</v>
      </c>
      <c r="AX1003" s="6" t="s">
        <v>6340</v>
      </c>
      <c r="AY1003" s="6" t="s">
        <v>6341</v>
      </c>
      <c r="AZ1003" s="6" t="s">
        <v>6341</v>
      </c>
      <c r="BA1003" s="6" t="s">
        <v>6342</v>
      </c>
      <c r="BB1003" s="6" t="s">
        <v>6343</v>
      </c>
      <c r="BC1003" s="6" t="s">
        <v>6344</v>
      </c>
      <c r="BE1003" s="15" t="s">
        <v>2145</v>
      </c>
      <c r="BF1003" s="6" t="s">
        <v>6345</v>
      </c>
    </row>
    <row r="1004" customFormat="false" ht="117" hidden="false" customHeight="false" outlineLevel="0" collapsed="false">
      <c r="A1004" s="26" t="s">
        <v>63</v>
      </c>
      <c r="B1004" s="27" t="s">
        <v>2129</v>
      </c>
      <c r="C1004" s="27" t="s">
        <v>2130</v>
      </c>
      <c r="D1004" s="27" t="s">
        <v>6346</v>
      </c>
      <c r="E1004" s="27" t="s">
        <v>6347</v>
      </c>
      <c r="F1004" s="27" t="s">
        <v>6348</v>
      </c>
      <c r="G1004" s="28"/>
      <c r="H1004" s="6" t="s">
        <v>63</v>
      </c>
      <c r="I1004" s="6" t="s">
        <v>62</v>
      </c>
      <c r="J1004" s="6" t="s">
        <v>63</v>
      </c>
      <c r="K1004" s="6" t="s">
        <v>63</v>
      </c>
      <c r="L1004" s="6" t="s">
        <v>64</v>
      </c>
      <c r="M1004" s="27" t="s">
        <v>6349</v>
      </c>
      <c r="N1004" s="27" t="s">
        <v>6350</v>
      </c>
      <c r="O1004" s="6" t="s">
        <v>6351</v>
      </c>
      <c r="P1004" s="28"/>
      <c r="Q1004" s="6" t="s">
        <v>67</v>
      </c>
      <c r="R1004" s="6" t="s">
        <v>384</v>
      </c>
      <c r="S1004" s="28"/>
      <c r="T1004" s="6" t="s">
        <v>6138</v>
      </c>
      <c r="U1004" s="7" t="n">
        <v>1</v>
      </c>
      <c r="V1004" s="7" t="n">
        <v>1</v>
      </c>
      <c r="W1004" s="8" t="s">
        <v>6352</v>
      </c>
      <c r="X1004" s="8" t="s">
        <v>6352</v>
      </c>
      <c r="Y1004" s="8" t="s">
        <v>6352</v>
      </c>
      <c r="Z1004" s="8" t="s">
        <v>6352</v>
      </c>
      <c r="AA1004" s="7" t="n">
        <v>422</v>
      </c>
      <c r="AB1004" s="7" t="n">
        <v>290</v>
      </c>
      <c r="AC1004" s="7" t="n">
        <v>321</v>
      </c>
      <c r="AD1004" s="7" t="n">
        <v>5</v>
      </c>
      <c r="AE1004" s="7" t="n">
        <v>5</v>
      </c>
      <c r="AF1004" s="7" t="n">
        <v>21</v>
      </c>
      <c r="AG1004" s="7" t="n">
        <v>21</v>
      </c>
      <c r="AH1004" s="7" t="n">
        <v>6</v>
      </c>
      <c r="AI1004" s="7" t="n">
        <v>6</v>
      </c>
      <c r="AJ1004" s="7" t="n">
        <v>7</v>
      </c>
      <c r="AK1004" s="7" t="n">
        <v>7</v>
      </c>
      <c r="AL1004" s="7" t="n">
        <v>12</v>
      </c>
      <c r="AM1004" s="7" t="n">
        <v>12</v>
      </c>
      <c r="AN1004" s="7" t="n">
        <v>4</v>
      </c>
      <c r="AO1004" s="7" t="n">
        <v>4</v>
      </c>
      <c r="AP1004" s="7" t="n">
        <v>0</v>
      </c>
      <c r="AQ1004" s="7" t="n">
        <v>0</v>
      </c>
      <c r="AR1004" s="6" t="s">
        <v>63</v>
      </c>
      <c r="AS1004" s="6" t="s">
        <v>63</v>
      </c>
      <c r="AT1004" s="28"/>
      <c r="AU1004" s="9" t="str">
        <f aca="false">HYPERLINK("https://creighton-primo.hosted.exlibrisgroup.com/primo-explore/search?tab=default_tab&amp;search_scope=EVERYTHING&amp;vid=01CRU&amp;lang=en_US&amp;offset=0&amp;query=any,contains,991005029979702656","Catalog Record")</f>
        <v>Catalog Record</v>
      </c>
      <c r="AV1004" s="9" t="str">
        <f aca="false">HYPERLINK("http://www.worldcat.org/oclc/50464517","WorldCat Record")</f>
        <v>WorldCat Record</v>
      </c>
      <c r="AW1004" s="6" t="s">
        <v>6353</v>
      </c>
      <c r="AX1004" s="6" t="s">
        <v>6354</v>
      </c>
      <c r="AY1004" s="6" t="s">
        <v>6355</v>
      </c>
      <c r="AZ1004" s="6" t="s">
        <v>6355</v>
      </c>
      <c r="BA1004" s="6" t="s">
        <v>6356</v>
      </c>
      <c r="BB1004" s="6" t="s">
        <v>6357</v>
      </c>
      <c r="BC1004" s="6" t="s">
        <v>6358</v>
      </c>
      <c r="BE1004" s="15" t="s">
        <v>2145</v>
      </c>
      <c r="BF1004" s="6" t="s">
        <v>6359</v>
      </c>
    </row>
    <row r="1005" customFormat="false" ht="117" hidden="false" customHeight="false" outlineLevel="0" collapsed="false">
      <c r="A1005" s="26" t="s">
        <v>63</v>
      </c>
      <c r="B1005" s="27" t="s">
        <v>2129</v>
      </c>
      <c r="C1005" s="27" t="s">
        <v>2130</v>
      </c>
      <c r="D1005" s="27" t="s">
        <v>6360</v>
      </c>
      <c r="E1005" s="27" t="s">
        <v>6361</v>
      </c>
      <c r="F1005" s="27" t="s">
        <v>6362</v>
      </c>
      <c r="G1005" s="28"/>
      <c r="H1005" s="6" t="s">
        <v>63</v>
      </c>
      <c r="I1005" s="6" t="s">
        <v>62</v>
      </c>
      <c r="J1005" s="6" t="s">
        <v>63</v>
      </c>
      <c r="K1005" s="6" t="s">
        <v>63</v>
      </c>
      <c r="L1005" s="6" t="s">
        <v>64</v>
      </c>
      <c r="M1005" s="27" t="s">
        <v>6363</v>
      </c>
      <c r="N1005" s="27" t="s">
        <v>6364</v>
      </c>
      <c r="O1005" s="6" t="s">
        <v>2343</v>
      </c>
      <c r="P1005" s="28"/>
      <c r="Q1005" s="6" t="s">
        <v>67</v>
      </c>
      <c r="R1005" s="6" t="s">
        <v>222</v>
      </c>
      <c r="S1005" s="28"/>
      <c r="T1005" s="6" t="s">
        <v>6138</v>
      </c>
      <c r="U1005" s="7" t="n">
        <v>15</v>
      </c>
      <c r="V1005" s="7" t="n">
        <v>15</v>
      </c>
      <c r="W1005" s="8" t="s">
        <v>5493</v>
      </c>
      <c r="X1005" s="8" t="s">
        <v>5493</v>
      </c>
      <c r="Y1005" s="8" t="s">
        <v>6140</v>
      </c>
      <c r="Z1005" s="8" t="s">
        <v>6140</v>
      </c>
      <c r="AA1005" s="7" t="n">
        <v>1015</v>
      </c>
      <c r="AB1005" s="7" t="n">
        <v>802</v>
      </c>
      <c r="AC1005" s="7" t="n">
        <v>808</v>
      </c>
      <c r="AD1005" s="7" t="n">
        <v>7</v>
      </c>
      <c r="AE1005" s="7" t="n">
        <v>7</v>
      </c>
      <c r="AF1005" s="7" t="n">
        <v>43</v>
      </c>
      <c r="AG1005" s="7" t="n">
        <v>43</v>
      </c>
      <c r="AH1005" s="7" t="n">
        <v>18</v>
      </c>
      <c r="AI1005" s="7" t="n">
        <v>18</v>
      </c>
      <c r="AJ1005" s="7" t="n">
        <v>10</v>
      </c>
      <c r="AK1005" s="7" t="n">
        <v>10</v>
      </c>
      <c r="AL1005" s="7" t="n">
        <v>21</v>
      </c>
      <c r="AM1005" s="7" t="n">
        <v>21</v>
      </c>
      <c r="AN1005" s="7" t="n">
        <v>6</v>
      </c>
      <c r="AO1005" s="7" t="n">
        <v>6</v>
      </c>
      <c r="AP1005" s="7" t="n">
        <v>0</v>
      </c>
      <c r="AQ1005" s="7" t="n">
        <v>0</v>
      </c>
      <c r="AR1005" s="6" t="s">
        <v>63</v>
      </c>
      <c r="AS1005" s="6" t="s">
        <v>63</v>
      </c>
      <c r="AT1005" s="28"/>
      <c r="AU1005" s="9" t="str">
        <f aca="false">HYPERLINK("https://creighton-primo.hosted.exlibrisgroup.com/primo-explore/search?tab=default_tab&amp;search_scope=EVERYTHING&amp;vid=01CRU&amp;lang=en_US&amp;offset=0&amp;query=any,contains,991005384039702656","Catalog Record")</f>
        <v>Catalog Record</v>
      </c>
      <c r="AV1005" s="9" t="str">
        <f aca="false">HYPERLINK("http://www.worldcat.org/oclc/6626160","WorldCat Record")</f>
        <v>WorldCat Record</v>
      </c>
      <c r="AW1005" s="6" t="s">
        <v>6365</v>
      </c>
      <c r="AX1005" s="6" t="s">
        <v>6366</v>
      </c>
      <c r="AY1005" s="6" t="s">
        <v>6367</v>
      </c>
      <c r="AZ1005" s="6" t="s">
        <v>6367</v>
      </c>
      <c r="BA1005" s="6" t="s">
        <v>6368</v>
      </c>
      <c r="BB1005" s="6" t="s">
        <v>6369</v>
      </c>
      <c r="BC1005" s="6" t="s">
        <v>6370</v>
      </c>
      <c r="BE1005" s="15" t="s">
        <v>2145</v>
      </c>
      <c r="BF1005" s="6" t="s">
        <v>6371</v>
      </c>
    </row>
    <row r="1006" customFormat="false" ht="117" hidden="false" customHeight="false" outlineLevel="0" collapsed="false">
      <c r="A1006" s="26" t="s">
        <v>57</v>
      </c>
      <c r="B1006" s="27" t="s">
        <v>2129</v>
      </c>
      <c r="C1006" s="27" t="s">
        <v>2130</v>
      </c>
      <c r="D1006" s="27" t="s">
        <v>6372</v>
      </c>
      <c r="E1006" s="27" t="s">
        <v>6373</v>
      </c>
      <c r="F1006" s="27" t="s">
        <v>6374</v>
      </c>
      <c r="G1006" s="28"/>
      <c r="H1006" s="6" t="s">
        <v>63</v>
      </c>
      <c r="I1006" s="6" t="s">
        <v>62</v>
      </c>
      <c r="J1006" s="6" t="s">
        <v>63</v>
      </c>
      <c r="K1006" s="6" t="s">
        <v>63</v>
      </c>
      <c r="L1006" s="6" t="s">
        <v>64</v>
      </c>
      <c r="M1006" s="27" t="s">
        <v>6375</v>
      </c>
      <c r="N1006" s="27" t="s">
        <v>6376</v>
      </c>
      <c r="O1006" s="6" t="s">
        <v>2721</v>
      </c>
      <c r="P1006" s="28"/>
      <c r="Q1006" s="6" t="s">
        <v>67</v>
      </c>
      <c r="R1006" s="6" t="s">
        <v>384</v>
      </c>
      <c r="S1006" s="28"/>
      <c r="T1006" s="6" t="s">
        <v>6138</v>
      </c>
      <c r="U1006" s="7" t="n">
        <v>5</v>
      </c>
      <c r="V1006" s="7" t="n">
        <v>5</v>
      </c>
      <c r="W1006" s="8" t="s">
        <v>6377</v>
      </c>
      <c r="X1006" s="8" t="s">
        <v>6377</v>
      </c>
      <c r="Y1006" s="8" t="s">
        <v>6378</v>
      </c>
      <c r="Z1006" s="8" t="s">
        <v>6378</v>
      </c>
      <c r="AA1006" s="7" t="n">
        <v>49</v>
      </c>
      <c r="AB1006" s="7" t="n">
        <v>29</v>
      </c>
      <c r="AC1006" s="7" t="n">
        <v>215</v>
      </c>
      <c r="AD1006" s="7" t="n">
        <v>2</v>
      </c>
      <c r="AE1006" s="7" t="n">
        <v>3</v>
      </c>
      <c r="AF1006" s="7" t="n">
        <v>2</v>
      </c>
      <c r="AG1006" s="7" t="n">
        <v>13</v>
      </c>
      <c r="AH1006" s="7" t="n">
        <v>0</v>
      </c>
      <c r="AI1006" s="7" t="n">
        <v>3</v>
      </c>
      <c r="AJ1006" s="7" t="n">
        <v>0</v>
      </c>
      <c r="AK1006" s="7" t="n">
        <v>3</v>
      </c>
      <c r="AL1006" s="7" t="n">
        <v>1</v>
      </c>
      <c r="AM1006" s="7" t="n">
        <v>8</v>
      </c>
      <c r="AN1006" s="7" t="n">
        <v>1</v>
      </c>
      <c r="AO1006" s="7" t="n">
        <v>2</v>
      </c>
      <c r="AP1006" s="7" t="n">
        <v>0</v>
      </c>
      <c r="AQ1006" s="7" t="n">
        <v>0</v>
      </c>
      <c r="AR1006" s="6" t="s">
        <v>63</v>
      </c>
      <c r="AS1006" s="6" t="s">
        <v>63</v>
      </c>
      <c r="AT1006" s="28"/>
      <c r="AU1006" s="9" t="str">
        <f aca="false">HYPERLINK("https://creighton-primo.hosted.exlibrisgroup.com/primo-explore/search?tab=default_tab&amp;search_scope=EVERYTHING&amp;vid=01CRU&amp;lang=en_US&amp;offset=0&amp;query=any,contains,991002457919702656","Catalog Record")</f>
        <v>Catalog Record</v>
      </c>
      <c r="AV1006" s="9" t="str">
        <f aca="false">HYPERLINK("http://www.worldcat.org/oclc/32037037","WorldCat Record")</f>
        <v>WorldCat Record</v>
      </c>
      <c r="AW1006" s="6" t="s">
        <v>6379</v>
      </c>
      <c r="AX1006" s="6" t="s">
        <v>6380</v>
      </c>
      <c r="AY1006" s="6" t="s">
        <v>6381</v>
      </c>
      <c r="AZ1006" s="6" t="s">
        <v>6381</v>
      </c>
      <c r="BA1006" s="6" t="s">
        <v>6382</v>
      </c>
      <c r="BB1006" s="6" t="s">
        <v>6383</v>
      </c>
      <c r="BC1006" s="6" t="s">
        <v>6384</v>
      </c>
      <c r="BE1006" s="15" t="s">
        <v>2145</v>
      </c>
      <c r="BF1006" s="6" t="s">
        <v>6385</v>
      </c>
    </row>
    <row r="1007" customFormat="false" ht="128.5" hidden="false" customHeight="false" outlineLevel="0" collapsed="false">
      <c r="A1007" s="26" t="s">
        <v>57</v>
      </c>
      <c r="B1007" s="27" t="s">
        <v>2129</v>
      </c>
      <c r="C1007" s="27" t="s">
        <v>2130</v>
      </c>
      <c r="D1007" s="27" t="s">
        <v>6386</v>
      </c>
      <c r="E1007" s="27" t="s">
        <v>6387</v>
      </c>
      <c r="F1007" s="27" t="s">
        <v>6388</v>
      </c>
      <c r="G1007" s="28"/>
      <c r="H1007" s="6" t="s">
        <v>63</v>
      </c>
      <c r="I1007" s="6" t="s">
        <v>62</v>
      </c>
      <c r="J1007" s="6" t="s">
        <v>63</v>
      </c>
      <c r="K1007" s="6" t="s">
        <v>63</v>
      </c>
      <c r="L1007" s="6" t="s">
        <v>64</v>
      </c>
      <c r="M1007" s="27" t="s">
        <v>6389</v>
      </c>
      <c r="N1007" s="27" t="s">
        <v>6390</v>
      </c>
      <c r="O1007" s="6" t="s">
        <v>3248</v>
      </c>
      <c r="P1007" s="28"/>
      <c r="Q1007" s="6" t="s">
        <v>67</v>
      </c>
      <c r="R1007" s="6" t="s">
        <v>68</v>
      </c>
      <c r="S1007" s="28"/>
      <c r="T1007" s="6" t="s">
        <v>6138</v>
      </c>
      <c r="U1007" s="7" t="n">
        <v>5</v>
      </c>
      <c r="V1007" s="7" t="n">
        <v>5</v>
      </c>
      <c r="W1007" s="8" t="s">
        <v>6391</v>
      </c>
      <c r="X1007" s="8" t="s">
        <v>6391</v>
      </c>
      <c r="Y1007" s="8" t="s">
        <v>6392</v>
      </c>
      <c r="Z1007" s="8" t="s">
        <v>6392</v>
      </c>
      <c r="AA1007" s="7" t="n">
        <v>84</v>
      </c>
      <c r="AB1007" s="7" t="n">
        <v>51</v>
      </c>
      <c r="AC1007" s="7" t="n">
        <v>583</v>
      </c>
      <c r="AD1007" s="7" t="n">
        <v>1</v>
      </c>
      <c r="AE1007" s="7" t="n">
        <v>4</v>
      </c>
      <c r="AF1007" s="7" t="n">
        <v>4</v>
      </c>
      <c r="AG1007" s="7" t="n">
        <v>20</v>
      </c>
      <c r="AH1007" s="7" t="n">
        <v>1</v>
      </c>
      <c r="AI1007" s="7" t="n">
        <v>6</v>
      </c>
      <c r="AJ1007" s="7" t="n">
        <v>3</v>
      </c>
      <c r="AK1007" s="7" t="n">
        <v>7</v>
      </c>
      <c r="AL1007" s="7" t="n">
        <v>1</v>
      </c>
      <c r="AM1007" s="7" t="n">
        <v>11</v>
      </c>
      <c r="AN1007" s="7" t="n">
        <v>0</v>
      </c>
      <c r="AO1007" s="7" t="n">
        <v>3</v>
      </c>
      <c r="AP1007" s="7" t="n">
        <v>0</v>
      </c>
      <c r="AQ1007" s="7" t="n">
        <v>0</v>
      </c>
      <c r="AR1007" s="6" t="s">
        <v>63</v>
      </c>
      <c r="AS1007" s="6" t="s">
        <v>63</v>
      </c>
      <c r="AT1007" s="28"/>
      <c r="AU1007" s="9" t="str">
        <f aca="false">HYPERLINK("https://creighton-primo.hosted.exlibrisgroup.com/primo-explore/search?tab=default_tab&amp;search_scope=EVERYTHING&amp;vid=01CRU&amp;lang=en_US&amp;offset=0&amp;query=any,contains,991002723169702656","Catalog Record")</f>
        <v>Catalog Record</v>
      </c>
      <c r="AV1007" s="9" t="str">
        <f aca="false">HYPERLINK("http://www.worldcat.org/oclc/35710870","WorldCat Record")</f>
        <v>WorldCat Record</v>
      </c>
      <c r="AW1007" s="6" t="s">
        <v>6393</v>
      </c>
      <c r="AX1007" s="6" t="s">
        <v>6394</v>
      </c>
      <c r="AY1007" s="6" t="s">
        <v>6395</v>
      </c>
      <c r="AZ1007" s="6" t="s">
        <v>6395</v>
      </c>
      <c r="BA1007" s="6" t="s">
        <v>6396</v>
      </c>
      <c r="BB1007" s="6" t="s">
        <v>6397</v>
      </c>
      <c r="BC1007" s="6" t="s">
        <v>6398</v>
      </c>
      <c r="BE1007" s="15" t="s">
        <v>2145</v>
      </c>
      <c r="BF1007" s="6" t="s">
        <v>6399</v>
      </c>
    </row>
    <row r="1008" customFormat="false" ht="128.5" hidden="false" customHeight="false" outlineLevel="0" collapsed="false">
      <c r="A1008" s="26" t="s">
        <v>57</v>
      </c>
      <c r="B1008" s="27" t="s">
        <v>2129</v>
      </c>
      <c r="C1008" s="27" t="s">
        <v>2130</v>
      </c>
      <c r="D1008" s="27" t="s">
        <v>6400</v>
      </c>
      <c r="E1008" s="27" t="s">
        <v>6401</v>
      </c>
      <c r="F1008" s="27" t="s">
        <v>6402</v>
      </c>
      <c r="G1008" s="28"/>
      <c r="H1008" s="6" t="s">
        <v>63</v>
      </c>
      <c r="I1008" s="6" t="s">
        <v>62</v>
      </c>
      <c r="J1008" s="6" t="s">
        <v>63</v>
      </c>
      <c r="K1008" s="6" t="s">
        <v>63</v>
      </c>
      <c r="L1008" s="6" t="s">
        <v>64</v>
      </c>
      <c r="M1008" s="27" t="s">
        <v>6403</v>
      </c>
      <c r="N1008" s="27" t="s">
        <v>6404</v>
      </c>
      <c r="O1008" s="6" t="s">
        <v>221</v>
      </c>
      <c r="P1008" s="28"/>
      <c r="Q1008" s="6" t="s">
        <v>67</v>
      </c>
      <c r="R1008" s="6" t="s">
        <v>384</v>
      </c>
      <c r="S1008" s="28"/>
      <c r="T1008" s="6" t="s">
        <v>6138</v>
      </c>
      <c r="U1008" s="7" t="n">
        <v>8</v>
      </c>
      <c r="V1008" s="7" t="n">
        <v>8</v>
      </c>
      <c r="W1008" s="8" t="s">
        <v>5973</v>
      </c>
      <c r="X1008" s="8" t="s">
        <v>5973</v>
      </c>
      <c r="Y1008" s="8" t="s">
        <v>6405</v>
      </c>
      <c r="Z1008" s="8" t="s">
        <v>6405</v>
      </c>
      <c r="AA1008" s="7" t="n">
        <v>874</v>
      </c>
      <c r="AB1008" s="7" t="n">
        <v>648</v>
      </c>
      <c r="AC1008" s="7" t="n">
        <v>655</v>
      </c>
      <c r="AD1008" s="7" t="n">
        <v>3</v>
      </c>
      <c r="AE1008" s="7" t="n">
        <v>3</v>
      </c>
      <c r="AF1008" s="7" t="n">
        <v>40</v>
      </c>
      <c r="AG1008" s="7" t="n">
        <v>40</v>
      </c>
      <c r="AH1008" s="7" t="n">
        <v>18</v>
      </c>
      <c r="AI1008" s="7" t="n">
        <v>18</v>
      </c>
      <c r="AJ1008" s="7" t="n">
        <v>10</v>
      </c>
      <c r="AK1008" s="7" t="n">
        <v>10</v>
      </c>
      <c r="AL1008" s="7" t="n">
        <v>21</v>
      </c>
      <c r="AM1008" s="7" t="n">
        <v>21</v>
      </c>
      <c r="AN1008" s="7" t="n">
        <v>2</v>
      </c>
      <c r="AO1008" s="7" t="n">
        <v>2</v>
      </c>
      <c r="AP1008" s="7" t="n">
        <v>1</v>
      </c>
      <c r="AQ1008" s="7" t="n">
        <v>1</v>
      </c>
      <c r="AR1008" s="6" t="s">
        <v>63</v>
      </c>
      <c r="AS1008" s="6" t="s">
        <v>63</v>
      </c>
      <c r="AT1008" s="28"/>
      <c r="AU1008" s="9" t="str">
        <f aca="false">HYPERLINK("https://creighton-primo.hosted.exlibrisgroup.com/primo-explore/search?tab=default_tab&amp;search_scope=EVERYTHING&amp;vid=01CRU&amp;lang=en_US&amp;offset=0&amp;query=any,contains,991000147689702656","Catalog Record")</f>
        <v>Catalog Record</v>
      </c>
      <c r="AV1008" s="9" t="str">
        <f aca="false">HYPERLINK("http://www.worldcat.org/oclc/9196773","WorldCat Record")</f>
        <v>WorldCat Record</v>
      </c>
      <c r="AW1008" s="6" t="s">
        <v>6406</v>
      </c>
      <c r="AX1008" s="6" t="s">
        <v>6407</v>
      </c>
      <c r="AY1008" s="6" t="s">
        <v>6408</v>
      </c>
      <c r="AZ1008" s="6" t="s">
        <v>6408</v>
      </c>
      <c r="BA1008" s="6" t="s">
        <v>6409</v>
      </c>
      <c r="BB1008" s="6" t="s">
        <v>6410</v>
      </c>
      <c r="BC1008" s="6" t="s">
        <v>6411</v>
      </c>
      <c r="BE1008" s="15" t="s">
        <v>2145</v>
      </c>
      <c r="BF1008" s="6" t="s">
        <v>6412</v>
      </c>
    </row>
    <row r="1009" customFormat="false" ht="94" hidden="false" customHeight="false" outlineLevel="0" collapsed="false">
      <c r="A1009" s="26" t="s">
        <v>57</v>
      </c>
      <c r="B1009" s="27" t="s">
        <v>2129</v>
      </c>
      <c r="C1009" s="27" t="s">
        <v>2130</v>
      </c>
      <c r="D1009" s="27" t="s">
        <v>6413</v>
      </c>
      <c r="E1009" s="27" t="s">
        <v>6414</v>
      </c>
      <c r="F1009" s="27" t="s">
        <v>6415</v>
      </c>
      <c r="G1009" s="28"/>
      <c r="H1009" s="6" t="s">
        <v>63</v>
      </c>
      <c r="I1009" s="6" t="s">
        <v>62</v>
      </c>
      <c r="J1009" s="6" t="s">
        <v>57</v>
      </c>
      <c r="K1009" s="6" t="s">
        <v>63</v>
      </c>
      <c r="L1009" s="6" t="s">
        <v>64</v>
      </c>
      <c r="M1009" s="27" t="s">
        <v>6416</v>
      </c>
      <c r="N1009" s="27" t="s">
        <v>6417</v>
      </c>
      <c r="O1009" s="6" t="s">
        <v>3697</v>
      </c>
      <c r="P1009" s="28"/>
      <c r="Q1009" s="6" t="s">
        <v>67</v>
      </c>
      <c r="R1009" s="6" t="s">
        <v>181</v>
      </c>
      <c r="S1009" s="28"/>
      <c r="T1009" s="6" t="s">
        <v>6138</v>
      </c>
      <c r="U1009" s="7" t="n">
        <v>7</v>
      </c>
      <c r="V1009" s="7" t="n">
        <v>7</v>
      </c>
      <c r="W1009" s="8" t="s">
        <v>6418</v>
      </c>
      <c r="X1009" s="8" t="s">
        <v>6418</v>
      </c>
      <c r="Y1009" s="8" t="s">
        <v>6245</v>
      </c>
      <c r="Z1009" s="8" t="s">
        <v>2383</v>
      </c>
      <c r="AA1009" s="7" t="n">
        <v>849</v>
      </c>
      <c r="AB1009" s="7" t="n">
        <v>697</v>
      </c>
      <c r="AC1009" s="7" t="n">
        <v>699</v>
      </c>
      <c r="AD1009" s="7" t="n">
        <v>5</v>
      </c>
      <c r="AE1009" s="7" t="n">
        <v>5</v>
      </c>
      <c r="AF1009" s="7" t="n">
        <v>52</v>
      </c>
      <c r="AG1009" s="7" t="n">
        <v>52</v>
      </c>
      <c r="AH1009" s="7" t="n">
        <v>17</v>
      </c>
      <c r="AI1009" s="7" t="n">
        <v>17</v>
      </c>
      <c r="AJ1009" s="7" t="n">
        <v>9</v>
      </c>
      <c r="AK1009" s="7" t="n">
        <v>9</v>
      </c>
      <c r="AL1009" s="7" t="n">
        <v>22</v>
      </c>
      <c r="AM1009" s="7" t="n">
        <v>22</v>
      </c>
      <c r="AN1009" s="7" t="n">
        <v>2</v>
      </c>
      <c r="AO1009" s="7" t="n">
        <v>2</v>
      </c>
      <c r="AP1009" s="7" t="n">
        <v>14</v>
      </c>
      <c r="AQ1009" s="7" t="n">
        <v>14</v>
      </c>
      <c r="AR1009" s="6" t="s">
        <v>63</v>
      </c>
      <c r="AS1009" s="6" t="s">
        <v>63</v>
      </c>
      <c r="AT1009" s="28"/>
      <c r="AU1009" s="9" t="str">
        <f aca="false">HYPERLINK("https://creighton-primo.hosted.exlibrisgroup.com/primo-explore/search?tab=default_tab&amp;search_scope=EVERYTHING&amp;vid=01CRU&amp;lang=en_US&amp;offset=0&amp;query=any,contains,991001641439702656","Catalog Record")</f>
        <v>Catalog Record</v>
      </c>
      <c r="AV1009" s="9" t="str">
        <f aca="false">HYPERLINK("http://www.worldcat.org/oclc/19629497","WorldCat Record")</f>
        <v>WorldCat Record</v>
      </c>
      <c r="AW1009" s="6" t="s">
        <v>6419</v>
      </c>
      <c r="AX1009" s="6" t="s">
        <v>6420</v>
      </c>
      <c r="AY1009" s="6" t="s">
        <v>6421</v>
      </c>
      <c r="AZ1009" s="6" t="s">
        <v>6421</v>
      </c>
      <c r="BA1009" s="6" t="s">
        <v>6422</v>
      </c>
      <c r="BB1009" s="6" t="s">
        <v>6423</v>
      </c>
      <c r="BC1009" s="6" t="s">
        <v>6424</v>
      </c>
      <c r="BE1009" s="15" t="s">
        <v>2145</v>
      </c>
      <c r="BF1009" s="6" t="s">
        <v>6425</v>
      </c>
    </row>
    <row r="1010" customFormat="false" ht="163" hidden="false" customHeight="false" outlineLevel="0" collapsed="false">
      <c r="A1010" s="26" t="s">
        <v>63</v>
      </c>
      <c r="B1010" s="27" t="s">
        <v>2129</v>
      </c>
      <c r="C1010" s="27" t="s">
        <v>2130</v>
      </c>
      <c r="D1010" s="27" t="s">
        <v>6426</v>
      </c>
      <c r="E1010" s="27" t="s">
        <v>6427</v>
      </c>
      <c r="F1010" s="27" t="s">
        <v>6428</v>
      </c>
      <c r="G1010" s="28"/>
      <c r="H1010" s="6" t="s">
        <v>63</v>
      </c>
      <c r="I1010" s="6" t="s">
        <v>62</v>
      </c>
      <c r="J1010" s="6" t="s">
        <v>63</v>
      </c>
      <c r="K1010" s="6" t="s">
        <v>63</v>
      </c>
      <c r="L1010" s="6" t="s">
        <v>64</v>
      </c>
      <c r="M1010" s="28"/>
      <c r="N1010" s="27" t="s">
        <v>6429</v>
      </c>
      <c r="O1010" s="6" t="s">
        <v>246</v>
      </c>
      <c r="P1010" s="28"/>
      <c r="Q1010" s="6" t="s">
        <v>67</v>
      </c>
      <c r="R1010" s="6" t="s">
        <v>68</v>
      </c>
      <c r="S1010" s="28"/>
      <c r="T1010" s="6" t="s">
        <v>6138</v>
      </c>
      <c r="U1010" s="7" t="n">
        <v>4</v>
      </c>
      <c r="V1010" s="7" t="n">
        <v>4</v>
      </c>
      <c r="W1010" s="8" t="s">
        <v>6430</v>
      </c>
      <c r="X1010" s="8" t="s">
        <v>6430</v>
      </c>
      <c r="Y1010" s="8" t="s">
        <v>6405</v>
      </c>
      <c r="Z1010" s="8" t="s">
        <v>6405</v>
      </c>
      <c r="AA1010" s="7" t="n">
        <v>465</v>
      </c>
      <c r="AB1010" s="7" t="n">
        <v>391</v>
      </c>
      <c r="AC1010" s="7" t="n">
        <v>393</v>
      </c>
      <c r="AD1010" s="7" t="n">
        <v>3</v>
      </c>
      <c r="AE1010" s="7" t="n">
        <v>3</v>
      </c>
      <c r="AF1010" s="7" t="n">
        <v>29</v>
      </c>
      <c r="AG1010" s="7" t="n">
        <v>29</v>
      </c>
      <c r="AH1010" s="7" t="n">
        <v>8</v>
      </c>
      <c r="AI1010" s="7" t="n">
        <v>8</v>
      </c>
      <c r="AJ1010" s="7" t="n">
        <v>6</v>
      </c>
      <c r="AK1010" s="7" t="n">
        <v>6</v>
      </c>
      <c r="AL1010" s="7" t="n">
        <v>18</v>
      </c>
      <c r="AM1010" s="7" t="n">
        <v>18</v>
      </c>
      <c r="AN1010" s="7" t="n">
        <v>2</v>
      </c>
      <c r="AO1010" s="7" t="n">
        <v>2</v>
      </c>
      <c r="AP1010" s="7" t="n">
        <v>5</v>
      </c>
      <c r="AQ1010" s="7" t="n">
        <v>5</v>
      </c>
      <c r="AR1010" s="6" t="s">
        <v>63</v>
      </c>
      <c r="AS1010" s="6" t="s">
        <v>57</v>
      </c>
      <c r="AT1010" s="9" t="str">
        <f aca="false">HYPERLINK("http://catalog.hathitrust.org/Record/000033824","HathiTrust Record")</f>
        <v>HathiTrust Record</v>
      </c>
      <c r="AU1010" s="9" t="str">
        <f aca="false">HYPERLINK("https://creighton-primo.hosted.exlibrisgroup.com/primo-explore/search?tab=default_tab&amp;search_scope=EVERYTHING&amp;vid=01CRU&amp;lang=en_US&amp;offset=0&amp;query=any,contains,991004901059702656","Catalog Record")</f>
        <v>Catalog Record</v>
      </c>
      <c r="AV1010" s="9" t="str">
        <f aca="false">HYPERLINK("http://www.worldcat.org/oclc/5937685","WorldCat Record")</f>
        <v>WorldCat Record</v>
      </c>
      <c r="AW1010" s="6" t="s">
        <v>6431</v>
      </c>
      <c r="AX1010" s="6" t="s">
        <v>6432</v>
      </c>
      <c r="AY1010" s="6" t="s">
        <v>6433</v>
      </c>
      <c r="AZ1010" s="6" t="s">
        <v>6433</v>
      </c>
      <c r="BA1010" s="6" t="s">
        <v>6434</v>
      </c>
      <c r="BB1010" s="6" t="s">
        <v>6435</v>
      </c>
      <c r="BC1010" s="6" t="s">
        <v>6436</v>
      </c>
      <c r="BE1010" s="15" t="s">
        <v>2145</v>
      </c>
      <c r="BF1010" s="6" t="s">
        <v>6437</v>
      </c>
    </row>
    <row r="1011" customFormat="false" ht="140" hidden="false" customHeight="false" outlineLevel="0" collapsed="false">
      <c r="A1011" s="26" t="s">
        <v>63</v>
      </c>
      <c r="B1011" s="27" t="s">
        <v>2129</v>
      </c>
      <c r="C1011" s="27" t="s">
        <v>2130</v>
      </c>
      <c r="D1011" s="27" t="s">
        <v>6438</v>
      </c>
      <c r="E1011" s="27" t="s">
        <v>6439</v>
      </c>
      <c r="F1011" s="27" t="s">
        <v>6440</v>
      </c>
      <c r="G1011" s="28"/>
      <c r="H1011" s="6" t="s">
        <v>63</v>
      </c>
      <c r="I1011" s="6" t="s">
        <v>62</v>
      </c>
      <c r="J1011" s="6" t="s">
        <v>63</v>
      </c>
      <c r="K1011" s="6" t="s">
        <v>63</v>
      </c>
      <c r="L1011" s="6" t="s">
        <v>64</v>
      </c>
      <c r="M1011" s="27" t="s">
        <v>6441</v>
      </c>
      <c r="N1011" s="27" t="s">
        <v>6442</v>
      </c>
      <c r="O1011" s="6" t="s">
        <v>208</v>
      </c>
      <c r="P1011" s="28"/>
      <c r="Q1011" s="6" t="s">
        <v>67</v>
      </c>
      <c r="R1011" s="6" t="s">
        <v>1059</v>
      </c>
      <c r="S1011" s="28"/>
      <c r="T1011" s="6" t="s">
        <v>6138</v>
      </c>
      <c r="U1011" s="7" t="n">
        <v>10</v>
      </c>
      <c r="V1011" s="7" t="n">
        <v>10</v>
      </c>
      <c r="W1011" s="8" t="s">
        <v>6443</v>
      </c>
      <c r="X1011" s="8" t="s">
        <v>6443</v>
      </c>
      <c r="Y1011" s="8" t="s">
        <v>6444</v>
      </c>
      <c r="Z1011" s="8" t="s">
        <v>6444</v>
      </c>
      <c r="AA1011" s="7" t="n">
        <v>798</v>
      </c>
      <c r="AB1011" s="7" t="n">
        <v>589</v>
      </c>
      <c r="AC1011" s="7" t="n">
        <v>713</v>
      </c>
      <c r="AD1011" s="7" t="n">
        <v>4</v>
      </c>
      <c r="AE1011" s="7" t="n">
        <v>6</v>
      </c>
      <c r="AF1011" s="7" t="n">
        <v>37</v>
      </c>
      <c r="AG1011" s="7" t="n">
        <v>41</v>
      </c>
      <c r="AH1011" s="7" t="n">
        <v>13</v>
      </c>
      <c r="AI1011" s="7" t="n">
        <v>15</v>
      </c>
      <c r="AJ1011" s="7" t="n">
        <v>9</v>
      </c>
      <c r="AK1011" s="7" t="n">
        <v>10</v>
      </c>
      <c r="AL1011" s="7" t="n">
        <v>22</v>
      </c>
      <c r="AM1011" s="7" t="n">
        <v>22</v>
      </c>
      <c r="AN1011" s="7" t="n">
        <v>3</v>
      </c>
      <c r="AO1011" s="7" t="n">
        <v>5</v>
      </c>
      <c r="AP1011" s="7" t="n">
        <v>0</v>
      </c>
      <c r="AQ1011" s="7" t="n">
        <v>0</v>
      </c>
      <c r="AR1011" s="6" t="s">
        <v>63</v>
      </c>
      <c r="AS1011" s="6" t="s">
        <v>63</v>
      </c>
      <c r="AT1011" s="28"/>
      <c r="AU1011" s="9" t="str">
        <f aca="false">HYPERLINK("https://creighton-primo.hosted.exlibrisgroup.com/primo-explore/search?tab=default_tab&amp;search_scope=EVERYTHING&amp;vid=01CRU&amp;lang=en_US&amp;offset=0&amp;query=any,contains,991000952699702656","Catalog Record")</f>
        <v>Catalog Record</v>
      </c>
      <c r="AV1011" s="9" t="str">
        <f aca="false">HYPERLINK("http://www.worldcat.org/oclc/14692604","WorldCat Record")</f>
        <v>WorldCat Record</v>
      </c>
      <c r="AW1011" s="6" t="s">
        <v>6445</v>
      </c>
      <c r="AX1011" s="6" t="s">
        <v>6446</v>
      </c>
      <c r="AY1011" s="6" t="s">
        <v>6447</v>
      </c>
      <c r="AZ1011" s="6" t="s">
        <v>6447</v>
      </c>
      <c r="BA1011" s="6" t="s">
        <v>6448</v>
      </c>
      <c r="BB1011" s="6" t="s">
        <v>6449</v>
      </c>
      <c r="BC1011" s="6" t="s">
        <v>6450</v>
      </c>
      <c r="BE1011" s="15" t="s">
        <v>2145</v>
      </c>
      <c r="BF1011" s="6" t="s">
        <v>6451</v>
      </c>
    </row>
    <row r="1012" customFormat="false" ht="71" hidden="false" customHeight="false" outlineLevel="0" collapsed="false">
      <c r="A1012" s="26" t="s">
        <v>63</v>
      </c>
      <c r="B1012" s="27" t="s">
        <v>2129</v>
      </c>
      <c r="C1012" s="27" t="s">
        <v>2130</v>
      </c>
      <c r="D1012" s="27" t="s">
        <v>6452</v>
      </c>
      <c r="E1012" s="27" t="s">
        <v>6453</v>
      </c>
      <c r="F1012" s="27" t="s">
        <v>6454</v>
      </c>
      <c r="G1012" s="28"/>
      <c r="H1012" s="6" t="s">
        <v>63</v>
      </c>
      <c r="I1012" s="6" t="s">
        <v>62</v>
      </c>
      <c r="J1012" s="6" t="s">
        <v>63</v>
      </c>
      <c r="K1012" s="6" t="s">
        <v>63</v>
      </c>
      <c r="L1012" s="6" t="s">
        <v>64</v>
      </c>
      <c r="M1012" s="28"/>
      <c r="N1012" s="27" t="s">
        <v>6455</v>
      </c>
      <c r="O1012" s="6" t="s">
        <v>66</v>
      </c>
      <c r="P1012" s="28"/>
      <c r="Q1012" s="6" t="s">
        <v>67</v>
      </c>
      <c r="R1012" s="6" t="s">
        <v>384</v>
      </c>
      <c r="S1012" s="27" t="s">
        <v>5820</v>
      </c>
      <c r="T1012" s="6" t="s">
        <v>6138</v>
      </c>
      <c r="U1012" s="7" t="n">
        <v>3</v>
      </c>
      <c r="V1012" s="7" t="n">
        <v>3</v>
      </c>
      <c r="W1012" s="8" t="s">
        <v>6456</v>
      </c>
      <c r="X1012" s="8" t="s">
        <v>6456</v>
      </c>
      <c r="Y1012" s="8" t="s">
        <v>6457</v>
      </c>
      <c r="Z1012" s="8" t="s">
        <v>6457</v>
      </c>
      <c r="AA1012" s="7" t="n">
        <v>406</v>
      </c>
      <c r="AB1012" s="7" t="n">
        <v>253</v>
      </c>
      <c r="AC1012" s="7" t="n">
        <v>253</v>
      </c>
      <c r="AD1012" s="7" t="n">
        <v>2</v>
      </c>
      <c r="AE1012" s="7" t="n">
        <v>2</v>
      </c>
      <c r="AF1012" s="7" t="n">
        <v>16</v>
      </c>
      <c r="AG1012" s="7" t="n">
        <v>16</v>
      </c>
      <c r="AH1012" s="7" t="n">
        <v>4</v>
      </c>
      <c r="AI1012" s="7" t="n">
        <v>4</v>
      </c>
      <c r="AJ1012" s="7" t="n">
        <v>4</v>
      </c>
      <c r="AK1012" s="7" t="n">
        <v>4</v>
      </c>
      <c r="AL1012" s="7" t="n">
        <v>10</v>
      </c>
      <c r="AM1012" s="7" t="n">
        <v>10</v>
      </c>
      <c r="AN1012" s="7" t="n">
        <v>1</v>
      </c>
      <c r="AO1012" s="7" t="n">
        <v>1</v>
      </c>
      <c r="AP1012" s="7" t="n">
        <v>0</v>
      </c>
      <c r="AQ1012" s="7" t="n">
        <v>0</v>
      </c>
      <c r="AR1012" s="6" t="s">
        <v>63</v>
      </c>
      <c r="AS1012" s="6" t="s">
        <v>63</v>
      </c>
      <c r="AT1012" s="28"/>
      <c r="AU1012" s="9" t="str">
        <f aca="false">HYPERLINK("https://creighton-primo.hosted.exlibrisgroup.com/primo-explore/search?tab=default_tab&amp;search_scope=EVERYTHING&amp;vid=01CRU&amp;lang=en_US&amp;offset=0&amp;query=any,contains,991002074609702656","Catalog Record")</f>
        <v>Catalog Record</v>
      </c>
      <c r="AV1012" s="9" t="str">
        <f aca="false">HYPERLINK("http://www.worldcat.org/oclc/26588481","WorldCat Record")</f>
        <v>WorldCat Record</v>
      </c>
      <c r="AW1012" s="6" t="s">
        <v>6458</v>
      </c>
      <c r="AX1012" s="6" t="s">
        <v>6459</v>
      </c>
      <c r="AY1012" s="6" t="s">
        <v>6460</v>
      </c>
      <c r="AZ1012" s="6" t="s">
        <v>6460</v>
      </c>
      <c r="BA1012" s="6" t="s">
        <v>6461</v>
      </c>
      <c r="BB1012" s="6" t="s">
        <v>6462</v>
      </c>
      <c r="BC1012" s="6" t="s">
        <v>6463</v>
      </c>
      <c r="BE1012" s="15" t="s">
        <v>2145</v>
      </c>
      <c r="BF1012" s="6" t="s">
        <v>6464</v>
      </c>
    </row>
    <row r="1013" customFormat="false" ht="117" hidden="false" customHeight="false" outlineLevel="0" collapsed="false">
      <c r="A1013" s="26" t="s">
        <v>63</v>
      </c>
      <c r="B1013" s="27" t="s">
        <v>2129</v>
      </c>
      <c r="C1013" s="27" t="s">
        <v>2130</v>
      </c>
      <c r="D1013" s="27" t="s">
        <v>6465</v>
      </c>
      <c r="E1013" s="27" t="s">
        <v>6466</v>
      </c>
      <c r="F1013" s="27" t="s">
        <v>6467</v>
      </c>
      <c r="G1013" s="28"/>
      <c r="H1013" s="6" t="s">
        <v>63</v>
      </c>
      <c r="I1013" s="6" t="s">
        <v>62</v>
      </c>
      <c r="J1013" s="6" t="s">
        <v>63</v>
      </c>
      <c r="K1013" s="6" t="s">
        <v>63</v>
      </c>
      <c r="L1013" s="6" t="s">
        <v>64</v>
      </c>
      <c r="M1013" s="27" t="s">
        <v>6468</v>
      </c>
      <c r="N1013" s="27" t="s">
        <v>6469</v>
      </c>
      <c r="O1013" s="6" t="s">
        <v>108</v>
      </c>
      <c r="P1013" s="28"/>
      <c r="Q1013" s="6" t="s">
        <v>67</v>
      </c>
      <c r="R1013" s="6" t="s">
        <v>2288</v>
      </c>
      <c r="S1013" s="28"/>
      <c r="T1013" s="6" t="s">
        <v>6138</v>
      </c>
      <c r="U1013" s="7" t="n">
        <v>7</v>
      </c>
      <c r="V1013" s="7" t="n">
        <v>7</v>
      </c>
      <c r="W1013" s="8" t="s">
        <v>3921</v>
      </c>
      <c r="X1013" s="8" t="s">
        <v>3921</v>
      </c>
      <c r="Y1013" s="8" t="s">
        <v>6405</v>
      </c>
      <c r="Z1013" s="8" t="s">
        <v>6405</v>
      </c>
      <c r="AA1013" s="7" t="n">
        <v>216</v>
      </c>
      <c r="AB1013" s="7" t="n">
        <v>198</v>
      </c>
      <c r="AC1013" s="7" t="n">
        <v>213</v>
      </c>
      <c r="AD1013" s="7" t="n">
        <v>2</v>
      </c>
      <c r="AE1013" s="7" t="n">
        <v>2</v>
      </c>
      <c r="AF1013" s="7" t="n">
        <v>19</v>
      </c>
      <c r="AG1013" s="7" t="n">
        <v>19</v>
      </c>
      <c r="AH1013" s="7" t="n">
        <v>5</v>
      </c>
      <c r="AI1013" s="7" t="n">
        <v>5</v>
      </c>
      <c r="AJ1013" s="7" t="n">
        <v>5</v>
      </c>
      <c r="AK1013" s="7" t="n">
        <v>5</v>
      </c>
      <c r="AL1013" s="7" t="n">
        <v>13</v>
      </c>
      <c r="AM1013" s="7" t="n">
        <v>13</v>
      </c>
      <c r="AN1013" s="7" t="n">
        <v>1</v>
      </c>
      <c r="AO1013" s="7" t="n">
        <v>1</v>
      </c>
      <c r="AP1013" s="7" t="n">
        <v>0</v>
      </c>
      <c r="AQ1013" s="7" t="n">
        <v>0</v>
      </c>
      <c r="AR1013" s="6" t="s">
        <v>63</v>
      </c>
      <c r="AS1013" s="6" t="s">
        <v>63</v>
      </c>
      <c r="AT1013" s="28"/>
      <c r="AU1013" s="9" t="str">
        <f aca="false">HYPERLINK("https://creighton-primo.hosted.exlibrisgroup.com/primo-explore/search?tab=default_tab&amp;search_scope=EVERYTHING&amp;vid=01CRU&amp;lang=en_US&amp;offset=0&amp;query=any,contains,991004507629702656","Catalog Record")</f>
        <v>Catalog Record</v>
      </c>
      <c r="AV1013" s="9" t="str">
        <f aca="false">HYPERLINK("http://www.worldcat.org/oclc/3748029","WorldCat Record")</f>
        <v>WorldCat Record</v>
      </c>
      <c r="AW1013" s="6" t="s">
        <v>6470</v>
      </c>
      <c r="AX1013" s="6" t="s">
        <v>6471</v>
      </c>
      <c r="AY1013" s="6" t="s">
        <v>6472</v>
      </c>
      <c r="AZ1013" s="6" t="s">
        <v>6472</v>
      </c>
      <c r="BA1013" s="6" t="s">
        <v>6473</v>
      </c>
      <c r="BB1013" s="6" t="s">
        <v>6474</v>
      </c>
      <c r="BC1013" s="6" t="s">
        <v>6475</v>
      </c>
      <c r="BE1013" s="15" t="s">
        <v>2145</v>
      </c>
      <c r="BF1013" s="6" t="s">
        <v>6476</v>
      </c>
    </row>
    <row r="1014" customFormat="false" ht="105.5" hidden="false" customHeight="false" outlineLevel="0" collapsed="false">
      <c r="A1014" s="26" t="s">
        <v>63</v>
      </c>
      <c r="B1014" s="27" t="s">
        <v>2129</v>
      </c>
      <c r="C1014" s="27" t="s">
        <v>2130</v>
      </c>
      <c r="D1014" s="27" t="s">
        <v>6477</v>
      </c>
      <c r="E1014" s="27" t="s">
        <v>6478</v>
      </c>
      <c r="F1014" s="27" t="s">
        <v>6479</v>
      </c>
      <c r="G1014" s="28"/>
      <c r="H1014" s="6" t="s">
        <v>63</v>
      </c>
      <c r="I1014" s="6" t="s">
        <v>62</v>
      </c>
      <c r="J1014" s="6" t="s">
        <v>63</v>
      </c>
      <c r="K1014" s="6" t="s">
        <v>63</v>
      </c>
      <c r="L1014" s="6" t="s">
        <v>64</v>
      </c>
      <c r="M1014" s="27" t="s">
        <v>6480</v>
      </c>
      <c r="N1014" s="27" t="s">
        <v>6481</v>
      </c>
      <c r="O1014" s="6" t="s">
        <v>2221</v>
      </c>
      <c r="P1014" s="28"/>
      <c r="Q1014" s="6" t="s">
        <v>67</v>
      </c>
      <c r="R1014" s="6" t="s">
        <v>1108</v>
      </c>
      <c r="S1014" s="28"/>
      <c r="T1014" s="6" t="s">
        <v>6138</v>
      </c>
      <c r="U1014" s="7" t="n">
        <v>7</v>
      </c>
      <c r="V1014" s="7" t="n">
        <v>7</v>
      </c>
      <c r="W1014" s="8" t="s">
        <v>5920</v>
      </c>
      <c r="X1014" s="8" t="s">
        <v>5920</v>
      </c>
      <c r="Y1014" s="8" t="s">
        <v>2223</v>
      </c>
      <c r="Z1014" s="8" t="s">
        <v>2223</v>
      </c>
      <c r="AA1014" s="7" t="n">
        <v>466</v>
      </c>
      <c r="AB1014" s="7" t="n">
        <v>361</v>
      </c>
      <c r="AC1014" s="7" t="n">
        <v>391</v>
      </c>
      <c r="AD1014" s="7" t="n">
        <v>3</v>
      </c>
      <c r="AE1014" s="7" t="n">
        <v>3</v>
      </c>
      <c r="AF1014" s="7" t="n">
        <v>18</v>
      </c>
      <c r="AG1014" s="7" t="n">
        <v>18</v>
      </c>
      <c r="AH1014" s="7" t="n">
        <v>8</v>
      </c>
      <c r="AI1014" s="7" t="n">
        <v>8</v>
      </c>
      <c r="AJ1014" s="7" t="n">
        <v>5</v>
      </c>
      <c r="AK1014" s="7" t="n">
        <v>5</v>
      </c>
      <c r="AL1014" s="7" t="n">
        <v>10</v>
      </c>
      <c r="AM1014" s="7" t="n">
        <v>10</v>
      </c>
      <c r="AN1014" s="7" t="n">
        <v>2</v>
      </c>
      <c r="AO1014" s="7" t="n">
        <v>2</v>
      </c>
      <c r="AP1014" s="7" t="n">
        <v>0</v>
      </c>
      <c r="AQ1014" s="7" t="n">
        <v>0</v>
      </c>
      <c r="AR1014" s="6" t="s">
        <v>63</v>
      </c>
      <c r="AS1014" s="6" t="s">
        <v>63</v>
      </c>
      <c r="AT1014" s="28"/>
      <c r="AU1014" s="9" t="str">
        <f aca="false">HYPERLINK("https://creighton-primo.hosted.exlibrisgroup.com/primo-explore/search?tab=default_tab&amp;search_scope=EVERYTHING&amp;vid=01CRU&amp;lang=en_US&amp;offset=0&amp;query=any,contains,991001174819702656","Catalog Record")</f>
        <v>Catalog Record</v>
      </c>
      <c r="AV1014" s="9" t="str">
        <f aca="false">HYPERLINK("http://www.worldcat.org/oclc/16985905","WorldCat Record")</f>
        <v>WorldCat Record</v>
      </c>
      <c r="AW1014" s="6" t="s">
        <v>6482</v>
      </c>
      <c r="AX1014" s="6" t="s">
        <v>6483</v>
      </c>
      <c r="AY1014" s="6" t="s">
        <v>6484</v>
      </c>
      <c r="AZ1014" s="6" t="s">
        <v>6484</v>
      </c>
      <c r="BA1014" s="6" t="s">
        <v>6485</v>
      </c>
      <c r="BB1014" s="6" t="s">
        <v>6486</v>
      </c>
      <c r="BC1014" s="6" t="s">
        <v>6487</v>
      </c>
      <c r="BE1014" s="15" t="s">
        <v>2145</v>
      </c>
      <c r="BF1014" s="6" t="s">
        <v>6488</v>
      </c>
    </row>
    <row r="1015" customFormat="false" ht="117" hidden="false" customHeight="false" outlineLevel="0" collapsed="false">
      <c r="A1015" s="26" t="s">
        <v>63</v>
      </c>
      <c r="B1015" s="27" t="s">
        <v>2129</v>
      </c>
      <c r="C1015" s="27" t="s">
        <v>2130</v>
      </c>
      <c r="D1015" s="27" t="s">
        <v>6489</v>
      </c>
      <c r="E1015" s="27" t="s">
        <v>6490</v>
      </c>
      <c r="F1015" s="27" t="s">
        <v>6491</v>
      </c>
      <c r="G1015" s="28"/>
      <c r="H1015" s="6" t="s">
        <v>63</v>
      </c>
      <c r="I1015" s="6" t="s">
        <v>62</v>
      </c>
      <c r="J1015" s="6" t="s">
        <v>63</v>
      </c>
      <c r="K1015" s="6" t="s">
        <v>63</v>
      </c>
      <c r="L1015" s="6" t="s">
        <v>64</v>
      </c>
      <c r="M1015" s="27" t="s">
        <v>6492</v>
      </c>
      <c r="N1015" s="27" t="s">
        <v>6493</v>
      </c>
      <c r="O1015" s="6" t="s">
        <v>66</v>
      </c>
      <c r="P1015" s="28"/>
      <c r="Q1015" s="6" t="s">
        <v>67</v>
      </c>
      <c r="R1015" s="6" t="s">
        <v>384</v>
      </c>
      <c r="S1015" s="28"/>
      <c r="T1015" s="6" t="s">
        <v>6138</v>
      </c>
      <c r="U1015" s="7" t="n">
        <v>6</v>
      </c>
      <c r="V1015" s="7" t="n">
        <v>6</v>
      </c>
      <c r="W1015" s="8" t="s">
        <v>6494</v>
      </c>
      <c r="X1015" s="8" t="s">
        <v>6494</v>
      </c>
      <c r="Y1015" s="8" t="s">
        <v>6495</v>
      </c>
      <c r="Z1015" s="8" t="s">
        <v>6495</v>
      </c>
      <c r="AA1015" s="7" t="n">
        <v>46</v>
      </c>
      <c r="AB1015" s="7" t="n">
        <v>16</v>
      </c>
      <c r="AC1015" s="7" t="n">
        <v>254</v>
      </c>
      <c r="AD1015" s="7" t="n">
        <v>1</v>
      </c>
      <c r="AE1015" s="7" t="n">
        <v>3</v>
      </c>
      <c r="AF1015" s="7" t="n">
        <v>0</v>
      </c>
      <c r="AG1015" s="7" t="n">
        <v>14</v>
      </c>
      <c r="AH1015" s="7" t="n">
        <v>0</v>
      </c>
      <c r="AI1015" s="7" t="n">
        <v>3</v>
      </c>
      <c r="AJ1015" s="7" t="n">
        <v>0</v>
      </c>
      <c r="AK1015" s="7" t="n">
        <v>4</v>
      </c>
      <c r="AL1015" s="7" t="n">
        <v>0</v>
      </c>
      <c r="AM1015" s="7" t="n">
        <v>10</v>
      </c>
      <c r="AN1015" s="7" t="n">
        <v>0</v>
      </c>
      <c r="AO1015" s="7" t="n">
        <v>2</v>
      </c>
      <c r="AP1015" s="7" t="n">
        <v>0</v>
      </c>
      <c r="AQ1015" s="7" t="n">
        <v>0</v>
      </c>
      <c r="AR1015" s="6" t="s">
        <v>63</v>
      </c>
      <c r="AS1015" s="6" t="s">
        <v>63</v>
      </c>
      <c r="AT1015" s="28"/>
      <c r="AU1015" s="9" t="str">
        <f aca="false">HYPERLINK("https://creighton-primo.hosted.exlibrisgroup.com/primo-explore/search?tab=default_tab&amp;search_scope=EVERYTHING&amp;vid=01CRU&amp;lang=en_US&amp;offset=0&amp;query=any,contains,991002194369702656","Catalog Record")</f>
        <v>Catalog Record</v>
      </c>
      <c r="AV1015" s="9" t="str">
        <f aca="false">HYPERLINK("http://www.worldcat.org/oclc/60058678","WorldCat Record")</f>
        <v>WorldCat Record</v>
      </c>
      <c r="AW1015" s="6" t="s">
        <v>6496</v>
      </c>
      <c r="AX1015" s="6" t="s">
        <v>6497</v>
      </c>
      <c r="AY1015" s="6" t="s">
        <v>6498</v>
      </c>
      <c r="AZ1015" s="6" t="s">
        <v>6498</v>
      </c>
      <c r="BA1015" s="6" t="s">
        <v>6499</v>
      </c>
      <c r="BB1015" s="6" t="s">
        <v>6500</v>
      </c>
      <c r="BC1015" s="6" t="s">
        <v>6501</v>
      </c>
      <c r="BE1015" s="15" t="s">
        <v>2145</v>
      </c>
      <c r="BF1015" s="6" t="s">
        <v>6502</v>
      </c>
    </row>
    <row r="1016" customFormat="false" ht="105.5" hidden="false" customHeight="false" outlineLevel="0" collapsed="false">
      <c r="A1016" s="26" t="s">
        <v>63</v>
      </c>
      <c r="B1016" s="27" t="s">
        <v>2129</v>
      </c>
      <c r="C1016" s="27" t="s">
        <v>2130</v>
      </c>
      <c r="D1016" s="27" t="s">
        <v>6503</v>
      </c>
      <c r="E1016" s="27" t="s">
        <v>6504</v>
      </c>
      <c r="F1016" s="27" t="s">
        <v>6505</v>
      </c>
      <c r="G1016" s="28"/>
      <c r="H1016" s="6" t="s">
        <v>63</v>
      </c>
      <c r="I1016" s="6" t="s">
        <v>62</v>
      </c>
      <c r="J1016" s="6" t="s">
        <v>63</v>
      </c>
      <c r="K1016" s="6" t="s">
        <v>63</v>
      </c>
      <c r="L1016" s="6" t="s">
        <v>64</v>
      </c>
      <c r="M1016" s="27" t="s">
        <v>6506</v>
      </c>
      <c r="N1016" s="27" t="s">
        <v>6507</v>
      </c>
      <c r="O1016" s="6" t="s">
        <v>2221</v>
      </c>
      <c r="P1016" s="28"/>
      <c r="Q1016" s="6" t="s">
        <v>67</v>
      </c>
      <c r="R1016" s="6" t="s">
        <v>181</v>
      </c>
      <c r="S1016" s="28"/>
      <c r="T1016" s="6" t="s">
        <v>6138</v>
      </c>
      <c r="U1016" s="7" t="n">
        <v>9</v>
      </c>
      <c r="V1016" s="7" t="n">
        <v>9</v>
      </c>
      <c r="W1016" s="8" t="s">
        <v>6508</v>
      </c>
      <c r="X1016" s="8" t="s">
        <v>6508</v>
      </c>
      <c r="Y1016" s="8" t="s">
        <v>6444</v>
      </c>
      <c r="Z1016" s="8" t="s">
        <v>6444</v>
      </c>
      <c r="AA1016" s="7" t="n">
        <v>385</v>
      </c>
      <c r="AB1016" s="7" t="n">
        <v>311</v>
      </c>
      <c r="AC1016" s="7" t="n">
        <v>390</v>
      </c>
      <c r="AD1016" s="7" t="n">
        <v>3</v>
      </c>
      <c r="AE1016" s="7" t="n">
        <v>3</v>
      </c>
      <c r="AF1016" s="7" t="n">
        <v>24</v>
      </c>
      <c r="AG1016" s="7" t="n">
        <v>29</v>
      </c>
      <c r="AH1016" s="7" t="n">
        <v>5</v>
      </c>
      <c r="AI1016" s="7" t="n">
        <v>9</v>
      </c>
      <c r="AJ1016" s="7" t="n">
        <v>8</v>
      </c>
      <c r="AK1016" s="7" t="n">
        <v>8</v>
      </c>
      <c r="AL1016" s="7" t="n">
        <v>16</v>
      </c>
      <c r="AM1016" s="7" t="n">
        <v>19</v>
      </c>
      <c r="AN1016" s="7" t="n">
        <v>2</v>
      </c>
      <c r="AO1016" s="7" t="n">
        <v>2</v>
      </c>
      <c r="AP1016" s="7" t="n">
        <v>0</v>
      </c>
      <c r="AQ1016" s="7" t="n">
        <v>0</v>
      </c>
      <c r="AR1016" s="6" t="s">
        <v>63</v>
      </c>
      <c r="AS1016" s="6" t="s">
        <v>63</v>
      </c>
      <c r="AT1016" s="28"/>
      <c r="AU1016" s="9" t="str">
        <f aca="false">HYPERLINK("https://creighton-primo.hosted.exlibrisgroup.com/primo-explore/search?tab=default_tab&amp;search_scope=EVERYTHING&amp;vid=01CRU&amp;lang=en_US&amp;offset=0&amp;query=any,contains,991001200109702656","Catalog Record")</f>
        <v>Catalog Record</v>
      </c>
      <c r="AV1016" s="9" t="str">
        <f aca="false">HYPERLINK("http://www.worldcat.org/oclc/17300678","WorldCat Record")</f>
        <v>WorldCat Record</v>
      </c>
      <c r="AW1016" s="6" t="s">
        <v>6509</v>
      </c>
      <c r="AX1016" s="6" t="s">
        <v>6510</v>
      </c>
      <c r="AY1016" s="6" t="s">
        <v>6511</v>
      </c>
      <c r="AZ1016" s="6" t="s">
        <v>6511</v>
      </c>
      <c r="BA1016" s="6" t="s">
        <v>6512</v>
      </c>
      <c r="BB1016" s="6" t="s">
        <v>6513</v>
      </c>
      <c r="BC1016" s="6" t="s">
        <v>6514</v>
      </c>
      <c r="BE1016" s="15" t="s">
        <v>2145</v>
      </c>
      <c r="BF1016" s="6" t="s">
        <v>6515</v>
      </c>
    </row>
    <row r="1017" customFormat="false" ht="71" hidden="false" customHeight="false" outlineLevel="0" collapsed="false">
      <c r="A1017" s="26" t="s">
        <v>57</v>
      </c>
      <c r="B1017" s="27" t="s">
        <v>2129</v>
      </c>
      <c r="C1017" s="27" t="s">
        <v>2130</v>
      </c>
      <c r="D1017" s="27" t="s">
        <v>6516</v>
      </c>
      <c r="E1017" s="27" t="s">
        <v>6517</v>
      </c>
      <c r="F1017" s="27" t="s">
        <v>6518</v>
      </c>
      <c r="G1017" s="28"/>
      <c r="H1017" s="6" t="s">
        <v>63</v>
      </c>
      <c r="I1017" s="6" t="s">
        <v>62</v>
      </c>
      <c r="J1017" s="6" t="s">
        <v>63</v>
      </c>
      <c r="K1017" s="6" t="s">
        <v>63</v>
      </c>
      <c r="L1017" s="6" t="s">
        <v>64</v>
      </c>
      <c r="M1017" s="27" t="s">
        <v>6519</v>
      </c>
      <c r="N1017" s="27" t="s">
        <v>6520</v>
      </c>
      <c r="O1017" s="6" t="s">
        <v>152</v>
      </c>
      <c r="P1017" s="28"/>
      <c r="Q1017" s="6" t="s">
        <v>67</v>
      </c>
      <c r="R1017" s="6" t="s">
        <v>1224</v>
      </c>
      <c r="S1017" s="28"/>
      <c r="T1017" s="6" t="s">
        <v>6138</v>
      </c>
      <c r="U1017" s="7" t="n">
        <v>7</v>
      </c>
      <c r="V1017" s="7" t="n">
        <v>7</v>
      </c>
      <c r="W1017" s="8" t="s">
        <v>6521</v>
      </c>
      <c r="X1017" s="8" t="s">
        <v>6521</v>
      </c>
      <c r="Y1017" s="8" t="s">
        <v>6522</v>
      </c>
      <c r="Z1017" s="8" t="s">
        <v>6522</v>
      </c>
      <c r="AA1017" s="7" t="n">
        <v>385</v>
      </c>
      <c r="AB1017" s="7" t="n">
        <v>331</v>
      </c>
      <c r="AC1017" s="7" t="n">
        <v>332</v>
      </c>
      <c r="AD1017" s="7" t="n">
        <v>2</v>
      </c>
      <c r="AE1017" s="7" t="n">
        <v>2</v>
      </c>
      <c r="AF1017" s="7" t="n">
        <v>14</v>
      </c>
      <c r="AG1017" s="7" t="n">
        <v>14</v>
      </c>
      <c r="AH1017" s="7" t="n">
        <v>4</v>
      </c>
      <c r="AI1017" s="7" t="n">
        <v>4</v>
      </c>
      <c r="AJ1017" s="7" t="n">
        <v>5</v>
      </c>
      <c r="AK1017" s="7" t="n">
        <v>5</v>
      </c>
      <c r="AL1017" s="7" t="n">
        <v>9</v>
      </c>
      <c r="AM1017" s="7" t="n">
        <v>9</v>
      </c>
      <c r="AN1017" s="7" t="n">
        <v>1</v>
      </c>
      <c r="AO1017" s="7" t="n">
        <v>1</v>
      </c>
      <c r="AP1017" s="7" t="n">
        <v>0</v>
      </c>
      <c r="AQ1017" s="7" t="n">
        <v>0</v>
      </c>
      <c r="AR1017" s="6" t="s">
        <v>63</v>
      </c>
      <c r="AS1017" s="6" t="s">
        <v>63</v>
      </c>
      <c r="AT1017" s="28"/>
      <c r="AU1017" s="9" t="str">
        <f aca="false">HYPERLINK("https://creighton-primo.hosted.exlibrisgroup.com/primo-explore/search?tab=default_tab&amp;search_scope=EVERYTHING&amp;vid=01CRU&amp;lang=en_US&amp;offset=0&amp;query=any,contains,991000426579702656","Catalog Record")</f>
        <v>Catalog Record</v>
      </c>
      <c r="AV1017" s="9" t="str">
        <f aca="false">HYPERLINK("http://www.worldcat.org/oclc/10753803","WorldCat Record")</f>
        <v>WorldCat Record</v>
      </c>
      <c r="AW1017" s="6" t="s">
        <v>6523</v>
      </c>
      <c r="AX1017" s="6" t="s">
        <v>6524</v>
      </c>
      <c r="AY1017" s="6" t="s">
        <v>6525</v>
      </c>
      <c r="AZ1017" s="6" t="s">
        <v>6525</v>
      </c>
      <c r="BA1017" s="6" t="s">
        <v>6526</v>
      </c>
      <c r="BB1017" s="6" t="s">
        <v>6527</v>
      </c>
      <c r="BC1017" s="6" t="s">
        <v>6528</v>
      </c>
      <c r="BE1017" s="15" t="s">
        <v>2145</v>
      </c>
      <c r="BF1017" s="6" t="s">
        <v>6529</v>
      </c>
    </row>
    <row r="1018" customFormat="false" ht="163" hidden="false" customHeight="false" outlineLevel="0" collapsed="false">
      <c r="A1018" s="26" t="s">
        <v>63</v>
      </c>
      <c r="B1018" s="27" t="s">
        <v>2129</v>
      </c>
      <c r="C1018" s="27" t="s">
        <v>2130</v>
      </c>
      <c r="D1018" s="27" t="s">
        <v>6530</v>
      </c>
      <c r="E1018" s="27" t="s">
        <v>6531</v>
      </c>
      <c r="F1018" s="27" t="s">
        <v>6532</v>
      </c>
      <c r="G1018" s="28"/>
      <c r="H1018" s="6" t="s">
        <v>63</v>
      </c>
      <c r="I1018" s="6" t="s">
        <v>62</v>
      </c>
      <c r="J1018" s="6" t="s">
        <v>63</v>
      </c>
      <c r="K1018" s="6" t="s">
        <v>63</v>
      </c>
      <c r="L1018" s="6" t="s">
        <v>64</v>
      </c>
      <c r="M1018" s="27" t="s">
        <v>6533</v>
      </c>
      <c r="N1018" s="27" t="s">
        <v>5919</v>
      </c>
      <c r="O1018" s="6" t="s">
        <v>2411</v>
      </c>
      <c r="P1018" s="28"/>
      <c r="Q1018" s="6" t="s">
        <v>67</v>
      </c>
      <c r="R1018" s="6" t="s">
        <v>68</v>
      </c>
      <c r="S1018" s="28"/>
      <c r="T1018" s="6" t="s">
        <v>6138</v>
      </c>
      <c r="U1018" s="7" t="n">
        <v>1</v>
      </c>
      <c r="V1018" s="7" t="n">
        <v>1</v>
      </c>
      <c r="W1018" s="8" t="s">
        <v>6534</v>
      </c>
      <c r="X1018" s="8" t="s">
        <v>6534</v>
      </c>
      <c r="Y1018" s="8" t="s">
        <v>6535</v>
      </c>
      <c r="Z1018" s="8" t="s">
        <v>6535</v>
      </c>
      <c r="AA1018" s="7" t="n">
        <v>404</v>
      </c>
      <c r="AB1018" s="7" t="n">
        <v>339</v>
      </c>
      <c r="AC1018" s="7" t="n">
        <v>510</v>
      </c>
      <c r="AD1018" s="7" t="n">
        <v>3</v>
      </c>
      <c r="AE1018" s="7" t="n">
        <v>3</v>
      </c>
      <c r="AF1018" s="7" t="n">
        <v>23</v>
      </c>
      <c r="AG1018" s="7" t="n">
        <v>29</v>
      </c>
      <c r="AH1018" s="7" t="n">
        <v>6</v>
      </c>
      <c r="AI1018" s="7" t="n">
        <v>11</v>
      </c>
      <c r="AJ1018" s="7" t="n">
        <v>7</v>
      </c>
      <c r="AK1018" s="7" t="n">
        <v>9</v>
      </c>
      <c r="AL1018" s="7" t="n">
        <v>16</v>
      </c>
      <c r="AM1018" s="7" t="n">
        <v>17</v>
      </c>
      <c r="AN1018" s="7" t="n">
        <v>2</v>
      </c>
      <c r="AO1018" s="7" t="n">
        <v>2</v>
      </c>
      <c r="AP1018" s="7" t="n">
        <v>0</v>
      </c>
      <c r="AQ1018" s="7" t="n">
        <v>0</v>
      </c>
      <c r="AR1018" s="6" t="s">
        <v>63</v>
      </c>
      <c r="AS1018" s="6" t="s">
        <v>57</v>
      </c>
      <c r="AT1018" s="9" t="str">
        <f aca="false">HYPERLINK("http://catalog.hathitrust.org/Record/001817495","HathiTrust Record")</f>
        <v>HathiTrust Record</v>
      </c>
      <c r="AU1018" s="9" t="str">
        <f aca="false">HYPERLINK("https://creighton-primo.hosted.exlibrisgroup.com/primo-explore/search?tab=default_tab&amp;search_scope=EVERYTHING&amp;vid=01CRU&amp;lang=en_US&amp;offset=0&amp;query=any,contains,991001457339702656","Catalog Record")</f>
        <v>Catalog Record</v>
      </c>
      <c r="AV1018" s="9" t="str">
        <f aca="false">HYPERLINK("http://www.worldcat.org/oclc/19389711","WorldCat Record")</f>
        <v>WorldCat Record</v>
      </c>
      <c r="AW1018" s="6" t="s">
        <v>6536</v>
      </c>
      <c r="AX1018" s="6" t="s">
        <v>6537</v>
      </c>
      <c r="AY1018" s="6" t="s">
        <v>6538</v>
      </c>
      <c r="AZ1018" s="6" t="s">
        <v>6538</v>
      </c>
      <c r="BA1018" s="6" t="s">
        <v>6539</v>
      </c>
      <c r="BB1018" s="6" t="s">
        <v>6540</v>
      </c>
      <c r="BC1018" s="6" t="s">
        <v>6541</v>
      </c>
      <c r="BE1018" s="15" t="s">
        <v>2145</v>
      </c>
      <c r="BF1018" s="6" t="s">
        <v>6542</v>
      </c>
    </row>
    <row r="1019" customFormat="false" ht="71" hidden="false" customHeight="false" outlineLevel="0" collapsed="false">
      <c r="A1019" s="26" t="s">
        <v>57</v>
      </c>
      <c r="B1019" s="27" t="s">
        <v>2129</v>
      </c>
      <c r="C1019" s="27" t="s">
        <v>2130</v>
      </c>
      <c r="D1019" s="27" t="s">
        <v>6543</v>
      </c>
      <c r="E1019" s="27" t="s">
        <v>6544</v>
      </c>
      <c r="F1019" s="27" t="s">
        <v>6545</v>
      </c>
      <c r="G1019" s="28"/>
      <c r="H1019" s="6" t="s">
        <v>63</v>
      </c>
      <c r="I1019" s="6" t="s">
        <v>62</v>
      </c>
      <c r="J1019" s="6" t="s">
        <v>63</v>
      </c>
      <c r="K1019" s="6" t="s">
        <v>63</v>
      </c>
      <c r="L1019" s="6" t="s">
        <v>64</v>
      </c>
      <c r="M1019" s="27" t="s">
        <v>6546</v>
      </c>
      <c r="N1019" s="27" t="s">
        <v>6547</v>
      </c>
      <c r="O1019" s="6" t="s">
        <v>2343</v>
      </c>
      <c r="P1019" s="28"/>
      <c r="Q1019" s="6" t="s">
        <v>67</v>
      </c>
      <c r="R1019" s="6" t="s">
        <v>1108</v>
      </c>
      <c r="S1019" s="28"/>
      <c r="T1019" s="6" t="s">
        <v>6138</v>
      </c>
      <c r="U1019" s="7" t="n">
        <v>2</v>
      </c>
      <c r="V1019" s="7" t="n">
        <v>2</v>
      </c>
      <c r="W1019" s="8" t="s">
        <v>6548</v>
      </c>
      <c r="X1019" s="8" t="s">
        <v>6548</v>
      </c>
      <c r="Y1019" s="8" t="s">
        <v>6405</v>
      </c>
      <c r="Z1019" s="8" t="s">
        <v>6405</v>
      </c>
      <c r="AA1019" s="7" t="n">
        <v>350</v>
      </c>
      <c r="AB1019" s="7" t="n">
        <v>297</v>
      </c>
      <c r="AC1019" s="7" t="n">
        <v>334</v>
      </c>
      <c r="AD1019" s="7" t="n">
        <v>2</v>
      </c>
      <c r="AE1019" s="7" t="n">
        <v>3</v>
      </c>
      <c r="AF1019" s="7" t="n">
        <v>16</v>
      </c>
      <c r="AG1019" s="7" t="n">
        <v>19</v>
      </c>
      <c r="AH1019" s="7" t="n">
        <v>3</v>
      </c>
      <c r="AI1019" s="7" t="n">
        <v>5</v>
      </c>
      <c r="AJ1019" s="7" t="n">
        <v>6</v>
      </c>
      <c r="AK1019" s="7" t="n">
        <v>6</v>
      </c>
      <c r="AL1019" s="7" t="n">
        <v>12</v>
      </c>
      <c r="AM1019" s="7" t="n">
        <v>12</v>
      </c>
      <c r="AN1019" s="7" t="n">
        <v>1</v>
      </c>
      <c r="AO1019" s="7" t="n">
        <v>2</v>
      </c>
      <c r="AP1019" s="7" t="n">
        <v>0</v>
      </c>
      <c r="AQ1019" s="7" t="n">
        <v>0</v>
      </c>
      <c r="AR1019" s="6" t="s">
        <v>63</v>
      </c>
      <c r="AS1019" s="6" t="s">
        <v>63</v>
      </c>
      <c r="AT1019" s="28"/>
      <c r="AU1019" s="9" t="str">
        <f aca="false">HYPERLINK("https://creighton-primo.hosted.exlibrisgroup.com/primo-explore/search?tab=default_tab&amp;search_scope=EVERYTHING&amp;vid=01CRU&amp;lang=en_US&amp;offset=0&amp;query=any,contains,991005131509702656","Catalog Record")</f>
        <v>Catalog Record</v>
      </c>
      <c r="AV1019" s="9" t="str">
        <f aca="false">HYPERLINK("http://www.worldcat.org/oclc/7572886","WorldCat Record")</f>
        <v>WorldCat Record</v>
      </c>
      <c r="AW1019" s="6" t="s">
        <v>6549</v>
      </c>
      <c r="AX1019" s="6" t="s">
        <v>6550</v>
      </c>
      <c r="AY1019" s="6" t="s">
        <v>6551</v>
      </c>
      <c r="AZ1019" s="6" t="s">
        <v>6551</v>
      </c>
      <c r="BA1019" s="6" t="s">
        <v>6552</v>
      </c>
      <c r="BB1019" s="6" t="s">
        <v>6553</v>
      </c>
      <c r="BC1019" s="6" t="s">
        <v>6554</v>
      </c>
      <c r="BE1019" s="15" t="s">
        <v>2145</v>
      </c>
      <c r="BF1019" s="6" t="s">
        <v>6555</v>
      </c>
    </row>
    <row r="1020" customFormat="false" ht="128.5" hidden="false" customHeight="false" outlineLevel="0" collapsed="false">
      <c r="A1020" s="26" t="s">
        <v>63</v>
      </c>
      <c r="B1020" s="27" t="s">
        <v>2129</v>
      </c>
      <c r="C1020" s="27" t="s">
        <v>2130</v>
      </c>
      <c r="D1020" s="27" t="s">
        <v>6556</v>
      </c>
      <c r="E1020" s="27" t="s">
        <v>6557</v>
      </c>
      <c r="F1020" s="27" t="s">
        <v>6558</v>
      </c>
      <c r="G1020" s="28"/>
      <c r="H1020" s="6" t="s">
        <v>63</v>
      </c>
      <c r="I1020" s="6" t="s">
        <v>62</v>
      </c>
      <c r="J1020" s="6" t="s">
        <v>63</v>
      </c>
      <c r="K1020" s="6" t="s">
        <v>63</v>
      </c>
      <c r="L1020" s="6" t="s">
        <v>64</v>
      </c>
      <c r="M1020" s="27" t="s">
        <v>6559</v>
      </c>
      <c r="N1020" s="27" t="s">
        <v>6560</v>
      </c>
      <c r="O1020" s="6" t="s">
        <v>152</v>
      </c>
      <c r="P1020" s="28"/>
      <c r="Q1020" s="6" t="s">
        <v>67</v>
      </c>
      <c r="R1020" s="6" t="s">
        <v>802</v>
      </c>
      <c r="S1020" s="28"/>
      <c r="T1020" s="6" t="s">
        <v>6138</v>
      </c>
      <c r="U1020" s="7" t="n">
        <v>1</v>
      </c>
      <c r="V1020" s="7" t="n">
        <v>1</v>
      </c>
      <c r="W1020" s="8" t="s">
        <v>6561</v>
      </c>
      <c r="X1020" s="8" t="s">
        <v>6561</v>
      </c>
      <c r="Y1020" s="8" t="s">
        <v>6562</v>
      </c>
      <c r="Z1020" s="8" t="s">
        <v>6562</v>
      </c>
      <c r="AA1020" s="7" t="n">
        <v>134</v>
      </c>
      <c r="AB1020" s="7" t="n">
        <v>95</v>
      </c>
      <c r="AC1020" s="7" t="n">
        <v>96</v>
      </c>
      <c r="AD1020" s="7" t="n">
        <v>2</v>
      </c>
      <c r="AE1020" s="7" t="n">
        <v>2</v>
      </c>
      <c r="AF1020" s="7" t="n">
        <v>8</v>
      </c>
      <c r="AG1020" s="7" t="n">
        <v>8</v>
      </c>
      <c r="AH1020" s="7" t="n">
        <v>0</v>
      </c>
      <c r="AI1020" s="7" t="n">
        <v>0</v>
      </c>
      <c r="AJ1020" s="7" t="n">
        <v>2</v>
      </c>
      <c r="AK1020" s="7" t="n">
        <v>2</v>
      </c>
      <c r="AL1020" s="7" t="n">
        <v>7</v>
      </c>
      <c r="AM1020" s="7" t="n">
        <v>7</v>
      </c>
      <c r="AN1020" s="7" t="n">
        <v>1</v>
      </c>
      <c r="AO1020" s="7" t="n">
        <v>1</v>
      </c>
      <c r="AP1020" s="7" t="n">
        <v>0</v>
      </c>
      <c r="AQ1020" s="7" t="n">
        <v>0</v>
      </c>
      <c r="AR1020" s="6" t="s">
        <v>63</v>
      </c>
      <c r="AS1020" s="6" t="s">
        <v>57</v>
      </c>
      <c r="AT1020" s="9" t="str">
        <f aca="false">HYPERLINK("http://catalog.hathitrust.org/Record/000124824","HathiTrust Record")</f>
        <v>HathiTrust Record</v>
      </c>
      <c r="AU1020" s="9" t="str">
        <f aca="false">HYPERLINK("https://creighton-primo.hosted.exlibrisgroup.com/primo-explore/search?tab=default_tab&amp;search_scope=EVERYTHING&amp;vid=01CRU&amp;lang=en_US&amp;offset=0&amp;query=any,contains,991000542959702656","Catalog Record")</f>
        <v>Catalog Record</v>
      </c>
      <c r="AV1020" s="9" t="str">
        <f aca="false">HYPERLINK("http://www.worldcat.org/oclc/11497602","WorldCat Record")</f>
        <v>WorldCat Record</v>
      </c>
      <c r="AW1020" s="6" t="s">
        <v>6563</v>
      </c>
      <c r="AX1020" s="6" t="s">
        <v>6564</v>
      </c>
      <c r="AY1020" s="6" t="s">
        <v>6565</v>
      </c>
      <c r="AZ1020" s="6" t="s">
        <v>6565</v>
      </c>
      <c r="BA1020" s="6" t="s">
        <v>6566</v>
      </c>
      <c r="BB1020" s="6" t="s">
        <v>6567</v>
      </c>
      <c r="BC1020" s="6" t="s">
        <v>6568</v>
      </c>
      <c r="BE1020" s="15" t="s">
        <v>2145</v>
      </c>
      <c r="BF1020" s="6" t="s">
        <v>6569</v>
      </c>
    </row>
    <row r="1021" customFormat="false" ht="117" hidden="false" customHeight="false" outlineLevel="0" collapsed="false">
      <c r="A1021" s="26" t="s">
        <v>63</v>
      </c>
      <c r="B1021" s="27" t="s">
        <v>2129</v>
      </c>
      <c r="C1021" s="27" t="s">
        <v>2130</v>
      </c>
      <c r="D1021" s="27" t="s">
        <v>6570</v>
      </c>
      <c r="E1021" s="27" t="s">
        <v>6571</v>
      </c>
      <c r="F1021" s="27" t="s">
        <v>6572</v>
      </c>
      <c r="G1021" s="28"/>
      <c r="H1021" s="6" t="s">
        <v>63</v>
      </c>
      <c r="I1021" s="6" t="s">
        <v>62</v>
      </c>
      <c r="J1021" s="6" t="s">
        <v>63</v>
      </c>
      <c r="K1021" s="6" t="s">
        <v>63</v>
      </c>
      <c r="L1021" s="6" t="s">
        <v>64</v>
      </c>
      <c r="M1021" s="27" t="s">
        <v>6573</v>
      </c>
      <c r="N1021" s="27" t="s">
        <v>6574</v>
      </c>
      <c r="O1021" s="6" t="s">
        <v>2221</v>
      </c>
      <c r="P1021" s="28"/>
      <c r="Q1021" s="6" t="s">
        <v>67</v>
      </c>
      <c r="R1021" s="6" t="s">
        <v>401</v>
      </c>
      <c r="S1021" s="28"/>
      <c r="T1021" s="6" t="s">
        <v>6138</v>
      </c>
      <c r="U1021" s="7" t="n">
        <v>1</v>
      </c>
      <c r="V1021" s="7" t="n">
        <v>1</v>
      </c>
      <c r="W1021" s="8" t="s">
        <v>6575</v>
      </c>
      <c r="X1021" s="8" t="s">
        <v>6575</v>
      </c>
      <c r="Y1021" s="8" t="s">
        <v>6576</v>
      </c>
      <c r="Z1021" s="8" t="s">
        <v>6576</v>
      </c>
      <c r="AA1021" s="7" t="n">
        <v>319</v>
      </c>
      <c r="AB1021" s="7" t="n">
        <v>282</v>
      </c>
      <c r="AC1021" s="7" t="n">
        <v>282</v>
      </c>
      <c r="AD1021" s="7" t="n">
        <v>3</v>
      </c>
      <c r="AE1021" s="7" t="n">
        <v>3</v>
      </c>
      <c r="AF1021" s="7" t="n">
        <v>22</v>
      </c>
      <c r="AG1021" s="7" t="n">
        <v>22</v>
      </c>
      <c r="AH1021" s="7" t="n">
        <v>5</v>
      </c>
      <c r="AI1021" s="7" t="n">
        <v>5</v>
      </c>
      <c r="AJ1021" s="7" t="n">
        <v>7</v>
      </c>
      <c r="AK1021" s="7" t="n">
        <v>7</v>
      </c>
      <c r="AL1021" s="7" t="n">
        <v>15</v>
      </c>
      <c r="AM1021" s="7" t="n">
        <v>15</v>
      </c>
      <c r="AN1021" s="7" t="n">
        <v>2</v>
      </c>
      <c r="AO1021" s="7" t="n">
        <v>2</v>
      </c>
      <c r="AP1021" s="7" t="n">
        <v>0</v>
      </c>
      <c r="AQ1021" s="7" t="n">
        <v>0</v>
      </c>
      <c r="AR1021" s="6" t="s">
        <v>63</v>
      </c>
      <c r="AS1021" s="6" t="s">
        <v>63</v>
      </c>
      <c r="AT1021" s="28"/>
      <c r="AU1021" s="9" t="str">
        <f aca="false">HYPERLINK("https://creighton-primo.hosted.exlibrisgroup.com/primo-explore/search?tab=default_tab&amp;search_scope=EVERYTHING&amp;vid=01CRU&amp;lang=en_US&amp;offset=0&amp;query=any,contains,991001210459702656","Catalog Record")</f>
        <v>Catalog Record</v>
      </c>
      <c r="AV1021" s="9" t="str">
        <f aca="false">HYPERLINK("http://www.worldcat.org/oclc/17384928","WorldCat Record")</f>
        <v>WorldCat Record</v>
      </c>
      <c r="AW1021" s="6" t="s">
        <v>6577</v>
      </c>
      <c r="AX1021" s="6" t="s">
        <v>6578</v>
      </c>
      <c r="AY1021" s="6" t="s">
        <v>6579</v>
      </c>
      <c r="AZ1021" s="6" t="s">
        <v>6579</v>
      </c>
      <c r="BA1021" s="6" t="s">
        <v>6580</v>
      </c>
      <c r="BB1021" s="6" t="s">
        <v>6581</v>
      </c>
      <c r="BC1021" s="6" t="s">
        <v>6582</v>
      </c>
      <c r="BE1021" s="15" t="s">
        <v>2145</v>
      </c>
      <c r="BF1021" s="6" t="s">
        <v>6583</v>
      </c>
    </row>
    <row r="1022" customFormat="false" ht="197.5" hidden="false" customHeight="false" outlineLevel="0" collapsed="false">
      <c r="A1022" s="26" t="s">
        <v>57</v>
      </c>
      <c r="B1022" s="27" t="s">
        <v>2129</v>
      </c>
      <c r="C1022" s="27" t="s">
        <v>2130</v>
      </c>
      <c r="D1022" s="27" t="s">
        <v>6584</v>
      </c>
      <c r="E1022" s="27" t="s">
        <v>6585</v>
      </c>
      <c r="F1022" s="27" t="s">
        <v>6586</v>
      </c>
      <c r="G1022" s="28"/>
      <c r="H1022" s="6" t="s">
        <v>63</v>
      </c>
      <c r="I1022" s="6" t="s">
        <v>62</v>
      </c>
      <c r="J1022" s="6" t="s">
        <v>63</v>
      </c>
      <c r="K1022" s="6" t="s">
        <v>63</v>
      </c>
      <c r="L1022" s="6" t="s">
        <v>64</v>
      </c>
      <c r="M1022" s="28"/>
      <c r="N1022" s="27" t="s">
        <v>6587</v>
      </c>
      <c r="O1022" s="6" t="s">
        <v>66</v>
      </c>
      <c r="P1022" s="28"/>
      <c r="Q1022" s="6" t="s">
        <v>67</v>
      </c>
      <c r="R1022" s="6" t="s">
        <v>1224</v>
      </c>
      <c r="S1022" s="28"/>
      <c r="T1022" s="6" t="s">
        <v>6138</v>
      </c>
      <c r="U1022" s="7" t="n">
        <v>2</v>
      </c>
      <c r="V1022" s="7" t="n">
        <v>2</v>
      </c>
      <c r="W1022" s="8" t="s">
        <v>6588</v>
      </c>
      <c r="X1022" s="8" t="s">
        <v>6588</v>
      </c>
      <c r="Y1022" s="8" t="s">
        <v>6589</v>
      </c>
      <c r="Z1022" s="8" t="s">
        <v>6589</v>
      </c>
      <c r="AA1022" s="7" t="n">
        <v>366</v>
      </c>
      <c r="AB1022" s="7" t="n">
        <v>266</v>
      </c>
      <c r="AC1022" s="7" t="n">
        <v>288</v>
      </c>
      <c r="AD1022" s="7" t="n">
        <v>3</v>
      </c>
      <c r="AE1022" s="7" t="n">
        <v>4</v>
      </c>
      <c r="AF1022" s="7" t="n">
        <v>25</v>
      </c>
      <c r="AG1022" s="7" t="n">
        <v>28</v>
      </c>
      <c r="AH1022" s="7" t="n">
        <v>5</v>
      </c>
      <c r="AI1022" s="7" t="n">
        <v>6</v>
      </c>
      <c r="AJ1022" s="7" t="n">
        <v>8</v>
      </c>
      <c r="AK1022" s="7" t="n">
        <v>8</v>
      </c>
      <c r="AL1022" s="7" t="n">
        <v>18</v>
      </c>
      <c r="AM1022" s="7" t="n">
        <v>19</v>
      </c>
      <c r="AN1022" s="7" t="n">
        <v>2</v>
      </c>
      <c r="AO1022" s="7" t="n">
        <v>3</v>
      </c>
      <c r="AP1022" s="7" t="n">
        <v>0</v>
      </c>
      <c r="AQ1022" s="7" t="n">
        <v>0</v>
      </c>
      <c r="AR1022" s="6" t="s">
        <v>63</v>
      </c>
      <c r="AS1022" s="6" t="s">
        <v>63</v>
      </c>
      <c r="AT1022" s="28"/>
      <c r="AU1022" s="9" t="str">
        <f aca="false">HYPERLINK("https://creighton-primo.hosted.exlibrisgroup.com/primo-explore/search?tab=default_tab&amp;search_scope=EVERYTHING&amp;vid=01CRU&amp;lang=en_US&amp;offset=0&amp;query=any,contains,991002032129702656","Catalog Record")</f>
        <v>Catalog Record</v>
      </c>
      <c r="AV1022" s="9" t="str">
        <f aca="false">HYPERLINK("http://www.worldcat.org/oclc/25873537","WorldCat Record")</f>
        <v>WorldCat Record</v>
      </c>
      <c r="AW1022" s="6" t="s">
        <v>6590</v>
      </c>
      <c r="AX1022" s="6" t="s">
        <v>6591</v>
      </c>
      <c r="AY1022" s="6" t="s">
        <v>6592</v>
      </c>
      <c r="AZ1022" s="6" t="s">
        <v>6592</v>
      </c>
      <c r="BA1022" s="6" t="s">
        <v>6593</v>
      </c>
      <c r="BB1022" s="6" t="s">
        <v>6594</v>
      </c>
      <c r="BC1022" s="6" t="s">
        <v>6595</v>
      </c>
      <c r="BE1022" s="15" t="s">
        <v>2145</v>
      </c>
      <c r="BF1022" s="6" t="s">
        <v>6596</v>
      </c>
    </row>
    <row r="1023" customFormat="false" ht="151.5" hidden="false" customHeight="false" outlineLevel="0" collapsed="false">
      <c r="A1023" s="26" t="s">
        <v>63</v>
      </c>
      <c r="B1023" s="27" t="s">
        <v>2129</v>
      </c>
      <c r="C1023" s="27" t="s">
        <v>2130</v>
      </c>
      <c r="D1023" s="27" t="s">
        <v>6597</v>
      </c>
      <c r="E1023" s="27" t="s">
        <v>6598</v>
      </c>
      <c r="F1023" s="27" t="s">
        <v>6599</v>
      </c>
      <c r="G1023" s="28"/>
      <c r="H1023" s="6" t="s">
        <v>63</v>
      </c>
      <c r="I1023" s="6" t="s">
        <v>62</v>
      </c>
      <c r="J1023" s="6" t="s">
        <v>63</v>
      </c>
      <c r="K1023" s="6" t="s">
        <v>63</v>
      </c>
      <c r="L1023" s="6" t="s">
        <v>64</v>
      </c>
      <c r="M1023" s="28"/>
      <c r="N1023" s="27" t="s">
        <v>6600</v>
      </c>
      <c r="O1023" s="6" t="s">
        <v>2221</v>
      </c>
      <c r="P1023" s="28"/>
      <c r="Q1023" s="6" t="s">
        <v>67</v>
      </c>
      <c r="R1023" s="6" t="s">
        <v>6601</v>
      </c>
      <c r="S1023" s="28"/>
      <c r="T1023" s="6" t="s">
        <v>6138</v>
      </c>
      <c r="U1023" s="7" t="n">
        <v>2</v>
      </c>
      <c r="V1023" s="7" t="n">
        <v>2</v>
      </c>
      <c r="W1023" s="8" t="s">
        <v>6602</v>
      </c>
      <c r="X1023" s="8" t="s">
        <v>6602</v>
      </c>
      <c r="Y1023" s="8" t="s">
        <v>6405</v>
      </c>
      <c r="Z1023" s="8" t="s">
        <v>6405</v>
      </c>
      <c r="AA1023" s="7" t="n">
        <v>876</v>
      </c>
      <c r="AB1023" s="7" t="n">
        <v>779</v>
      </c>
      <c r="AC1023" s="7" t="n">
        <v>832</v>
      </c>
      <c r="AD1023" s="7" t="n">
        <v>10</v>
      </c>
      <c r="AE1023" s="7" t="n">
        <v>10</v>
      </c>
      <c r="AF1023" s="7" t="n">
        <v>32</v>
      </c>
      <c r="AG1023" s="7" t="n">
        <v>32</v>
      </c>
      <c r="AH1023" s="7" t="n">
        <v>15</v>
      </c>
      <c r="AI1023" s="7" t="n">
        <v>15</v>
      </c>
      <c r="AJ1023" s="7" t="n">
        <v>6</v>
      </c>
      <c r="AK1023" s="7" t="n">
        <v>6</v>
      </c>
      <c r="AL1023" s="7" t="n">
        <v>14</v>
      </c>
      <c r="AM1023" s="7" t="n">
        <v>14</v>
      </c>
      <c r="AN1023" s="7" t="n">
        <v>7</v>
      </c>
      <c r="AO1023" s="7" t="n">
        <v>7</v>
      </c>
      <c r="AP1023" s="7" t="n">
        <v>0</v>
      </c>
      <c r="AQ1023" s="7" t="n">
        <v>0</v>
      </c>
      <c r="AR1023" s="6" t="s">
        <v>63</v>
      </c>
      <c r="AS1023" s="6" t="s">
        <v>57</v>
      </c>
      <c r="AT1023" s="9" t="str">
        <f aca="false">HYPERLINK("http://catalog.hathitrust.org/Record/000920977","HathiTrust Record")</f>
        <v>HathiTrust Record</v>
      </c>
      <c r="AU1023" s="9" t="str">
        <f aca="false">HYPERLINK("https://creighton-primo.hosted.exlibrisgroup.com/primo-explore/search?tab=default_tab&amp;search_scope=EVERYTHING&amp;vid=01CRU&amp;lang=en_US&amp;offset=0&amp;query=any,contains,991001237619702656","Catalog Record")</f>
        <v>Catalog Record</v>
      </c>
      <c r="AV1023" s="9" t="str">
        <f aca="false">HYPERLINK("http://www.worldcat.org/oclc/17528246","WorldCat Record")</f>
        <v>WorldCat Record</v>
      </c>
      <c r="AW1023" s="6" t="s">
        <v>6603</v>
      </c>
      <c r="AX1023" s="6" t="s">
        <v>6604</v>
      </c>
      <c r="AY1023" s="6" t="s">
        <v>6605</v>
      </c>
      <c r="AZ1023" s="6" t="s">
        <v>6605</v>
      </c>
      <c r="BA1023" s="6" t="s">
        <v>6606</v>
      </c>
      <c r="BB1023" s="28"/>
      <c r="BC1023" s="6" t="s">
        <v>6607</v>
      </c>
      <c r="BE1023" s="15" t="s">
        <v>2145</v>
      </c>
      <c r="BF1023" s="6" t="s">
        <v>6608</v>
      </c>
    </row>
    <row r="1024" customFormat="false" ht="151.5" hidden="false" customHeight="false" outlineLevel="0" collapsed="false">
      <c r="A1024" s="26" t="s">
        <v>63</v>
      </c>
      <c r="B1024" s="27" t="s">
        <v>2129</v>
      </c>
      <c r="C1024" s="27" t="s">
        <v>2130</v>
      </c>
      <c r="D1024" s="27" t="s">
        <v>6609</v>
      </c>
      <c r="E1024" s="27" t="s">
        <v>6610</v>
      </c>
      <c r="F1024" s="27" t="s">
        <v>6611</v>
      </c>
      <c r="G1024" s="28"/>
      <c r="H1024" s="6" t="s">
        <v>63</v>
      </c>
      <c r="I1024" s="6" t="s">
        <v>62</v>
      </c>
      <c r="J1024" s="6" t="s">
        <v>63</v>
      </c>
      <c r="K1024" s="6" t="s">
        <v>63</v>
      </c>
      <c r="L1024" s="6" t="s">
        <v>64</v>
      </c>
      <c r="M1024" s="28"/>
      <c r="N1024" s="27" t="s">
        <v>6612</v>
      </c>
      <c r="O1024" s="6" t="s">
        <v>208</v>
      </c>
      <c r="P1024" s="28"/>
      <c r="Q1024" s="6" t="s">
        <v>67</v>
      </c>
      <c r="R1024" s="6" t="s">
        <v>68</v>
      </c>
      <c r="S1024" s="28"/>
      <c r="T1024" s="6" t="s">
        <v>6138</v>
      </c>
      <c r="U1024" s="7" t="n">
        <v>5</v>
      </c>
      <c r="V1024" s="7" t="n">
        <v>5</v>
      </c>
      <c r="W1024" s="8" t="s">
        <v>6613</v>
      </c>
      <c r="X1024" s="8" t="s">
        <v>6613</v>
      </c>
      <c r="Y1024" s="8" t="s">
        <v>6405</v>
      </c>
      <c r="Z1024" s="8" t="s">
        <v>6405</v>
      </c>
      <c r="AA1024" s="7" t="n">
        <v>928</v>
      </c>
      <c r="AB1024" s="7" t="n">
        <v>739</v>
      </c>
      <c r="AC1024" s="7" t="n">
        <v>750</v>
      </c>
      <c r="AD1024" s="7" t="n">
        <v>7</v>
      </c>
      <c r="AE1024" s="7" t="n">
        <v>7</v>
      </c>
      <c r="AF1024" s="7" t="n">
        <v>32</v>
      </c>
      <c r="AG1024" s="7" t="n">
        <v>32</v>
      </c>
      <c r="AH1024" s="7" t="n">
        <v>12</v>
      </c>
      <c r="AI1024" s="7" t="n">
        <v>12</v>
      </c>
      <c r="AJ1024" s="7" t="n">
        <v>6</v>
      </c>
      <c r="AK1024" s="7" t="n">
        <v>6</v>
      </c>
      <c r="AL1024" s="7" t="n">
        <v>18</v>
      </c>
      <c r="AM1024" s="7" t="n">
        <v>18</v>
      </c>
      <c r="AN1024" s="7" t="n">
        <v>5</v>
      </c>
      <c r="AO1024" s="7" t="n">
        <v>5</v>
      </c>
      <c r="AP1024" s="7" t="n">
        <v>0</v>
      </c>
      <c r="AQ1024" s="7" t="n">
        <v>0</v>
      </c>
      <c r="AR1024" s="6" t="s">
        <v>63</v>
      </c>
      <c r="AS1024" s="6" t="s">
        <v>63</v>
      </c>
      <c r="AT1024" s="28"/>
      <c r="AU1024" s="9" t="str">
        <f aca="false">HYPERLINK("https://creighton-primo.hosted.exlibrisgroup.com/primo-explore/search?tab=default_tab&amp;search_scope=EVERYTHING&amp;vid=01CRU&amp;lang=en_US&amp;offset=0&amp;query=any,contains,991000813349702656","Catalog Record")</f>
        <v>Catalog Record</v>
      </c>
      <c r="AV1024" s="9" t="str">
        <f aca="false">HYPERLINK("http://www.worldcat.org/oclc/13333670","WorldCat Record")</f>
        <v>WorldCat Record</v>
      </c>
      <c r="AW1024" s="6" t="s">
        <v>6614</v>
      </c>
      <c r="AX1024" s="6" t="s">
        <v>6615</v>
      </c>
      <c r="AY1024" s="6" t="s">
        <v>6616</v>
      </c>
      <c r="AZ1024" s="6" t="s">
        <v>6616</v>
      </c>
      <c r="BA1024" s="6" t="s">
        <v>6617</v>
      </c>
      <c r="BB1024" s="6" t="s">
        <v>6618</v>
      </c>
      <c r="BC1024" s="6" t="s">
        <v>6619</v>
      </c>
      <c r="BE1024" s="15" t="s">
        <v>2145</v>
      </c>
      <c r="BF1024" s="6" t="s">
        <v>6620</v>
      </c>
    </row>
    <row r="1025" customFormat="false" ht="140" hidden="false" customHeight="false" outlineLevel="0" collapsed="false">
      <c r="A1025" s="26" t="s">
        <v>63</v>
      </c>
      <c r="B1025" s="27" t="s">
        <v>2129</v>
      </c>
      <c r="C1025" s="27" t="s">
        <v>2130</v>
      </c>
      <c r="D1025" s="27" t="s">
        <v>6621</v>
      </c>
      <c r="E1025" s="27" t="s">
        <v>6622</v>
      </c>
      <c r="F1025" s="27" t="s">
        <v>6623</v>
      </c>
      <c r="G1025" s="28"/>
      <c r="H1025" s="6" t="s">
        <v>63</v>
      </c>
      <c r="I1025" s="6" t="s">
        <v>62</v>
      </c>
      <c r="J1025" s="6" t="s">
        <v>63</v>
      </c>
      <c r="K1025" s="6" t="s">
        <v>63</v>
      </c>
      <c r="L1025" s="6" t="s">
        <v>64</v>
      </c>
      <c r="M1025" s="27" t="s">
        <v>6624</v>
      </c>
      <c r="N1025" s="27" t="s">
        <v>6625</v>
      </c>
      <c r="O1025" s="6" t="s">
        <v>4025</v>
      </c>
      <c r="P1025" s="28"/>
      <c r="Q1025" s="6" t="s">
        <v>67</v>
      </c>
      <c r="R1025" s="6" t="s">
        <v>1059</v>
      </c>
      <c r="S1025" s="28"/>
      <c r="T1025" s="6" t="s">
        <v>6138</v>
      </c>
      <c r="U1025" s="7" t="n">
        <v>2</v>
      </c>
      <c r="V1025" s="7" t="n">
        <v>2</v>
      </c>
      <c r="W1025" s="8" t="s">
        <v>4290</v>
      </c>
      <c r="X1025" s="8" t="s">
        <v>4290</v>
      </c>
      <c r="Y1025" s="8" t="s">
        <v>6626</v>
      </c>
      <c r="Z1025" s="8" t="s">
        <v>6626</v>
      </c>
      <c r="AA1025" s="7" t="n">
        <v>213</v>
      </c>
      <c r="AB1025" s="7" t="n">
        <v>174</v>
      </c>
      <c r="AC1025" s="7" t="n">
        <v>208</v>
      </c>
      <c r="AD1025" s="7" t="n">
        <v>2</v>
      </c>
      <c r="AE1025" s="7" t="n">
        <v>3</v>
      </c>
      <c r="AF1025" s="7" t="n">
        <v>9</v>
      </c>
      <c r="AG1025" s="7" t="n">
        <v>13</v>
      </c>
      <c r="AH1025" s="7" t="n">
        <v>2</v>
      </c>
      <c r="AI1025" s="7" t="n">
        <v>4</v>
      </c>
      <c r="AJ1025" s="7" t="n">
        <v>3</v>
      </c>
      <c r="AK1025" s="7" t="n">
        <v>5</v>
      </c>
      <c r="AL1025" s="7" t="n">
        <v>6</v>
      </c>
      <c r="AM1025" s="7" t="n">
        <v>6</v>
      </c>
      <c r="AN1025" s="7" t="n">
        <v>1</v>
      </c>
      <c r="AO1025" s="7" t="n">
        <v>2</v>
      </c>
      <c r="AP1025" s="7" t="n">
        <v>0</v>
      </c>
      <c r="AQ1025" s="7" t="n">
        <v>0</v>
      </c>
      <c r="AR1025" s="6" t="s">
        <v>63</v>
      </c>
      <c r="AS1025" s="6" t="s">
        <v>57</v>
      </c>
      <c r="AT1025" s="9" t="str">
        <f aca="false">HYPERLINK("http://catalog.hathitrust.org/Record/002525573","HathiTrust Record")</f>
        <v>HathiTrust Record</v>
      </c>
      <c r="AU1025" s="9" t="str">
        <f aca="false">HYPERLINK("https://creighton-primo.hosted.exlibrisgroup.com/primo-explore/search?tab=default_tab&amp;search_scope=EVERYTHING&amp;vid=01CRU&amp;lang=en_US&amp;offset=0&amp;query=any,contains,991001951029702656","Catalog Record")</f>
        <v>Catalog Record</v>
      </c>
      <c r="AV1025" s="9" t="str">
        <f aca="false">HYPERLINK("http://www.worldcat.org/oclc/24667788","WorldCat Record")</f>
        <v>WorldCat Record</v>
      </c>
      <c r="AW1025" s="6" t="s">
        <v>6627</v>
      </c>
      <c r="AX1025" s="6" t="s">
        <v>6628</v>
      </c>
      <c r="AY1025" s="6" t="s">
        <v>6629</v>
      </c>
      <c r="AZ1025" s="6" t="s">
        <v>6629</v>
      </c>
      <c r="BA1025" s="6" t="s">
        <v>6630</v>
      </c>
      <c r="BB1025" s="6" t="s">
        <v>6631</v>
      </c>
      <c r="BC1025" s="6" t="s">
        <v>6632</v>
      </c>
      <c r="BE1025" s="15" t="s">
        <v>2145</v>
      </c>
      <c r="BF1025" s="6" t="s">
        <v>6633</v>
      </c>
    </row>
    <row r="1026" customFormat="false" ht="71" hidden="false" customHeight="false" outlineLevel="0" collapsed="false">
      <c r="A1026" s="26" t="s">
        <v>63</v>
      </c>
      <c r="B1026" s="27" t="s">
        <v>2129</v>
      </c>
      <c r="C1026" s="27" t="s">
        <v>2130</v>
      </c>
      <c r="D1026" s="27" t="s">
        <v>6634</v>
      </c>
      <c r="E1026" s="27" t="s">
        <v>6635</v>
      </c>
      <c r="F1026" s="27" t="s">
        <v>6636</v>
      </c>
      <c r="G1026" s="28"/>
      <c r="H1026" s="6" t="s">
        <v>63</v>
      </c>
      <c r="I1026" s="6" t="s">
        <v>62</v>
      </c>
      <c r="J1026" s="6" t="s">
        <v>63</v>
      </c>
      <c r="K1026" s="6" t="s">
        <v>63</v>
      </c>
      <c r="L1026" s="6" t="s">
        <v>64</v>
      </c>
      <c r="M1026" s="27" t="s">
        <v>6637</v>
      </c>
      <c r="N1026" s="27" t="s">
        <v>6638</v>
      </c>
      <c r="O1026" s="6" t="s">
        <v>2467</v>
      </c>
      <c r="P1026" s="27" t="s">
        <v>4594</v>
      </c>
      <c r="Q1026" s="6" t="s">
        <v>67</v>
      </c>
      <c r="R1026" s="6" t="s">
        <v>384</v>
      </c>
      <c r="S1026" s="28"/>
      <c r="T1026" s="6" t="s">
        <v>6138</v>
      </c>
      <c r="U1026" s="7" t="n">
        <v>3</v>
      </c>
      <c r="V1026" s="7" t="n">
        <v>3</v>
      </c>
      <c r="W1026" s="8" t="s">
        <v>6639</v>
      </c>
      <c r="X1026" s="8" t="s">
        <v>6639</v>
      </c>
      <c r="Y1026" s="8" t="s">
        <v>6405</v>
      </c>
      <c r="Z1026" s="8" t="s">
        <v>6405</v>
      </c>
      <c r="AA1026" s="7" t="n">
        <v>443</v>
      </c>
      <c r="AB1026" s="7" t="n">
        <v>361</v>
      </c>
      <c r="AC1026" s="7" t="n">
        <v>546</v>
      </c>
      <c r="AD1026" s="7" t="n">
        <v>2</v>
      </c>
      <c r="AE1026" s="7" t="n">
        <v>2</v>
      </c>
      <c r="AF1026" s="7" t="n">
        <v>18</v>
      </c>
      <c r="AG1026" s="7" t="n">
        <v>31</v>
      </c>
      <c r="AH1026" s="7" t="n">
        <v>7</v>
      </c>
      <c r="AI1026" s="7" t="n">
        <v>12</v>
      </c>
      <c r="AJ1026" s="7" t="n">
        <v>6</v>
      </c>
      <c r="AK1026" s="7" t="n">
        <v>8</v>
      </c>
      <c r="AL1026" s="7" t="n">
        <v>11</v>
      </c>
      <c r="AM1026" s="7" t="n">
        <v>21</v>
      </c>
      <c r="AN1026" s="7" t="n">
        <v>1</v>
      </c>
      <c r="AO1026" s="7" t="n">
        <v>1</v>
      </c>
      <c r="AP1026" s="7" t="n">
        <v>0</v>
      </c>
      <c r="AQ1026" s="7" t="n">
        <v>0</v>
      </c>
      <c r="AR1026" s="6" t="s">
        <v>63</v>
      </c>
      <c r="AS1026" s="6" t="s">
        <v>57</v>
      </c>
      <c r="AT1026" s="9" t="str">
        <f aca="false">HYPERLINK("http://catalog.hathitrust.org/Record/001379645","HathiTrust Record")</f>
        <v>HathiTrust Record</v>
      </c>
      <c r="AU1026" s="9" t="str">
        <f aca="false">HYPERLINK("https://creighton-primo.hosted.exlibrisgroup.com/primo-explore/search?tab=default_tab&amp;search_scope=EVERYTHING&amp;vid=01CRU&amp;lang=en_US&amp;offset=0&amp;query=any,contains,991002266879702656","Catalog Record")</f>
        <v>Catalog Record</v>
      </c>
      <c r="AV1026" s="9" t="str">
        <f aca="false">HYPERLINK("http://www.worldcat.org/oclc/307324","WorldCat Record")</f>
        <v>WorldCat Record</v>
      </c>
      <c r="AW1026" s="6" t="s">
        <v>6640</v>
      </c>
      <c r="AX1026" s="6" t="s">
        <v>6641</v>
      </c>
      <c r="AY1026" s="6" t="s">
        <v>6642</v>
      </c>
      <c r="AZ1026" s="6" t="s">
        <v>6642</v>
      </c>
      <c r="BA1026" s="6" t="s">
        <v>6643</v>
      </c>
      <c r="BB1026" s="28"/>
      <c r="BC1026" s="6" t="s">
        <v>6644</v>
      </c>
      <c r="BE1026" s="15" t="s">
        <v>2145</v>
      </c>
      <c r="BF1026" s="6" t="s">
        <v>6645</v>
      </c>
    </row>
    <row r="1027" customFormat="false" ht="71" hidden="false" customHeight="false" outlineLevel="0" collapsed="false">
      <c r="A1027" s="26" t="s">
        <v>57</v>
      </c>
      <c r="B1027" s="27" t="s">
        <v>2129</v>
      </c>
      <c r="C1027" s="27" t="s">
        <v>2130</v>
      </c>
      <c r="D1027" s="27" t="s">
        <v>6646</v>
      </c>
      <c r="E1027" s="27" t="s">
        <v>6647</v>
      </c>
      <c r="F1027" s="27" t="s">
        <v>6648</v>
      </c>
      <c r="G1027" s="28"/>
      <c r="H1027" s="6" t="s">
        <v>63</v>
      </c>
      <c r="I1027" s="6" t="s">
        <v>62</v>
      </c>
      <c r="J1027" s="6" t="s">
        <v>63</v>
      </c>
      <c r="K1027" s="6" t="s">
        <v>63</v>
      </c>
      <c r="L1027" s="6" t="s">
        <v>64</v>
      </c>
      <c r="M1027" s="27" t="s">
        <v>6649</v>
      </c>
      <c r="N1027" s="27" t="s">
        <v>6650</v>
      </c>
      <c r="O1027" s="6" t="s">
        <v>264</v>
      </c>
      <c r="P1027" s="28"/>
      <c r="Q1027" s="6" t="s">
        <v>67</v>
      </c>
      <c r="R1027" s="6" t="s">
        <v>1059</v>
      </c>
      <c r="S1027" s="28"/>
      <c r="T1027" s="6" t="s">
        <v>6138</v>
      </c>
      <c r="U1027" s="7" t="n">
        <v>5</v>
      </c>
      <c r="V1027" s="7" t="n">
        <v>5</v>
      </c>
      <c r="W1027" s="8" t="s">
        <v>6651</v>
      </c>
      <c r="X1027" s="8" t="s">
        <v>6651</v>
      </c>
      <c r="Y1027" s="8" t="s">
        <v>6405</v>
      </c>
      <c r="Z1027" s="8" t="s">
        <v>6405</v>
      </c>
      <c r="AA1027" s="7" t="n">
        <v>600</v>
      </c>
      <c r="AB1027" s="7" t="n">
        <v>484</v>
      </c>
      <c r="AC1027" s="7" t="n">
        <v>484</v>
      </c>
      <c r="AD1027" s="7" t="n">
        <v>3</v>
      </c>
      <c r="AE1027" s="7" t="n">
        <v>3</v>
      </c>
      <c r="AF1027" s="7" t="n">
        <v>25</v>
      </c>
      <c r="AG1027" s="7" t="n">
        <v>25</v>
      </c>
      <c r="AH1027" s="7" t="n">
        <v>8</v>
      </c>
      <c r="AI1027" s="7" t="n">
        <v>8</v>
      </c>
      <c r="AJ1027" s="7" t="n">
        <v>8</v>
      </c>
      <c r="AK1027" s="7" t="n">
        <v>8</v>
      </c>
      <c r="AL1027" s="7" t="n">
        <v>16</v>
      </c>
      <c r="AM1027" s="7" t="n">
        <v>16</v>
      </c>
      <c r="AN1027" s="7" t="n">
        <v>2</v>
      </c>
      <c r="AO1027" s="7" t="n">
        <v>2</v>
      </c>
      <c r="AP1027" s="7" t="n">
        <v>0</v>
      </c>
      <c r="AQ1027" s="7" t="n">
        <v>0</v>
      </c>
      <c r="AR1027" s="6" t="s">
        <v>63</v>
      </c>
      <c r="AS1027" s="6" t="s">
        <v>63</v>
      </c>
      <c r="AT1027" s="28"/>
      <c r="AU1027" s="9" t="str">
        <f aca="false">HYPERLINK("https://creighton-primo.hosted.exlibrisgroup.com/primo-explore/search?tab=default_tab&amp;search_scope=EVERYTHING&amp;vid=01CRU&amp;lang=en_US&amp;offset=0&amp;query=any,contains,991005353379702656","Catalog Record")</f>
        <v>Catalog Record</v>
      </c>
      <c r="AV1027" s="9" t="str">
        <f aca="false">HYPERLINK("http://www.worldcat.org/oclc/142477","WorldCat Record")</f>
        <v>WorldCat Record</v>
      </c>
      <c r="AW1027" s="6" t="s">
        <v>6652</v>
      </c>
      <c r="AX1027" s="6" t="s">
        <v>6653</v>
      </c>
      <c r="AY1027" s="6" t="s">
        <v>6654</v>
      </c>
      <c r="AZ1027" s="6" t="s">
        <v>6654</v>
      </c>
      <c r="BA1027" s="6" t="s">
        <v>6655</v>
      </c>
      <c r="BB1027" s="6" t="s">
        <v>6656</v>
      </c>
      <c r="BC1027" s="6" t="s">
        <v>6657</v>
      </c>
      <c r="BE1027" s="15" t="s">
        <v>2145</v>
      </c>
      <c r="BF1027" s="6" t="s">
        <v>6658</v>
      </c>
    </row>
    <row r="1028" customFormat="false" ht="209" hidden="false" customHeight="false" outlineLevel="0" collapsed="false">
      <c r="A1028" s="26" t="s">
        <v>63</v>
      </c>
      <c r="B1028" s="27" t="s">
        <v>2129</v>
      </c>
      <c r="C1028" s="27" t="s">
        <v>2130</v>
      </c>
      <c r="D1028" s="27" t="s">
        <v>6659</v>
      </c>
      <c r="E1028" s="27" t="s">
        <v>6660</v>
      </c>
      <c r="F1028" s="27" t="s">
        <v>6661</v>
      </c>
      <c r="G1028" s="28"/>
      <c r="H1028" s="6" t="s">
        <v>63</v>
      </c>
      <c r="I1028" s="6" t="s">
        <v>62</v>
      </c>
      <c r="J1028" s="6" t="s">
        <v>63</v>
      </c>
      <c r="K1028" s="6" t="s">
        <v>63</v>
      </c>
      <c r="L1028" s="6" t="s">
        <v>64</v>
      </c>
      <c r="M1028" s="27" t="s">
        <v>6662</v>
      </c>
      <c r="N1028" s="27" t="s">
        <v>6663</v>
      </c>
      <c r="O1028" s="6" t="s">
        <v>3248</v>
      </c>
      <c r="P1028" s="28"/>
      <c r="Q1028" s="6" t="s">
        <v>67</v>
      </c>
      <c r="R1028" s="6" t="s">
        <v>68</v>
      </c>
      <c r="S1028" s="27" t="s">
        <v>6664</v>
      </c>
      <c r="T1028" s="6" t="s">
        <v>6138</v>
      </c>
      <c r="U1028" s="7" t="n">
        <v>2</v>
      </c>
      <c r="V1028" s="7" t="n">
        <v>2</v>
      </c>
      <c r="W1028" s="8" t="s">
        <v>6665</v>
      </c>
      <c r="X1028" s="8" t="s">
        <v>6665</v>
      </c>
      <c r="Y1028" s="8" t="s">
        <v>6666</v>
      </c>
      <c r="Z1028" s="8" t="s">
        <v>6666</v>
      </c>
      <c r="AA1028" s="7" t="n">
        <v>145</v>
      </c>
      <c r="AB1028" s="7" t="n">
        <v>110</v>
      </c>
      <c r="AC1028" s="7" t="n">
        <v>111</v>
      </c>
      <c r="AD1028" s="7" t="n">
        <v>2</v>
      </c>
      <c r="AE1028" s="7" t="n">
        <v>2</v>
      </c>
      <c r="AF1028" s="7" t="n">
        <v>8</v>
      </c>
      <c r="AG1028" s="7" t="n">
        <v>8</v>
      </c>
      <c r="AH1028" s="7" t="n">
        <v>0</v>
      </c>
      <c r="AI1028" s="7" t="n">
        <v>0</v>
      </c>
      <c r="AJ1028" s="7" t="n">
        <v>4</v>
      </c>
      <c r="AK1028" s="7" t="n">
        <v>4</v>
      </c>
      <c r="AL1028" s="7" t="n">
        <v>3</v>
      </c>
      <c r="AM1028" s="7" t="n">
        <v>3</v>
      </c>
      <c r="AN1028" s="7" t="n">
        <v>1</v>
      </c>
      <c r="AO1028" s="7" t="n">
        <v>1</v>
      </c>
      <c r="AP1028" s="7" t="n">
        <v>1</v>
      </c>
      <c r="AQ1028" s="7" t="n">
        <v>1</v>
      </c>
      <c r="AR1028" s="6" t="s">
        <v>63</v>
      </c>
      <c r="AS1028" s="6" t="s">
        <v>63</v>
      </c>
      <c r="AT1028" s="28"/>
      <c r="AU1028" s="9" t="str">
        <f aca="false">HYPERLINK("https://creighton-primo.hosted.exlibrisgroup.com/primo-explore/search?tab=default_tab&amp;search_scope=EVERYTHING&amp;vid=01CRU&amp;lang=en_US&amp;offset=0&amp;query=any,contains,991002401489702656","Catalog Record")</f>
        <v>Catalog Record</v>
      </c>
      <c r="AV1028" s="9" t="str">
        <f aca="false">HYPERLINK("http://www.worldcat.org/oclc/31207682","WorldCat Record")</f>
        <v>WorldCat Record</v>
      </c>
      <c r="AW1028" s="6" t="s">
        <v>6667</v>
      </c>
      <c r="AX1028" s="6" t="s">
        <v>6668</v>
      </c>
      <c r="AY1028" s="6" t="s">
        <v>6669</v>
      </c>
      <c r="AZ1028" s="6" t="s">
        <v>6669</v>
      </c>
      <c r="BA1028" s="6" t="s">
        <v>6670</v>
      </c>
      <c r="BB1028" s="6" t="s">
        <v>6671</v>
      </c>
      <c r="BC1028" s="6" t="s">
        <v>6672</v>
      </c>
      <c r="BE1028" s="15" t="s">
        <v>2145</v>
      </c>
      <c r="BF1028" s="6" t="s">
        <v>6673</v>
      </c>
    </row>
    <row r="1029" customFormat="false" ht="71" hidden="false" customHeight="false" outlineLevel="0" collapsed="false">
      <c r="A1029" s="26" t="s">
        <v>63</v>
      </c>
      <c r="B1029" s="27" t="s">
        <v>2129</v>
      </c>
      <c r="C1029" s="27" t="s">
        <v>2130</v>
      </c>
      <c r="D1029" s="27" t="s">
        <v>6674</v>
      </c>
      <c r="E1029" s="27" t="s">
        <v>6675</v>
      </c>
      <c r="F1029" s="27" t="s">
        <v>6676</v>
      </c>
      <c r="G1029" s="6" t="s">
        <v>498</v>
      </c>
      <c r="H1029" s="6" t="s">
        <v>57</v>
      </c>
      <c r="I1029" s="6" t="s">
        <v>62</v>
      </c>
      <c r="J1029" s="6" t="s">
        <v>63</v>
      </c>
      <c r="K1029" s="6" t="s">
        <v>63</v>
      </c>
      <c r="L1029" s="6" t="s">
        <v>64</v>
      </c>
      <c r="M1029" s="27" t="s">
        <v>6677</v>
      </c>
      <c r="N1029" s="27" t="s">
        <v>6678</v>
      </c>
      <c r="O1029" s="6" t="s">
        <v>3661</v>
      </c>
      <c r="P1029" s="27" t="s">
        <v>6679</v>
      </c>
      <c r="Q1029" s="6" t="s">
        <v>67</v>
      </c>
      <c r="R1029" s="6" t="s">
        <v>1059</v>
      </c>
      <c r="S1029" s="27" t="s">
        <v>6680</v>
      </c>
      <c r="T1029" s="6" t="s">
        <v>6138</v>
      </c>
      <c r="U1029" s="7" t="n">
        <v>1</v>
      </c>
      <c r="V1029" s="7" t="n">
        <v>2</v>
      </c>
      <c r="W1029" s="8" t="s">
        <v>6681</v>
      </c>
      <c r="X1029" s="8" t="s">
        <v>6681</v>
      </c>
      <c r="Y1029" s="8" t="s">
        <v>6405</v>
      </c>
      <c r="Z1029" s="8" t="s">
        <v>6405</v>
      </c>
      <c r="AA1029" s="7" t="n">
        <v>462</v>
      </c>
      <c r="AB1029" s="7" t="n">
        <v>417</v>
      </c>
      <c r="AC1029" s="7" t="n">
        <v>646</v>
      </c>
      <c r="AD1029" s="7" t="n">
        <v>4</v>
      </c>
      <c r="AE1029" s="7" t="n">
        <v>7</v>
      </c>
      <c r="AF1029" s="7" t="n">
        <v>17</v>
      </c>
      <c r="AG1029" s="7" t="n">
        <v>31</v>
      </c>
      <c r="AH1029" s="7" t="n">
        <v>5</v>
      </c>
      <c r="AI1029" s="7" t="n">
        <v>12</v>
      </c>
      <c r="AJ1029" s="7" t="n">
        <v>3</v>
      </c>
      <c r="AK1029" s="7" t="n">
        <v>4</v>
      </c>
      <c r="AL1029" s="7" t="n">
        <v>8</v>
      </c>
      <c r="AM1029" s="7" t="n">
        <v>17</v>
      </c>
      <c r="AN1029" s="7" t="n">
        <v>3</v>
      </c>
      <c r="AO1029" s="7" t="n">
        <v>5</v>
      </c>
      <c r="AP1029" s="7" t="n">
        <v>0</v>
      </c>
      <c r="AQ1029" s="7" t="n">
        <v>0</v>
      </c>
      <c r="AR1029" s="6" t="s">
        <v>57</v>
      </c>
      <c r="AS1029" s="6" t="s">
        <v>57</v>
      </c>
      <c r="AT1029" s="9" t="str">
        <f aca="false">HYPERLINK("http://catalog.hathitrust.org/Record/001379657","HathiTrust Record")</f>
        <v>HathiTrust Record</v>
      </c>
      <c r="AU1029" s="9" t="str">
        <f aca="false">HYPERLINK("https://creighton-primo.hosted.exlibrisgroup.com/primo-explore/search?tab=default_tab&amp;search_scope=EVERYTHING&amp;vid=01CRU&amp;lang=en_US&amp;offset=0&amp;query=any,contains,991003340359702656","Catalog Record")</f>
        <v>Catalog Record</v>
      </c>
      <c r="AV1029" s="9" t="str">
        <f aca="false">HYPERLINK("http://www.worldcat.org/oclc/871167","WorldCat Record")</f>
        <v>WorldCat Record</v>
      </c>
      <c r="AW1029" s="6" t="s">
        <v>6682</v>
      </c>
      <c r="AX1029" s="6" t="s">
        <v>6683</v>
      </c>
      <c r="AY1029" s="6" t="s">
        <v>6684</v>
      </c>
      <c r="AZ1029" s="6" t="s">
        <v>6684</v>
      </c>
      <c r="BA1029" s="6" t="s">
        <v>6685</v>
      </c>
      <c r="BB1029" s="28"/>
      <c r="BC1029" s="6" t="s">
        <v>6686</v>
      </c>
      <c r="BE1029" s="15" t="s">
        <v>2145</v>
      </c>
      <c r="BF1029" s="6" t="s">
        <v>6687</v>
      </c>
    </row>
    <row r="1030" customFormat="false" ht="71" hidden="false" customHeight="false" outlineLevel="0" collapsed="false">
      <c r="A1030" s="26" t="s">
        <v>63</v>
      </c>
      <c r="B1030" s="27" t="s">
        <v>2129</v>
      </c>
      <c r="C1030" s="27" t="s">
        <v>2130</v>
      </c>
      <c r="D1030" s="27" t="s">
        <v>6674</v>
      </c>
      <c r="E1030" s="27" t="s">
        <v>6675</v>
      </c>
      <c r="F1030" s="27" t="s">
        <v>6676</v>
      </c>
      <c r="G1030" s="6" t="s">
        <v>502</v>
      </c>
      <c r="H1030" s="6" t="s">
        <v>57</v>
      </c>
      <c r="I1030" s="6" t="s">
        <v>62</v>
      </c>
      <c r="J1030" s="6" t="s">
        <v>63</v>
      </c>
      <c r="K1030" s="6" t="s">
        <v>63</v>
      </c>
      <c r="L1030" s="6" t="s">
        <v>64</v>
      </c>
      <c r="M1030" s="27" t="s">
        <v>6677</v>
      </c>
      <c r="N1030" s="27" t="s">
        <v>6678</v>
      </c>
      <c r="O1030" s="6" t="s">
        <v>3661</v>
      </c>
      <c r="P1030" s="27" t="s">
        <v>6679</v>
      </c>
      <c r="Q1030" s="6" t="s">
        <v>67</v>
      </c>
      <c r="R1030" s="6" t="s">
        <v>1059</v>
      </c>
      <c r="S1030" s="27" t="s">
        <v>6680</v>
      </c>
      <c r="T1030" s="6" t="s">
        <v>6138</v>
      </c>
      <c r="U1030" s="7" t="n">
        <v>1</v>
      </c>
      <c r="V1030" s="7" t="n">
        <v>2</v>
      </c>
      <c r="W1030" s="8" t="s">
        <v>6681</v>
      </c>
      <c r="X1030" s="8" t="s">
        <v>6681</v>
      </c>
      <c r="Y1030" s="8" t="s">
        <v>6405</v>
      </c>
      <c r="Z1030" s="8" t="s">
        <v>6405</v>
      </c>
      <c r="AA1030" s="7" t="n">
        <v>462</v>
      </c>
      <c r="AB1030" s="7" t="n">
        <v>417</v>
      </c>
      <c r="AC1030" s="7" t="n">
        <v>646</v>
      </c>
      <c r="AD1030" s="7" t="n">
        <v>4</v>
      </c>
      <c r="AE1030" s="7" t="n">
        <v>7</v>
      </c>
      <c r="AF1030" s="7" t="n">
        <v>17</v>
      </c>
      <c r="AG1030" s="7" t="n">
        <v>31</v>
      </c>
      <c r="AH1030" s="7" t="n">
        <v>5</v>
      </c>
      <c r="AI1030" s="7" t="n">
        <v>12</v>
      </c>
      <c r="AJ1030" s="7" t="n">
        <v>3</v>
      </c>
      <c r="AK1030" s="7" t="n">
        <v>4</v>
      </c>
      <c r="AL1030" s="7" t="n">
        <v>8</v>
      </c>
      <c r="AM1030" s="7" t="n">
        <v>17</v>
      </c>
      <c r="AN1030" s="7" t="n">
        <v>3</v>
      </c>
      <c r="AO1030" s="7" t="n">
        <v>5</v>
      </c>
      <c r="AP1030" s="7" t="n">
        <v>0</v>
      </c>
      <c r="AQ1030" s="7" t="n">
        <v>0</v>
      </c>
      <c r="AR1030" s="6" t="s">
        <v>57</v>
      </c>
      <c r="AS1030" s="6" t="s">
        <v>57</v>
      </c>
      <c r="AT1030" s="9" t="str">
        <f aca="false">HYPERLINK("http://catalog.hathitrust.org/Record/001379657","HathiTrust Record")</f>
        <v>HathiTrust Record</v>
      </c>
      <c r="AU1030" s="9" t="str">
        <f aca="false">HYPERLINK("https://creighton-primo.hosted.exlibrisgroup.com/primo-explore/search?tab=default_tab&amp;search_scope=EVERYTHING&amp;vid=01CRU&amp;lang=en_US&amp;offset=0&amp;query=any,contains,991003340359702656","Catalog Record")</f>
        <v>Catalog Record</v>
      </c>
      <c r="AV1030" s="9" t="str">
        <f aca="false">HYPERLINK("http://www.worldcat.org/oclc/871167","WorldCat Record")</f>
        <v>WorldCat Record</v>
      </c>
      <c r="AW1030" s="6" t="s">
        <v>6682</v>
      </c>
      <c r="AX1030" s="6" t="s">
        <v>6683</v>
      </c>
      <c r="AY1030" s="6" t="s">
        <v>6684</v>
      </c>
      <c r="AZ1030" s="6" t="s">
        <v>6684</v>
      </c>
      <c r="BA1030" s="6" t="s">
        <v>6685</v>
      </c>
      <c r="BB1030" s="28"/>
      <c r="BC1030" s="6" t="s">
        <v>6688</v>
      </c>
      <c r="BE1030" s="15" t="s">
        <v>2145</v>
      </c>
      <c r="BF1030" s="6" t="s">
        <v>6689</v>
      </c>
    </row>
    <row r="1031" customFormat="false" ht="71" hidden="false" customHeight="false" outlineLevel="0" collapsed="false">
      <c r="A1031" s="26" t="s">
        <v>63</v>
      </c>
      <c r="B1031" s="27" t="s">
        <v>2129</v>
      </c>
      <c r="C1031" s="27" t="s">
        <v>2130</v>
      </c>
      <c r="D1031" s="27" t="s">
        <v>6690</v>
      </c>
      <c r="E1031" s="27" t="s">
        <v>6691</v>
      </c>
      <c r="F1031" s="27" t="s">
        <v>6692</v>
      </c>
      <c r="G1031" s="28"/>
      <c r="H1031" s="6" t="s">
        <v>63</v>
      </c>
      <c r="I1031" s="6" t="s">
        <v>62</v>
      </c>
      <c r="J1031" s="6" t="s">
        <v>63</v>
      </c>
      <c r="K1031" s="6" t="s">
        <v>63</v>
      </c>
      <c r="L1031" s="6" t="s">
        <v>64</v>
      </c>
      <c r="M1031" s="27" t="s">
        <v>6693</v>
      </c>
      <c r="N1031" s="27" t="s">
        <v>6694</v>
      </c>
      <c r="O1031" s="6" t="s">
        <v>122</v>
      </c>
      <c r="P1031" s="28"/>
      <c r="Q1031" s="6" t="s">
        <v>67</v>
      </c>
      <c r="R1031" s="6" t="s">
        <v>68</v>
      </c>
      <c r="S1031" s="28"/>
      <c r="T1031" s="6" t="s">
        <v>6138</v>
      </c>
      <c r="U1031" s="7" t="n">
        <v>2</v>
      </c>
      <c r="V1031" s="7" t="n">
        <v>2</v>
      </c>
      <c r="W1031" s="8" t="s">
        <v>6695</v>
      </c>
      <c r="X1031" s="8" t="s">
        <v>6695</v>
      </c>
      <c r="Y1031" s="8" t="s">
        <v>6405</v>
      </c>
      <c r="Z1031" s="8" t="s">
        <v>6405</v>
      </c>
      <c r="AA1031" s="7" t="n">
        <v>238</v>
      </c>
      <c r="AB1031" s="7" t="n">
        <v>204</v>
      </c>
      <c r="AC1031" s="7" t="n">
        <v>227</v>
      </c>
      <c r="AD1031" s="7" t="n">
        <v>1</v>
      </c>
      <c r="AE1031" s="7" t="n">
        <v>1</v>
      </c>
      <c r="AF1031" s="7" t="n">
        <v>12</v>
      </c>
      <c r="AG1031" s="7" t="n">
        <v>12</v>
      </c>
      <c r="AH1031" s="7" t="n">
        <v>4</v>
      </c>
      <c r="AI1031" s="7" t="n">
        <v>4</v>
      </c>
      <c r="AJ1031" s="7" t="n">
        <v>4</v>
      </c>
      <c r="AK1031" s="7" t="n">
        <v>4</v>
      </c>
      <c r="AL1031" s="7" t="n">
        <v>8</v>
      </c>
      <c r="AM1031" s="7" t="n">
        <v>8</v>
      </c>
      <c r="AN1031" s="7" t="n">
        <v>0</v>
      </c>
      <c r="AO1031" s="7" t="n">
        <v>0</v>
      </c>
      <c r="AP1031" s="7" t="n">
        <v>0</v>
      </c>
      <c r="AQ1031" s="7" t="n">
        <v>0</v>
      </c>
      <c r="AR1031" s="6" t="s">
        <v>63</v>
      </c>
      <c r="AS1031" s="6" t="s">
        <v>57</v>
      </c>
      <c r="AT1031" s="9" t="str">
        <f aca="false">HYPERLINK("http://catalog.hathitrust.org/Record/009511518","HathiTrust Record")</f>
        <v>HathiTrust Record</v>
      </c>
      <c r="AU1031" s="9" t="str">
        <f aca="false">HYPERLINK("https://creighton-primo.hosted.exlibrisgroup.com/primo-explore/search?tab=default_tab&amp;search_scope=EVERYTHING&amp;vid=01CRU&amp;lang=en_US&amp;offset=0&amp;query=any,contains,991003856749702656","Catalog Record")</f>
        <v>Catalog Record</v>
      </c>
      <c r="AV1031" s="9" t="str">
        <f aca="false">HYPERLINK("http://www.worldcat.org/oclc/1655750","WorldCat Record")</f>
        <v>WorldCat Record</v>
      </c>
      <c r="AW1031" s="6" t="s">
        <v>6696</v>
      </c>
      <c r="AX1031" s="6" t="s">
        <v>6697</v>
      </c>
      <c r="AY1031" s="6" t="s">
        <v>6698</v>
      </c>
      <c r="AZ1031" s="6" t="s">
        <v>6698</v>
      </c>
      <c r="BA1031" s="6" t="s">
        <v>6699</v>
      </c>
      <c r="BB1031" s="28"/>
      <c r="BC1031" s="6" t="s">
        <v>6700</v>
      </c>
      <c r="BE1031" s="15" t="s">
        <v>2145</v>
      </c>
      <c r="BF1031" s="6" t="s">
        <v>6701</v>
      </c>
    </row>
    <row r="1032" customFormat="false" ht="151.5" hidden="false" customHeight="false" outlineLevel="0" collapsed="false">
      <c r="A1032" s="26" t="s">
        <v>57</v>
      </c>
      <c r="B1032" s="27" t="s">
        <v>2129</v>
      </c>
      <c r="C1032" s="27" t="s">
        <v>2130</v>
      </c>
      <c r="D1032" s="27" t="s">
        <v>6702</v>
      </c>
      <c r="E1032" s="27" t="s">
        <v>6703</v>
      </c>
      <c r="F1032" s="27" t="s">
        <v>6704</v>
      </c>
      <c r="G1032" s="28"/>
      <c r="H1032" s="6" t="s">
        <v>63</v>
      </c>
      <c r="I1032" s="6" t="s">
        <v>62</v>
      </c>
      <c r="J1032" s="6" t="s">
        <v>63</v>
      </c>
      <c r="K1032" s="6" t="s">
        <v>63</v>
      </c>
      <c r="L1032" s="6" t="s">
        <v>64</v>
      </c>
      <c r="M1032" s="27" t="s">
        <v>6705</v>
      </c>
      <c r="N1032" s="27" t="s">
        <v>6706</v>
      </c>
      <c r="O1032" s="6" t="s">
        <v>2557</v>
      </c>
      <c r="P1032" s="28"/>
      <c r="Q1032" s="6" t="s">
        <v>67</v>
      </c>
      <c r="R1032" s="6" t="s">
        <v>68</v>
      </c>
      <c r="S1032" s="27" t="s">
        <v>6707</v>
      </c>
      <c r="T1032" s="6" t="s">
        <v>6138</v>
      </c>
      <c r="U1032" s="7" t="n">
        <v>3</v>
      </c>
      <c r="V1032" s="7" t="n">
        <v>3</v>
      </c>
      <c r="W1032" s="8" t="s">
        <v>6708</v>
      </c>
      <c r="X1032" s="8" t="s">
        <v>6708</v>
      </c>
      <c r="Y1032" s="8" t="s">
        <v>6709</v>
      </c>
      <c r="Z1032" s="8" t="s">
        <v>6709</v>
      </c>
      <c r="AA1032" s="7" t="n">
        <v>1809</v>
      </c>
      <c r="AB1032" s="7" t="n">
        <v>1620</v>
      </c>
      <c r="AC1032" s="7" t="n">
        <v>1869</v>
      </c>
      <c r="AD1032" s="7" t="n">
        <v>12</v>
      </c>
      <c r="AE1032" s="7" t="n">
        <v>13</v>
      </c>
      <c r="AF1032" s="7" t="n">
        <v>56</v>
      </c>
      <c r="AG1032" s="7" t="n">
        <v>58</v>
      </c>
      <c r="AH1032" s="7" t="n">
        <v>21</v>
      </c>
      <c r="AI1032" s="7" t="n">
        <v>22</v>
      </c>
      <c r="AJ1032" s="7" t="n">
        <v>10</v>
      </c>
      <c r="AK1032" s="7" t="n">
        <v>10</v>
      </c>
      <c r="AL1032" s="7" t="n">
        <v>25</v>
      </c>
      <c r="AM1032" s="7" t="n">
        <v>26</v>
      </c>
      <c r="AN1032" s="7" t="n">
        <v>8</v>
      </c>
      <c r="AO1032" s="7" t="n">
        <v>9</v>
      </c>
      <c r="AP1032" s="7" t="n">
        <v>4</v>
      </c>
      <c r="AQ1032" s="7" t="n">
        <v>4</v>
      </c>
      <c r="AR1032" s="6" t="s">
        <v>63</v>
      </c>
      <c r="AS1032" s="6" t="s">
        <v>57</v>
      </c>
      <c r="AT1032" s="9" t="str">
        <f aca="false">HYPERLINK("http://catalog.hathitrust.org/Record/001383603","HathiTrust Record")</f>
        <v>HathiTrust Record</v>
      </c>
      <c r="AU1032" s="9" t="str">
        <f aca="false">HYPERLINK("https://creighton-primo.hosted.exlibrisgroup.com/primo-explore/search?tab=default_tab&amp;search_scope=EVERYTHING&amp;vid=01CRU&amp;lang=en_US&amp;offset=0&amp;query=any,contains,991003100589702656","Catalog Record")</f>
        <v>Catalog Record</v>
      </c>
      <c r="AV1032" s="9" t="str">
        <f aca="false">HYPERLINK("http://www.worldcat.org/oclc/649526","WorldCat Record")</f>
        <v>WorldCat Record</v>
      </c>
      <c r="AW1032" s="6" t="s">
        <v>6710</v>
      </c>
      <c r="AX1032" s="6" t="s">
        <v>6711</v>
      </c>
      <c r="AY1032" s="6" t="s">
        <v>6712</v>
      </c>
      <c r="AZ1032" s="6" t="s">
        <v>6712</v>
      </c>
      <c r="BA1032" s="6" t="s">
        <v>6713</v>
      </c>
      <c r="BB1032" s="28"/>
      <c r="BC1032" s="6" t="s">
        <v>6714</v>
      </c>
      <c r="BE1032" s="15" t="s">
        <v>2145</v>
      </c>
      <c r="BF1032" s="6" t="s">
        <v>6715</v>
      </c>
    </row>
    <row r="1033" customFormat="false" ht="105.5" hidden="false" customHeight="false" outlineLevel="0" collapsed="false">
      <c r="A1033" s="26" t="s">
        <v>63</v>
      </c>
      <c r="B1033" s="27" t="s">
        <v>2129</v>
      </c>
      <c r="C1033" s="27" t="s">
        <v>2130</v>
      </c>
      <c r="D1033" s="27" t="s">
        <v>6716</v>
      </c>
      <c r="E1033" s="27" t="s">
        <v>6717</v>
      </c>
      <c r="F1033" s="27" t="s">
        <v>6718</v>
      </c>
      <c r="G1033" s="28"/>
      <c r="H1033" s="6" t="s">
        <v>63</v>
      </c>
      <c r="I1033" s="6" t="s">
        <v>62</v>
      </c>
      <c r="J1033" s="6" t="s">
        <v>63</v>
      </c>
      <c r="K1033" s="6" t="s">
        <v>63</v>
      </c>
      <c r="L1033" s="6" t="s">
        <v>64</v>
      </c>
      <c r="M1033" s="27" t="s">
        <v>6719</v>
      </c>
      <c r="N1033" s="27" t="s">
        <v>6720</v>
      </c>
      <c r="O1033" s="6" t="s">
        <v>2396</v>
      </c>
      <c r="P1033" s="28"/>
      <c r="Q1033" s="6" t="s">
        <v>67</v>
      </c>
      <c r="R1033" s="6" t="s">
        <v>384</v>
      </c>
      <c r="S1033" s="28"/>
      <c r="T1033" s="6" t="s">
        <v>6138</v>
      </c>
      <c r="U1033" s="7" t="n">
        <v>1</v>
      </c>
      <c r="V1033" s="7" t="n">
        <v>1</v>
      </c>
      <c r="W1033" s="8" t="s">
        <v>6721</v>
      </c>
      <c r="X1033" s="8" t="s">
        <v>6721</v>
      </c>
      <c r="Y1033" s="8" t="s">
        <v>6721</v>
      </c>
      <c r="Z1033" s="8" t="s">
        <v>6721</v>
      </c>
      <c r="AA1033" s="7" t="n">
        <v>470</v>
      </c>
      <c r="AB1033" s="7" t="n">
        <v>342</v>
      </c>
      <c r="AC1033" s="7" t="n">
        <v>573</v>
      </c>
      <c r="AD1033" s="7" t="n">
        <v>4</v>
      </c>
      <c r="AE1033" s="7" t="n">
        <v>4</v>
      </c>
      <c r="AF1033" s="7" t="n">
        <v>27</v>
      </c>
      <c r="AG1033" s="7" t="n">
        <v>37</v>
      </c>
      <c r="AH1033" s="7" t="n">
        <v>10</v>
      </c>
      <c r="AI1033" s="7" t="n">
        <v>14</v>
      </c>
      <c r="AJ1033" s="7" t="n">
        <v>6</v>
      </c>
      <c r="AK1033" s="7" t="n">
        <v>10</v>
      </c>
      <c r="AL1033" s="7" t="n">
        <v>16</v>
      </c>
      <c r="AM1033" s="7" t="n">
        <v>22</v>
      </c>
      <c r="AN1033" s="7" t="n">
        <v>3</v>
      </c>
      <c r="AO1033" s="7" t="n">
        <v>3</v>
      </c>
      <c r="AP1033" s="7" t="n">
        <v>0</v>
      </c>
      <c r="AQ1033" s="7" t="n">
        <v>0</v>
      </c>
      <c r="AR1033" s="6" t="s">
        <v>63</v>
      </c>
      <c r="AS1033" s="6" t="s">
        <v>57</v>
      </c>
      <c r="AT1033" s="9" t="str">
        <f aca="false">HYPERLINK("http://catalog.hathitrust.org/Record/001383614","HathiTrust Record")</f>
        <v>HathiTrust Record</v>
      </c>
      <c r="AU1033" s="9" t="str">
        <f aca="false">HYPERLINK("https://creighton-primo.hosted.exlibrisgroup.com/primo-explore/search?tab=default_tab&amp;search_scope=EVERYTHING&amp;vid=01CRU&amp;lang=en_US&amp;offset=0&amp;query=any,contains,991003949549702656","Catalog Record")</f>
        <v>Catalog Record</v>
      </c>
      <c r="AV1033" s="9" t="str">
        <f aca="false">HYPERLINK("http://www.worldcat.org/oclc/2068125","WorldCat Record")</f>
        <v>WorldCat Record</v>
      </c>
      <c r="AW1033" s="6" t="s">
        <v>6722</v>
      </c>
      <c r="AX1033" s="6" t="s">
        <v>6723</v>
      </c>
      <c r="AY1033" s="6" t="s">
        <v>6724</v>
      </c>
      <c r="AZ1033" s="6" t="s">
        <v>6724</v>
      </c>
      <c r="BA1033" s="6" t="s">
        <v>6725</v>
      </c>
      <c r="BB1033" s="28"/>
      <c r="BC1033" s="6" t="s">
        <v>6726</v>
      </c>
      <c r="BE1033" s="15" t="s">
        <v>2145</v>
      </c>
      <c r="BF1033" s="6" t="s">
        <v>6727</v>
      </c>
    </row>
    <row r="1034" customFormat="false" ht="94" hidden="false" customHeight="false" outlineLevel="0" collapsed="false">
      <c r="A1034" s="26" t="s">
        <v>63</v>
      </c>
      <c r="B1034" s="27" t="s">
        <v>2129</v>
      </c>
      <c r="C1034" s="27" t="s">
        <v>2130</v>
      </c>
      <c r="D1034" s="27" t="s">
        <v>6728</v>
      </c>
      <c r="E1034" s="27" t="s">
        <v>6729</v>
      </c>
      <c r="F1034" s="27" t="s">
        <v>6730</v>
      </c>
      <c r="G1034" s="28"/>
      <c r="H1034" s="6" t="s">
        <v>63</v>
      </c>
      <c r="I1034" s="6" t="s">
        <v>62</v>
      </c>
      <c r="J1034" s="6" t="s">
        <v>63</v>
      </c>
      <c r="K1034" s="6" t="s">
        <v>63</v>
      </c>
      <c r="L1034" s="6" t="s">
        <v>64</v>
      </c>
      <c r="M1034" s="27" t="s">
        <v>6731</v>
      </c>
      <c r="N1034" s="27" t="s">
        <v>6732</v>
      </c>
      <c r="O1034" s="6" t="s">
        <v>2136</v>
      </c>
      <c r="P1034" s="28"/>
      <c r="Q1034" s="6" t="s">
        <v>67</v>
      </c>
      <c r="R1034" s="6" t="s">
        <v>384</v>
      </c>
      <c r="S1034" s="27" t="s">
        <v>6733</v>
      </c>
      <c r="T1034" s="6" t="s">
        <v>6138</v>
      </c>
      <c r="U1034" s="7" t="n">
        <v>1</v>
      </c>
      <c r="V1034" s="7" t="n">
        <v>1</v>
      </c>
      <c r="W1034" s="8" t="s">
        <v>6721</v>
      </c>
      <c r="X1034" s="8" t="s">
        <v>6721</v>
      </c>
      <c r="Y1034" s="8" t="s">
        <v>6721</v>
      </c>
      <c r="Z1034" s="8" t="s">
        <v>6721</v>
      </c>
      <c r="AA1034" s="7" t="n">
        <v>664</v>
      </c>
      <c r="AB1034" s="7" t="n">
        <v>532</v>
      </c>
      <c r="AC1034" s="7" t="n">
        <v>625</v>
      </c>
      <c r="AD1034" s="7" t="n">
        <v>4</v>
      </c>
      <c r="AE1034" s="7" t="n">
        <v>4</v>
      </c>
      <c r="AF1034" s="7" t="n">
        <v>29</v>
      </c>
      <c r="AG1034" s="7" t="n">
        <v>32</v>
      </c>
      <c r="AH1034" s="7" t="n">
        <v>13</v>
      </c>
      <c r="AI1034" s="7" t="n">
        <v>14</v>
      </c>
      <c r="AJ1034" s="7" t="n">
        <v>7</v>
      </c>
      <c r="AK1034" s="7" t="n">
        <v>7</v>
      </c>
      <c r="AL1034" s="7" t="n">
        <v>16</v>
      </c>
      <c r="AM1034" s="7" t="n">
        <v>19</v>
      </c>
      <c r="AN1034" s="7" t="n">
        <v>3</v>
      </c>
      <c r="AO1034" s="7" t="n">
        <v>3</v>
      </c>
      <c r="AP1034" s="7" t="n">
        <v>0</v>
      </c>
      <c r="AQ1034" s="7" t="n">
        <v>0</v>
      </c>
      <c r="AR1034" s="6" t="s">
        <v>63</v>
      </c>
      <c r="AS1034" s="6" t="s">
        <v>57</v>
      </c>
      <c r="AT1034" s="9" t="str">
        <f aca="false">HYPERLINK("http://catalog.hathitrust.org/Record/001383615","HathiTrust Record")</f>
        <v>HathiTrust Record</v>
      </c>
      <c r="AU1034" s="9" t="str">
        <f aca="false">HYPERLINK("https://creighton-primo.hosted.exlibrisgroup.com/primo-explore/search?tab=default_tab&amp;search_scope=EVERYTHING&amp;vid=01CRU&amp;lang=en_US&amp;offset=0&amp;query=any,contains,991003949309702656","Catalog Record")</f>
        <v>Catalog Record</v>
      </c>
      <c r="AV1034" s="9" t="str">
        <f aca="false">HYPERLINK("http://www.worldcat.org/oclc/21936208","WorldCat Record")</f>
        <v>WorldCat Record</v>
      </c>
      <c r="AW1034" s="6" t="s">
        <v>6734</v>
      </c>
      <c r="AX1034" s="6" t="s">
        <v>6735</v>
      </c>
      <c r="AY1034" s="6" t="s">
        <v>6736</v>
      </c>
      <c r="AZ1034" s="6" t="s">
        <v>6736</v>
      </c>
      <c r="BA1034" s="6" t="s">
        <v>6737</v>
      </c>
      <c r="BB1034" s="28"/>
      <c r="BC1034" s="6" t="s">
        <v>6738</v>
      </c>
      <c r="BE1034" s="15" t="s">
        <v>2145</v>
      </c>
      <c r="BF1034" s="6" t="s">
        <v>6739</v>
      </c>
    </row>
    <row r="1035" customFormat="false" ht="117" hidden="false" customHeight="false" outlineLevel="0" collapsed="false">
      <c r="A1035" s="26" t="s">
        <v>63</v>
      </c>
      <c r="B1035" s="27" t="s">
        <v>2129</v>
      </c>
      <c r="C1035" s="27" t="s">
        <v>2130</v>
      </c>
      <c r="D1035" s="27" t="s">
        <v>6740</v>
      </c>
      <c r="E1035" s="27" t="s">
        <v>6741</v>
      </c>
      <c r="F1035" s="27" t="s">
        <v>6742</v>
      </c>
      <c r="G1035" s="28"/>
      <c r="H1035" s="6" t="s">
        <v>63</v>
      </c>
      <c r="I1035" s="6" t="s">
        <v>62</v>
      </c>
      <c r="J1035" s="6" t="s">
        <v>63</v>
      </c>
      <c r="K1035" s="6" t="s">
        <v>63</v>
      </c>
      <c r="L1035" s="6" t="s">
        <v>64</v>
      </c>
      <c r="M1035" s="27" t="s">
        <v>6743</v>
      </c>
      <c r="N1035" s="27" t="s">
        <v>6744</v>
      </c>
      <c r="O1035" s="6" t="s">
        <v>3068</v>
      </c>
      <c r="P1035" s="28"/>
      <c r="Q1035" s="6" t="s">
        <v>67</v>
      </c>
      <c r="R1035" s="6" t="s">
        <v>6745</v>
      </c>
      <c r="S1035" s="28"/>
      <c r="T1035" s="6" t="s">
        <v>6138</v>
      </c>
      <c r="U1035" s="7" t="n">
        <v>2</v>
      </c>
      <c r="V1035" s="7" t="n">
        <v>2</v>
      </c>
      <c r="W1035" s="8" t="s">
        <v>6746</v>
      </c>
      <c r="X1035" s="8" t="s">
        <v>6746</v>
      </c>
      <c r="Y1035" s="8" t="s">
        <v>6709</v>
      </c>
      <c r="Z1035" s="8" t="s">
        <v>6709</v>
      </c>
      <c r="AA1035" s="7" t="n">
        <v>484</v>
      </c>
      <c r="AB1035" s="7" t="n">
        <v>453</v>
      </c>
      <c r="AC1035" s="7" t="n">
        <v>739</v>
      </c>
      <c r="AD1035" s="7" t="n">
        <v>3</v>
      </c>
      <c r="AE1035" s="7" t="n">
        <v>3</v>
      </c>
      <c r="AF1035" s="7" t="n">
        <v>29</v>
      </c>
      <c r="AG1035" s="7" t="n">
        <v>38</v>
      </c>
      <c r="AH1035" s="7" t="n">
        <v>13</v>
      </c>
      <c r="AI1035" s="7" t="n">
        <v>17</v>
      </c>
      <c r="AJ1035" s="7" t="n">
        <v>6</v>
      </c>
      <c r="AK1035" s="7" t="n">
        <v>9</v>
      </c>
      <c r="AL1035" s="7" t="n">
        <v>17</v>
      </c>
      <c r="AM1035" s="7" t="n">
        <v>23</v>
      </c>
      <c r="AN1035" s="7" t="n">
        <v>1</v>
      </c>
      <c r="AO1035" s="7" t="n">
        <v>1</v>
      </c>
      <c r="AP1035" s="7" t="n">
        <v>0</v>
      </c>
      <c r="AQ1035" s="7" t="n">
        <v>0</v>
      </c>
      <c r="AR1035" s="6" t="s">
        <v>63</v>
      </c>
      <c r="AS1035" s="6" t="s">
        <v>57</v>
      </c>
      <c r="AT1035" s="9" t="str">
        <f aca="false">HYPERLINK("http://catalog.hathitrust.org/Record/001383618","HathiTrust Record")</f>
        <v>HathiTrust Record</v>
      </c>
      <c r="AU1035" s="9" t="str">
        <f aca="false">HYPERLINK("https://creighton-primo.hosted.exlibrisgroup.com/primo-explore/search?tab=default_tab&amp;search_scope=EVERYTHING&amp;vid=01CRU&amp;lang=en_US&amp;offset=0&amp;query=any,contains,991003031009702656","Catalog Record")</f>
        <v>Catalog Record</v>
      </c>
      <c r="AV1035" s="9" t="str">
        <f aca="false">HYPERLINK("http://www.worldcat.org/oclc/594368","WorldCat Record")</f>
        <v>WorldCat Record</v>
      </c>
      <c r="AW1035" s="6" t="s">
        <v>6747</v>
      </c>
      <c r="AX1035" s="6" t="s">
        <v>6748</v>
      </c>
      <c r="AY1035" s="6" t="s">
        <v>6749</v>
      </c>
      <c r="AZ1035" s="6" t="s">
        <v>6749</v>
      </c>
      <c r="BA1035" s="6" t="s">
        <v>6750</v>
      </c>
      <c r="BB1035" s="6" t="s">
        <v>6751</v>
      </c>
      <c r="BC1035" s="6" t="s">
        <v>6752</v>
      </c>
      <c r="BE1035" s="15" t="s">
        <v>2145</v>
      </c>
      <c r="BF1035" s="6" t="s">
        <v>6753</v>
      </c>
    </row>
    <row r="1036" customFormat="false" ht="59.5" hidden="false" customHeight="false" outlineLevel="0" collapsed="false">
      <c r="A1036" s="26" t="s">
        <v>63</v>
      </c>
      <c r="B1036" s="27" t="s">
        <v>2129</v>
      </c>
      <c r="C1036" s="27" t="s">
        <v>2130</v>
      </c>
      <c r="D1036" s="27" t="s">
        <v>6754</v>
      </c>
      <c r="E1036" s="27" t="s">
        <v>6755</v>
      </c>
      <c r="F1036" s="27" t="s">
        <v>6756</v>
      </c>
      <c r="G1036" s="28"/>
      <c r="H1036" s="6" t="s">
        <v>63</v>
      </c>
      <c r="I1036" s="6" t="s">
        <v>62</v>
      </c>
      <c r="J1036" s="6" t="s">
        <v>63</v>
      </c>
      <c r="K1036" s="6" t="s">
        <v>63</v>
      </c>
      <c r="L1036" s="6" t="s">
        <v>64</v>
      </c>
      <c r="M1036" s="27" t="s">
        <v>6757</v>
      </c>
      <c r="N1036" s="27" t="s">
        <v>6758</v>
      </c>
      <c r="O1036" s="6" t="s">
        <v>233</v>
      </c>
      <c r="P1036" s="28"/>
      <c r="Q1036" s="6" t="s">
        <v>67</v>
      </c>
      <c r="R1036" s="6" t="s">
        <v>123</v>
      </c>
      <c r="S1036" s="28"/>
      <c r="T1036" s="6" t="s">
        <v>6138</v>
      </c>
      <c r="U1036" s="7" t="n">
        <v>3</v>
      </c>
      <c r="V1036" s="7" t="n">
        <v>3</v>
      </c>
      <c r="W1036" s="8" t="s">
        <v>6759</v>
      </c>
      <c r="X1036" s="8" t="s">
        <v>6759</v>
      </c>
      <c r="Y1036" s="8" t="s">
        <v>6760</v>
      </c>
      <c r="Z1036" s="8" t="s">
        <v>6760</v>
      </c>
      <c r="AA1036" s="7" t="n">
        <v>271</v>
      </c>
      <c r="AB1036" s="7" t="n">
        <v>203</v>
      </c>
      <c r="AC1036" s="7" t="n">
        <v>204</v>
      </c>
      <c r="AD1036" s="7" t="n">
        <v>3</v>
      </c>
      <c r="AE1036" s="7" t="n">
        <v>3</v>
      </c>
      <c r="AF1036" s="7" t="n">
        <v>12</v>
      </c>
      <c r="AG1036" s="7" t="n">
        <v>12</v>
      </c>
      <c r="AH1036" s="7" t="n">
        <v>3</v>
      </c>
      <c r="AI1036" s="7" t="n">
        <v>3</v>
      </c>
      <c r="AJ1036" s="7" t="n">
        <v>5</v>
      </c>
      <c r="AK1036" s="7" t="n">
        <v>5</v>
      </c>
      <c r="AL1036" s="7" t="n">
        <v>5</v>
      </c>
      <c r="AM1036" s="7" t="n">
        <v>5</v>
      </c>
      <c r="AN1036" s="7" t="n">
        <v>2</v>
      </c>
      <c r="AO1036" s="7" t="n">
        <v>2</v>
      </c>
      <c r="AP1036" s="7" t="n">
        <v>0</v>
      </c>
      <c r="AQ1036" s="7" t="n">
        <v>0</v>
      </c>
      <c r="AR1036" s="6" t="s">
        <v>63</v>
      </c>
      <c r="AS1036" s="6" t="s">
        <v>57</v>
      </c>
      <c r="AT1036" s="9" t="str">
        <f aca="false">HYPERLINK("http://catalog.hathitrust.org/Record/006228383","HathiTrust Record")</f>
        <v>HathiTrust Record</v>
      </c>
      <c r="AU1036" s="9" t="str">
        <f aca="false">HYPERLINK("https://creighton-primo.hosted.exlibrisgroup.com/primo-explore/search?tab=default_tab&amp;search_scope=EVERYTHING&amp;vid=01CRU&amp;lang=en_US&amp;offset=0&amp;query=any,contains,991003751399702656","Catalog Record")</f>
        <v>Catalog Record</v>
      </c>
      <c r="AV1036" s="9" t="str">
        <f aca="false">HYPERLINK("http://www.worldcat.org/oclc/1428322","WorldCat Record")</f>
        <v>WorldCat Record</v>
      </c>
      <c r="AW1036" s="6" t="s">
        <v>6761</v>
      </c>
      <c r="AX1036" s="6" t="s">
        <v>6762</v>
      </c>
      <c r="AY1036" s="6" t="s">
        <v>6763</v>
      </c>
      <c r="AZ1036" s="6" t="s">
        <v>6763</v>
      </c>
      <c r="BA1036" s="6" t="s">
        <v>6764</v>
      </c>
      <c r="BB1036" s="28"/>
      <c r="BC1036" s="6" t="s">
        <v>6765</v>
      </c>
      <c r="BE1036" s="15" t="s">
        <v>2145</v>
      </c>
      <c r="BF1036" s="6" t="s">
        <v>6766</v>
      </c>
    </row>
    <row r="1037" customFormat="false" ht="59.5" hidden="false" customHeight="false" outlineLevel="0" collapsed="false">
      <c r="A1037" s="26" t="s">
        <v>63</v>
      </c>
      <c r="B1037" s="27" t="s">
        <v>2129</v>
      </c>
      <c r="C1037" s="27" t="s">
        <v>2130</v>
      </c>
      <c r="D1037" s="27" t="s">
        <v>6767</v>
      </c>
      <c r="E1037" s="27" t="s">
        <v>6768</v>
      </c>
      <c r="F1037" s="27" t="s">
        <v>6769</v>
      </c>
      <c r="G1037" s="28"/>
      <c r="H1037" s="6" t="s">
        <v>63</v>
      </c>
      <c r="I1037" s="6" t="s">
        <v>62</v>
      </c>
      <c r="J1037" s="6" t="s">
        <v>63</v>
      </c>
      <c r="K1037" s="6" t="s">
        <v>57</v>
      </c>
      <c r="L1037" s="6" t="s">
        <v>64</v>
      </c>
      <c r="M1037" s="27" t="s">
        <v>6770</v>
      </c>
      <c r="N1037" s="27" t="s">
        <v>6771</v>
      </c>
      <c r="O1037" s="6" t="s">
        <v>3029</v>
      </c>
      <c r="P1037" s="27" t="s">
        <v>255</v>
      </c>
      <c r="Q1037" s="6" t="s">
        <v>67</v>
      </c>
      <c r="R1037" s="6" t="s">
        <v>222</v>
      </c>
      <c r="S1037" s="28"/>
      <c r="T1037" s="6" t="s">
        <v>6138</v>
      </c>
      <c r="U1037" s="7" t="n">
        <v>2</v>
      </c>
      <c r="V1037" s="7" t="n">
        <v>2</v>
      </c>
      <c r="W1037" s="8" t="s">
        <v>6772</v>
      </c>
      <c r="X1037" s="8" t="s">
        <v>6772</v>
      </c>
      <c r="Y1037" s="8" t="s">
        <v>6165</v>
      </c>
      <c r="Z1037" s="8" t="s">
        <v>6165</v>
      </c>
      <c r="AA1037" s="7" t="n">
        <v>2538</v>
      </c>
      <c r="AB1037" s="7" t="n">
        <v>2394</v>
      </c>
      <c r="AC1037" s="7" t="n">
        <v>2713</v>
      </c>
      <c r="AD1037" s="7" t="n">
        <v>20</v>
      </c>
      <c r="AE1037" s="7" t="n">
        <v>22</v>
      </c>
      <c r="AF1037" s="7" t="n">
        <v>73</v>
      </c>
      <c r="AG1037" s="7" t="n">
        <v>76</v>
      </c>
      <c r="AH1037" s="7" t="n">
        <v>25</v>
      </c>
      <c r="AI1037" s="7" t="n">
        <v>26</v>
      </c>
      <c r="AJ1037" s="7" t="n">
        <v>11</v>
      </c>
      <c r="AK1037" s="7" t="n">
        <v>11</v>
      </c>
      <c r="AL1037" s="7" t="n">
        <v>26</v>
      </c>
      <c r="AM1037" s="7" t="n">
        <v>26</v>
      </c>
      <c r="AN1037" s="7" t="n">
        <v>10</v>
      </c>
      <c r="AO1037" s="7" t="n">
        <v>11</v>
      </c>
      <c r="AP1037" s="7" t="n">
        <v>15</v>
      </c>
      <c r="AQ1037" s="7" t="n">
        <v>16</v>
      </c>
      <c r="AR1037" s="6" t="s">
        <v>63</v>
      </c>
      <c r="AS1037" s="6" t="s">
        <v>57</v>
      </c>
      <c r="AT1037" s="9" t="str">
        <f aca="false">HYPERLINK("http://catalog.hathitrust.org/Record/001395865","HathiTrust Record")</f>
        <v>HathiTrust Record</v>
      </c>
      <c r="AU1037" s="9" t="str">
        <f aca="false">HYPERLINK("https://creighton-primo.hosted.exlibrisgroup.com/primo-explore/search?tab=default_tab&amp;search_scope=EVERYTHING&amp;vid=01CRU&amp;lang=en_US&amp;offset=0&amp;query=any,contains,991002298219702656","Catalog Record")</f>
        <v>Catalog Record</v>
      </c>
      <c r="AV1037" s="9" t="str">
        <f aca="false">HYPERLINK("http://www.worldcat.org/oclc/316705","WorldCat Record")</f>
        <v>WorldCat Record</v>
      </c>
      <c r="AW1037" s="6" t="s">
        <v>6773</v>
      </c>
      <c r="AX1037" s="6" t="s">
        <v>6774</v>
      </c>
      <c r="AY1037" s="6" t="s">
        <v>6775</v>
      </c>
      <c r="AZ1037" s="6" t="s">
        <v>6775</v>
      </c>
      <c r="BA1037" s="6" t="s">
        <v>6776</v>
      </c>
      <c r="BB1037" s="28"/>
      <c r="BC1037" s="6" t="s">
        <v>6777</v>
      </c>
      <c r="BE1037" s="15" t="s">
        <v>2145</v>
      </c>
      <c r="BF1037" s="6" t="s">
        <v>6778</v>
      </c>
    </row>
    <row r="1038" customFormat="false" ht="174.5" hidden="false" customHeight="false" outlineLevel="0" collapsed="false">
      <c r="A1038" s="26" t="s">
        <v>63</v>
      </c>
      <c r="B1038" s="27" t="s">
        <v>2129</v>
      </c>
      <c r="C1038" s="27" t="s">
        <v>2130</v>
      </c>
      <c r="D1038" s="27" t="s">
        <v>6779</v>
      </c>
      <c r="E1038" s="27" t="s">
        <v>6780</v>
      </c>
      <c r="F1038" s="27" t="s">
        <v>6781</v>
      </c>
      <c r="G1038" s="28"/>
      <c r="H1038" s="6" t="s">
        <v>63</v>
      </c>
      <c r="I1038" s="6" t="s">
        <v>62</v>
      </c>
      <c r="J1038" s="6" t="s">
        <v>63</v>
      </c>
      <c r="K1038" s="6" t="s">
        <v>57</v>
      </c>
      <c r="L1038" s="6" t="s">
        <v>64</v>
      </c>
      <c r="M1038" s="27" t="s">
        <v>6782</v>
      </c>
      <c r="N1038" s="27" t="s">
        <v>6783</v>
      </c>
      <c r="O1038" s="6" t="s">
        <v>122</v>
      </c>
      <c r="P1038" s="28"/>
      <c r="Q1038" s="6" t="s">
        <v>67</v>
      </c>
      <c r="R1038" s="6" t="s">
        <v>384</v>
      </c>
      <c r="S1038" s="27" t="s">
        <v>6784</v>
      </c>
      <c r="T1038" s="6" t="s">
        <v>6138</v>
      </c>
      <c r="U1038" s="7" t="n">
        <v>2</v>
      </c>
      <c r="V1038" s="7" t="n">
        <v>2</v>
      </c>
      <c r="W1038" s="8" t="s">
        <v>6759</v>
      </c>
      <c r="X1038" s="8" t="s">
        <v>6759</v>
      </c>
      <c r="Y1038" s="8" t="s">
        <v>6709</v>
      </c>
      <c r="Z1038" s="8" t="s">
        <v>6709</v>
      </c>
      <c r="AA1038" s="7" t="n">
        <v>192</v>
      </c>
      <c r="AB1038" s="7" t="n">
        <v>150</v>
      </c>
      <c r="AC1038" s="7" t="n">
        <v>542</v>
      </c>
      <c r="AD1038" s="7" t="n">
        <v>2</v>
      </c>
      <c r="AE1038" s="7" t="n">
        <v>4</v>
      </c>
      <c r="AF1038" s="7" t="n">
        <v>6</v>
      </c>
      <c r="AG1038" s="7" t="n">
        <v>31</v>
      </c>
      <c r="AH1038" s="7" t="n">
        <v>3</v>
      </c>
      <c r="AI1038" s="7" t="n">
        <v>14</v>
      </c>
      <c r="AJ1038" s="7" t="n">
        <v>1</v>
      </c>
      <c r="AK1038" s="7" t="n">
        <v>6</v>
      </c>
      <c r="AL1038" s="7" t="n">
        <v>2</v>
      </c>
      <c r="AM1038" s="7" t="n">
        <v>17</v>
      </c>
      <c r="AN1038" s="7" t="n">
        <v>1</v>
      </c>
      <c r="AO1038" s="7" t="n">
        <v>3</v>
      </c>
      <c r="AP1038" s="7" t="n">
        <v>0</v>
      </c>
      <c r="AQ1038" s="7" t="n">
        <v>0</v>
      </c>
      <c r="AR1038" s="6" t="s">
        <v>63</v>
      </c>
      <c r="AS1038" s="6" t="s">
        <v>63</v>
      </c>
      <c r="AT1038" s="28"/>
      <c r="AU1038" s="9" t="str">
        <f aca="false">HYPERLINK("https://creighton-primo.hosted.exlibrisgroup.com/primo-explore/search?tab=default_tab&amp;search_scope=EVERYTHING&amp;vid=01CRU&amp;lang=en_US&amp;offset=0&amp;query=any,contains,991000498839702656","Catalog Record")</f>
        <v>Catalog Record</v>
      </c>
      <c r="AV1038" s="9" t="str">
        <f aca="false">HYPERLINK("http://www.worldcat.org/oclc/80883","WorldCat Record")</f>
        <v>WorldCat Record</v>
      </c>
      <c r="AW1038" s="6" t="s">
        <v>6785</v>
      </c>
      <c r="AX1038" s="6" t="s">
        <v>6786</v>
      </c>
      <c r="AY1038" s="6" t="s">
        <v>6787</v>
      </c>
      <c r="AZ1038" s="6" t="s">
        <v>6787</v>
      </c>
      <c r="BA1038" s="6" t="s">
        <v>6788</v>
      </c>
      <c r="BB1038" s="28"/>
      <c r="BC1038" s="6" t="s">
        <v>6789</v>
      </c>
      <c r="BE1038" s="15" t="s">
        <v>2145</v>
      </c>
      <c r="BF1038" s="6" t="s">
        <v>6790</v>
      </c>
    </row>
    <row r="1039" customFormat="false" ht="71" hidden="false" customHeight="false" outlineLevel="0" collapsed="false">
      <c r="A1039" s="26" t="s">
        <v>63</v>
      </c>
      <c r="B1039" s="27" t="s">
        <v>2129</v>
      </c>
      <c r="C1039" s="27" t="s">
        <v>2130</v>
      </c>
      <c r="D1039" s="27" t="s">
        <v>6791</v>
      </c>
      <c r="E1039" s="27" t="s">
        <v>6792</v>
      </c>
      <c r="F1039" s="27" t="s">
        <v>6793</v>
      </c>
      <c r="G1039" s="28"/>
      <c r="H1039" s="6" t="s">
        <v>63</v>
      </c>
      <c r="I1039" s="6" t="s">
        <v>62</v>
      </c>
      <c r="J1039" s="6" t="s">
        <v>63</v>
      </c>
      <c r="K1039" s="6" t="s">
        <v>63</v>
      </c>
      <c r="L1039" s="6" t="s">
        <v>64</v>
      </c>
      <c r="M1039" s="27" t="s">
        <v>6794</v>
      </c>
      <c r="N1039" s="27" t="s">
        <v>6795</v>
      </c>
      <c r="O1039" s="6" t="s">
        <v>3513</v>
      </c>
      <c r="P1039" s="28"/>
      <c r="Q1039" s="6" t="s">
        <v>67</v>
      </c>
      <c r="R1039" s="6" t="s">
        <v>1059</v>
      </c>
      <c r="S1039" s="28"/>
      <c r="T1039" s="6" t="s">
        <v>6138</v>
      </c>
      <c r="U1039" s="7" t="n">
        <v>6</v>
      </c>
      <c r="V1039" s="7" t="n">
        <v>6</v>
      </c>
      <c r="W1039" s="8" t="s">
        <v>6796</v>
      </c>
      <c r="X1039" s="8" t="s">
        <v>6796</v>
      </c>
      <c r="Y1039" s="8" t="s">
        <v>6709</v>
      </c>
      <c r="Z1039" s="8" t="s">
        <v>6709</v>
      </c>
      <c r="AA1039" s="7" t="n">
        <v>644</v>
      </c>
      <c r="AB1039" s="7" t="n">
        <v>539</v>
      </c>
      <c r="AC1039" s="7" t="n">
        <v>839</v>
      </c>
      <c r="AD1039" s="7" t="n">
        <v>4</v>
      </c>
      <c r="AE1039" s="7" t="n">
        <v>6</v>
      </c>
      <c r="AF1039" s="7" t="n">
        <v>34</v>
      </c>
      <c r="AG1039" s="7" t="n">
        <v>44</v>
      </c>
      <c r="AH1039" s="7" t="n">
        <v>12</v>
      </c>
      <c r="AI1039" s="7" t="n">
        <v>19</v>
      </c>
      <c r="AJ1039" s="7" t="n">
        <v>7</v>
      </c>
      <c r="AK1039" s="7" t="n">
        <v>9</v>
      </c>
      <c r="AL1039" s="7" t="n">
        <v>20</v>
      </c>
      <c r="AM1039" s="7" t="n">
        <v>23</v>
      </c>
      <c r="AN1039" s="7" t="n">
        <v>3</v>
      </c>
      <c r="AO1039" s="7" t="n">
        <v>5</v>
      </c>
      <c r="AP1039" s="7" t="n">
        <v>0</v>
      </c>
      <c r="AQ1039" s="7" t="n">
        <v>0</v>
      </c>
      <c r="AR1039" s="6" t="s">
        <v>63</v>
      </c>
      <c r="AS1039" s="6" t="s">
        <v>63</v>
      </c>
      <c r="AT1039" s="28"/>
      <c r="AU1039" s="9" t="str">
        <f aca="false">HYPERLINK("https://creighton-primo.hosted.exlibrisgroup.com/primo-explore/search?tab=default_tab&amp;search_scope=EVERYTHING&amp;vid=01CRU&amp;lang=en_US&amp;offset=0&amp;query=any,contains,991003031179702656","Catalog Record")</f>
        <v>Catalog Record</v>
      </c>
      <c r="AV1039" s="9" t="str">
        <f aca="false">HYPERLINK("http://www.worldcat.org/oclc/594383","WorldCat Record")</f>
        <v>WorldCat Record</v>
      </c>
      <c r="AW1039" s="6" t="s">
        <v>6797</v>
      </c>
      <c r="AX1039" s="6" t="s">
        <v>6798</v>
      </c>
      <c r="AY1039" s="6" t="s">
        <v>6799</v>
      </c>
      <c r="AZ1039" s="6" t="s">
        <v>6799</v>
      </c>
      <c r="BA1039" s="6" t="s">
        <v>6800</v>
      </c>
      <c r="BB1039" s="28"/>
      <c r="BC1039" s="6" t="s">
        <v>6801</v>
      </c>
      <c r="BE1039" s="15" t="s">
        <v>2145</v>
      </c>
      <c r="BF1039" s="6" t="s">
        <v>6802</v>
      </c>
    </row>
    <row r="1040" customFormat="false" ht="71" hidden="false" customHeight="false" outlineLevel="0" collapsed="false">
      <c r="A1040" s="26" t="s">
        <v>63</v>
      </c>
      <c r="B1040" s="27" t="s">
        <v>2129</v>
      </c>
      <c r="C1040" s="27" t="s">
        <v>2130</v>
      </c>
      <c r="D1040" s="27" t="s">
        <v>6803</v>
      </c>
      <c r="E1040" s="27" t="s">
        <v>6804</v>
      </c>
      <c r="F1040" s="27" t="s">
        <v>6805</v>
      </c>
      <c r="G1040" s="28"/>
      <c r="H1040" s="6" t="s">
        <v>63</v>
      </c>
      <c r="I1040" s="6" t="s">
        <v>62</v>
      </c>
      <c r="J1040" s="6" t="s">
        <v>63</v>
      </c>
      <c r="K1040" s="6" t="s">
        <v>63</v>
      </c>
      <c r="L1040" s="6" t="s">
        <v>64</v>
      </c>
      <c r="M1040" s="27" t="s">
        <v>6806</v>
      </c>
      <c r="N1040" s="27" t="s">
        <v>6807</v>
      </c>
      <c r="O1040" s="6" t="s">
        <v>233</v>
      </c>
      <c r="P1040" s="28"/>
      <c r="Q1040" s="6" t="s">
        <v>67</v>
      </c>
      <c r="R1040" s="6" t="s">
        <v>123</v>
      </c>
      <c r="S1040" s="28"/>
      <c r="T1040" s="6" t="s">
        <v>6138</v>
      </c>
      <c r="U1040" s="7" t="n">
        <v>3</v>
      </c>
      <c r="V1040" s="7" t="n">
        <v>3</v>
      </c>
      <c r="W1040" s="8" t="s">
        <v>6808</v>
      </c>
      <c r="X1040" s="8" t="s">
        <v>6808</v>
      </c>
      <c r="Y1040" s="8" t="s">
        <v>6709</v>
      </c>
      <c r="Z1040" s="8" t="s">
        <v>6709</v>
      </c>
      <c r="AA1040" s="7" t="n">
        <v>561</v>
      </c>
      <c r="AB1040" s="7" t="n">
        <v>407</v>
      </c>
      <c r="AC1040" s="7" t="n">
        <v>413</v>
      </c>
      <c r="AD1040" s="7" t="n">
        <v>3</v>
      </c>
      <c r="AE1040" s="7" t="n">
        <v>3</v>
      </c>
      <c r="AF1040" s="7" t="n">
        <v>24</v>
      </c>
      <c r="AG1040" s="7" t="n">
        <v>24</v>
      </c>
      <c r="AH1040" s="7" t="n">
        <v>8</v>
      </c>
      <c r="AI1040" s="7" t="n">
        <v>8</v>
      </c>
      <c r="AJ1040" s="7" t="n">
        <v>7</v>
      </c>
      <c r="AK1040" s="7" t="n">
        <v>7</v>
      </c>
      <c r="AL1040" s="7" t="n">
        <v>14</v>
      </c>
      <c r="AM1040" s="7" t="n">
        <v>14</v>
      </c>
      <c r="AN1040" s="7" t="n">
        <v>2</v>
      </c>
      <c r="AO1040" s="7" t="n">
        <v>2</v>
      </c>
      <c r="AP1040" s="7" t="n">
        <v>0</v>
      </c>
      <c r="AQ1040" s="7" t="n">
        <v>0</v>
      </c>
      <c r="AR1040" s="6" t="s">
        <v>63</v>
      </c>
      <c r="AS1040" s="6" t="s">
        <v>57</v>
      </c>
      <c r="AT1040" s="9" t="str">
        <f aca="false">HYPERLINK("http://catalog.hathitrust.org/Record/001383646","HathiTrust Record")</f>
        <v>HathiTrust Record</v>
      </c>
      <c r="AU1040" s="9" t="str">
        <f aca="false">HYPERLINK("https://creighton-primo.hosted.exlibrisgroup.com/primo-explore/search?tab=default_tab&amp;search_scope=EVERYTHING&amp;vid=01CRU&amp;lang=en_US&amp;offset=0&amp;query=any,contains,991003748369702656","Catalog Record")</f>
        <v>Catalog Record</v>
      </c>
      <c r="AV1040" s="9" t="str">
        <f aca="false">HYPERLINK("http://www.worldcat.org/oclc/1421637","WorldCat Record")</f>
        <v>WorldCat Record</v>
      </c>
      <c r="AW1040" s="6" t="s">
        <v>6809</v>
      </c>
      <c r="AX1040" s="6" t="s">
        <v>6810</v>
      </c>
      <c r="AY1040" s="6" t="s">
        <v>6811</v>
      </c>
      <c r="AZ1040" s="6" t="s">
        <v>6811</v>
      </c>
      <c r="BA1040" s="6" t="s">
        <v>6812</v>
      </c>
      <c r="BB1040" s="28"/>
      <c r="BC1040" s="6" t="s">
        <v>6813</v>
      </c>
      <c r="BE1040" s="15" t="s">
        <v>2145</v>
      </c>
      <c r="BF1040" s="6" t="s">
        <v>6814</v>
      </c>
    </row>
    <row r="1041" customFormat="false" ht="71" hidden="false" customHeight="false" outlineLevel="0" collapsed="false">
      <c r="A1041" s="26" t="s">
        <v>63</v>
      </c>
      <c r="B1041" s="27" t="s">
        <v>2129</v>
      </c>
      <c r="C1041" s="27" t="s">
        <v>2130</v>
      </c>
      <c r="D1041" s="27" t="s">
        <v>6815</v>
      </c>
      <c r="E1041" s="27" t="s">
        <v>6816</v>
      </c>
      <c r="F1041" s="27" t="s">
        <v>6817</v>
      </c>
      <c r="G1041" s="28"/>
      <c r="H1041" s="6" t="s">
        <v>63</v>
      </c>
      <c r="I1041" s="6" t="s">
        <v>62</v>
      </c>
      <c r="J1041" s="6" t="s">
        <v>63</v>
      </c>
      <c r="K1041" s="6" t="s">
        <v>63</v>
      </c>
      <c r="L1041" s="6" t="s">
        <v>64</v>
      </c>
      <c r="M1041" s="27" t="s">
        <v>6818</v>
      </c>
      <c r="N1041" s="27" t="s">
        <v>6819</v>
      </c>
      <c r="O1041" s="6" t="s">
        <v>2136</v>
      </c>
      <c r="P1041" s="28"/>
      <c r="Q1041" s="6" t="s">
        <v>67</v>
      </c>
      <c r="R1041" s="6" t="s">
        <v>68</v>
      </c>
      <c r="S1041" s="27" t="s">
        <v>6820</v>
      </c>
      <c r="T1041" s="6" t="s">
        <v>6138</v>
      </c>
      <c r="U1041" s="7" t="n">
        <v>3</v>
      </c>
      <c r="V1041" s="7" t="n">
        <v>3</v>
      </c>
      <c r="W1041" s="8" t="s">
        <v>6772</v>
      </c>
      <c r="X1041" s="8" t="s">
        <v>6772</v>
      </c>
      <c r="Y1041" s="8" t="s">
        <v>6709</v>
      </c>
      <c r="Z1041" s="8" t="s">
        <v>6709</v>
      </c>
      <c r="AA1041" s="7" t="n">
        <v>540</v>
      </c>
      <c r="AB1041" s="7" t="n">
        <v>490</v>
      </c>
      <c r="AC1041" s="7" t="n">
        <v>850</v>
      </c>
      <c r="AD1041" s="7" t="n">
        <v>3</v>
      </c>
      <c r="AE1041" s="7" t="n">
        <v>7</v>
      </c>
      <c r="AF1041" s="7" t="n">
        <v>20</v>
      </c>
      <c r="AG1041" s="7" t="n">
        <v>40</v>
      </c>
      <c r="AH1041" s="7" t="n">
        <v>7</v>
      </c>
      <c r="AI1041" s="7" t="n">
        <v>18</v>
      </c>
      <c r="AJ1041" s="7" t="n">
        <v>5</v>
      </c>
      <c r="AK1041" s="7" t="n">
        <v>7</v>
      </c>
      <c r="AL1041" s="7" t="n">
        <v>10</v>
      </c>
      <c r="AM1041" s="7" t="n">
        <v>22</v>
      </c>
      <c r="AN1041" s="7" t="n">
        <v>1</v>
      </c>
      <c r="AO1041" s="7" t="n">
        <v>4</v>
      </c>
      <c r="AP1041" s="7" t="n">
        <v>0</v>
      </c>
      <c r="AQ1041" s="7" t="n">
        <v>0</v>
      </c>
      <c r="AR1041" s="6" t="s">
        <v>63</v>
      </c>
      <c r="AS1041" s="6" t="s">
        <v>63</v>
      </c>
      <c r="AT1041" s="9" t="str">
        <f aca="false">HYPERLINK("http://catalog.hathitrust.org/Record/001383650","HathiTrust Record")</f>
        <v>HathiTrust Record</v>
      </c>
      <c r="AU1041" s="9" t="str">
        <f aca="false">HYPERLINK("https://creighton-primo.hosted.exlibrisgroup.com/primo-explore/search?tab=default_tab&amp;search_scope=EVERYTHING&amp;vid=01CRU&amp;lang=en_US&amp;offset=0&amp;query=any,contains,991002157149702656","Catalog Record")</f>
        <v>Catalog Record</v>
      </c>
      <c r="AV1041" s="9" t="str">
        <f aca="false">HYPERLINK("http://www.worldcat.org/oclc/14677264","WorldCat Record")</f>
        <v>WorldCat Record</v>
      </c>
      <c r="AW1041" s="6" t="s">
        <v>6821</v>
      </c>
      <c r="AX1041" s="6" t="s">
        <v>6822</v>
      </c>
      <c r="AY1041" s="6" t="s">
        <v>6823</v>
      </c>
      <c r="AZ1041" s="6" t="s">
        <v>6823</v>
      </c>
      <c r="BA1041" s="6" t="s">
        <v>6824</v>
      </c>
      <c r="BB1041" s="28"/>
      <c r="BC1041" s="6" t="s">
        <v>6825</v>
      </c>
      <c r="BE1041" s="15" t="s">
        <v>2145</v>
      </c>
      <c r="BF1041" s="6" t="s">
        <v>6826</v>
      </c>
    </row>
    <row r="1042" customFormat="false" ht="71" hidden="false" customHeight="false" outlineLevel="0" collapsed="false">
      <c r="A1042" s="26" t="s">
        <v>63</v>
      </c>
      <c r="B1042" s="27" t="s">
        <v>2129</v>
      </c>
      <c r="C1042" s="27" t="s">
        <v>2130</v>
      </c>
      <c r="D1042" s="27" t="s">
        <v>6827</v>
      </c>
      <c r="E1042" s="27" t="s">
        <v>6828</v>
      </c>
      <c r="F1042" s="27" t="s">
        <v>6829</v>
      </c>
      <c r="G1042" s="28"/>
      <c r="H1042" s="6" t="s">
        <v>63</v>
      </c>
      <c r="I1042" s="6" t="s">
        <v>62</v>
      </c>
      <c r="J1042" s="6" t="s">
        <v>63</v>
      </c>
      <c r="K1042" s="6" t="s">
        <v>63</v>
      </c>
      <c r="L1042" s="6" t="s">
        <v>64</v>
      </c>
      <c r="M1042" s="27" t="s">
        <v>6830</v>
      </c>
      <c r="N1042" s="27" t="s">
        <v>6831</v>
      </c>
      <c r="O1042" s="6" t="s">
        <v>122</v>
      </c>
      <c r="P1042" s="28"/>
      <c r="Q1042" s="6" t="s">
        <v>67</v>
      </c>
      <c r="R1042" s="6" t="s">
        <v>68</v>
      </c>
      <c r="S1042" s="27" t="s">
        <v>6832</v>
      </c>
      <c r="T1042" s="6" t="s">
        <v>6138</v>
      </c>
      <c r="U1042" s="7" t="n">
        <v>3</v>
      </c>
      <c r="V1042" s="7" t="n">
        <v>3</v>
      </c>
      <c r="W1042" s="8" t="s">
        <v>6759</v>
      </c>
      <c r="X1042" s="8" t="s">
        <v>6759</v>
      </c>
      <c r="Y1042" s="8" t="s">
        <v>6709</v>
      </c>
      <c r="Z1042" s="8" t="s">
        <v>6709</v>
      </c>
      <c r="AA1042" s="7" t="n">
        <v>1135</v>
      </c>
      <c r="AB1042" s="7" t="n">
        <v>1026</v>
      </c>
      <c r="AC1042" s="7" t="n">
        <v>1266</v>
      </c>
      <c r="AD1042" s="7" t="n">
        <v>10</v>
      </c>
      <c r="AE1042" s="7" t="n">
        <v>13</v>
      </c>
      <c r="AF1042" s="7" t="n">
        <v>37</v>
      </c>
      <c r="AG1042" s="7" t="n">
        <v>49</v>
      </c>
      <c r="AH1042" s="7" t="n">
        <v>14</v>
      </c>
      <c r="AI1042" s="7" t="n">
        <v>19</v>
      </c>
      <c r="AJ1042" s="7" t="n">
        <v>6</v>
      </c>
      <c r="AK1042" s="7" t="n">
        <v>8</v>
      </c>
      <c r="AL1042" s="7" t="n">
        <v>19</v>
      </c>
      <c r="AM1042" s="7" t="n">
        <v>22</v>
      </c>
      <c r="AN1042" s="7" t="n">
        <v>8</v>
      </c>
      <c r="AO1042" s="7" t="n">
        <v>11</v>
      </c>
      <c r="AP1042" s="7" t="n">
        <v>0</v>
      </c>
      <c r="AQ1042" s="7" t="n">
        <v>0</v>
      </c>
      <c r="AR1042" s="6" t="s">
        <v>63</v>
      </c>
      <c r="AS1042" s="6" t="s">
        <v>63</v>
      </c>
      <c r="AT1042" s="28"/>
      <c r="AU1042" s="9" t="str">
        <f aca="false">HYPERLINK("https://creighton-primo.hosted.exlibrisgroup.com/primo-explore/search?tab=default_tab&amp;search_scope=EVERYTHING&amp;vid=01CRU&amp;lang=en_US&amp;offset=0&amp;query=any,contains,991002558679702656","Catalog Record")</f>
        <v>Catalog Record</v>
      </c>
      <c r="AV1042" s="9" t="str">
        <f aca="false">HYPERLINK("http://www.worldcat.org/oclc/371272","WorldCat Record")</f>
        <v>WorldCat Record</v>
      </c>
      <c r="AW1042" s="6" t="s">
        <v>6833</v>
      </c>
      <c r="AX1042" s="6" t="s">
        <v>6834</v>
      </c>
      <c r="AY1042" s="6" t="s">
        <v>6835</v>
      </c>
      <c r="AZ1042" s="6" t="s">
        <v>6835</v>
      </c>
      <c r="BA1042" s="6" t="s">
        <v>6836</v>
      </c>
      <c r="BB1042" s="28"/>
      <c r="BC1042" s="6" t="s">
        <v>6837</v>
      </c>
      <c r="BE1042" s="15" t="s">
        <v>2145</v>
      </c>
      <c r="BF1042" s="6" t="s">
        <v>6838</v>
      </c>
    </row>
    <row r="1043" customFormat="false" ht="94" hidden="false" customHeight="false" outlineLevel="0" collapsed="false">
      <c r="A1043" s="26" t="s">
        <v>63</v>
      </c>
      <c r="B1043" s="27" t="s">
        <v>2129</v>
      </c>
      <c r="C1043" s="27" t="s">
        <v>2130</v>
      </c>
      <c r="D1043" s="27" t="s">
        <v>6839</v>
      </c>
      <c r="E1043" s="27" t="s">
        <v>6840</v>
      </c>
      <c r="F1043" s="27" t="s">
        <v>6841</v>
      </c>
      <c r="G1043" s="28"/>
      <c r="H1043" s="6" t="s">
        <v>63</v>
      </c>
      <c r="I1043" s="6" t="s">
        <v>62</v>
      </c>
      <c r="J1043" s="6" t="s">
        <v>63</v>
      </c>
      <c r="K1043" s="6" t="s">
        <v>63</v>
      </c>
      <c r="L1043" s="6" t="s">
        <v>64</v>
      </c>
      <c r="M1043" s="27" t="s">
        <v>6842</v>
      </c>
      <c r="N1043" s="27" t="s">
        <v>6843</v>
      </c>
      <c r="O1043" s="6" t="s">
        <v>2426</v>
      </c>
      <c r="P1043" s="28"/>
      <c r="Q1043" s="6" t="s">
        <v>67</v>
      </c>
      <c r="R1043" s="6" t="s">
        <v>384</v>
      </c>
      <c r="S1043" s="28"/>
      <c r="T1043" s="6" t="s">
        <v>6138</v>
      </c>
      <c r="U1043" s="7" t="n">
        <v>2</v>
      </c>
      <c r="V1043" s="7" t="n">
        <v>2</v>
      </c>
      <c r="W1043" s="8" t="s">
        <v>6844</v>
      </c>
      <c r="X1043" s="8" t="s">
        <v>6844</v>
      </c>
      <c r="Y1043" s="8" t="s">
        <v>6709</v>
      </c>
      <c r="Z1043" s="8" t="s">
        <v>6709</v>
      </c>
      <c r="AA1043" s="7" t="n">
        <v>559</v>
      </c>
      <c r="AB1043" s="7" t="n">
        <v>418</v>
      </c>
      <c r="AC1043" s="7" t="n">
        <v>436</v>
      </c>
      <c r="AD1043" s="7" t="n">
        <v>4</v>
      </c>
      <c r="AE1043" s="7" t="n">
        <v>4</v>
      </c>
      <c r="AF1043" s="7" t="n">
        <v>24</v>
      </c>
      <c r="AG1043" s="7" t="n">
        <v>24</v>
      </c>
      <c r="AH1043" s="7" t="n">
        <v>6</v>
      </c>
      <c r="AI1043" s="7" t="n">
        <v>6</v>
      </c>
      <c r="AJ1043" s="7" t="n">
        <v>8</v>
      </c>
      <c r="AK1043" s="7" t="n">
        <v>8</v>
      </c>
      <c r="AL1043" s="7" t="n">
        <v>15</v>
      </c>
      <c r="AM1043" s="7" t="n">
        <v>15</v>
      </c>
      <c r="AN1043" s="7" t="n">
        <v>3</v>
      </c>
      <c r="AO1043" s="7" t="n">
        <v>3</v>
      </c>
      <c r="AP1043" s="7" t="n">
        <v>0</v>
      </c>
      <c r="AQ1043" s="7" t="n">
        <v>0</v>
      </c>
      <c r="AR1043" s="6" t="s">
        <v>63</v>
      </c>
      <c r="AS1043" s="6" t="s">
        <v>63</v>
      </c>
      <c r="AT1043" s="28"/>
      <c r="AU1043" s="9" t="str">
        <f aca="false">HYPERLINK("https://creighton-primo.hosted.exlibrisgroup.com/primo-explore/search?tab=default_tab&amp;search_scope=EVERYTHING&amp;vid=01CRU&amp;lang=en_US&amp;offset=0&amp;query=any,contains,991003808799702656","Catalog Record")</f>
        <v>Catalog Record</v>
      </c>
      <c r="AV1043" s="9" t="str">
        <f aca="false">HYPERLINK("http://www.worldcat.org/oclc/1532204","WorldCat Record")</f>
        <v>WorldCat Record</v>
      </c>
      <c r="AW1043" s="6" t="s">
        <v>6845</v>
      </c>
      <c r="AX1043" s="6" t="s">
        <v>6846</v>
      </c>
      <c r="AY1043" s="6" t="s">
        <v>6847</v>
      </c>
      <c r="AZ1043" s="6" t="s">
        <v>6847</v>
      </c>
      <c r="BA1043" s="6" t="s">
        <v>6848</v>
      </c>
      <c r="BB1043" s="6" t="s">
        <v>6849</v>
      </c>
      <c r="BC1043" s="6" t="s">
        <v>6850</v>
      </c>
      <c r="BE1043" s="15" t="s">
        <v>2145</v>
      </c>
      <c r="BF1043" s="6" t="s">
        <v>6851</v>
      </c>
    </row>
    <row r="1044" customFormat="false" ht="140" hidden="false" customHeight="false" outlineLevel="0" collapsed="false">
      <c r="A1044" s="26" t="s">
        <v>63</v>
      </c>
      <c r="B1044" s="27" t="s">
        <v>2129</v>
      </c>
      <c r="C1044" s="27" t="s">
        <v>2130</v>
      </c>
      <c r="D1044" s="27" t="s">
        <v>6852</v>
      </c>
      <c r="E1044" s="27" t="s">
        <v>6853</v>
      </c>
      <c r="F1044" s="27" t="s">
        <v>6854</v>
      </c>
      <c r="G1044" s="28"/>
      <c r="H1044" s="6" t="s">
        <v>63</v>
      </c>
      <c r="I1044" s="6" t="s">
        <v>62</v>
      </c>
      <c r="J1044" s="6" t="s">
        <v>63</v>
      </c>
      <c r="K1044" s="6" t="s">
        <v>63</v>
      </c>
      <c r="L1044" s="6" t="s">
        <v>64</v>
      </c>
      <c r="M1044" s="27" t="s">
        <v>6855</v>
      </c>
      <c r="N1044" s="27" t="s">
        <v>6856</v>
      </c>
      <c r="O1044" s="6" t="s">
        <v>2467</v>
      </c>
      <c r="P1044" s="28"/>
      <c r="Q1044" s="6" t="s">
        <v>67</v>
      </c>
      <c r="R1044" s="6" t="s">
        <v>6857</v>
      </c>
      <c r="S1044" s="28"/>
      <c r="T1044" s="6" t="s">
        <v>6138</v>
      </c>
      <c r="U1044" s="7" t="n">
        <v>4</v>
      </c>
      <c r="V1044" s="7" t="n">
        <v>4</v>
      </c>
      <c r="W1044" s="8" t="s">
        <v>6844</v>
      </c>
      <c r="X1044" s="8" t="s">
        <v>6844</v>
      </c>
      <c r="Y1044" s="8" t="s">
        <v>6709</v>
      </c>
      <c r="Z1044" s="8" t="s">
        <v>6709</v>
      </c>
      <c r="AA1044" s="7" t="n">
        <v>195</v>
      </c>
      <c r="AB1044" s="7" t="n">
        <v>142</v>
      </c>
      <c r="AC1044" s="7" t="n">
        <v>218</v>
      </c>
      <c r="AD1044" s="7" t="n">
        <v>2</v>
      </c>
      <c r="AE1044" s="7" t="n">
        <v>2</v>
      </c>
      <c r="AF1044" s="7" t="n">
        <v>8</v>
      </c>
      <c r="AG1044" s="7" t="n">
        <v>15</v>
      </c>
      <c r="AH1044" s="7" t="n">
        <v>0</v>
      </c>
      <c r="AI1044" s="7" t="n">
        <v>1</v>
      </c>
      <c r="AJ1044" s="7" t="n">
        <v>3</v>
      </c>
      <c r="AK1044" s="7" t="n">
        <v>6</v>
      </c>
      <c r="AL1044" s="7" t="n">
        <v>6</v>
      </c>
      <c r="AM1044" s="7" t="n">
        <v>10</v>
      </c>
      <c r="AN1044" s="7" t="n">
        <v>1</v>
      </c>
      <c r="AO1044" s="7" t="n">
        <v>1</v>
      </c>
      <c r="AP1044" s="7" t="n">
        <v>0</v>
      </c>
      <c r="AQ1044" s="7" t="n">
        <v>0</v>
      </c>
      <c r="AR1044" s="6" t="s">
        <v>63</v>
      </c>
      <c r="AS1044" s="6" t="s">
        <v>57</v>
      </c>
      <c r="AT1044" s="9" t="str">
        <f aca="false">HYPERLINK("http://catalog.hathitrust.org/Record/001383654","HathiTrust Record")</f>
        <v>HathiTrust Record</v>
      </c>
      <c r="AU1044" s="9" t="str">
        <f aca="false">HYPERLINK("https://creighton-primo.hosted.exlibrisgroup.com/primo-explore/search?tab=default_tab&amp;search_scope=EVERYTHING&amp;vid=01CRU&amp;lang=en_US&amp;offset=0&amp;query=any,contains,991003397579702656","Catalog Record")</f>
        <v>Catalog Record</v>
      </c>
      <c r="AV1044" s="9" t="str">
        <f aca="false">HYPERLINK("http://www.worldcat.org/oclc/936488","WorldCat Record")</f>
        <v>WorldCat Record</v>
      </c>
      <c r="AW1044" s="6" t="s">
        <v>6858</v>
      </c>
      <c r="AX1044" s="6" t="s">
        <v>6859</v>
      </c>
      <c r="AY1044" s="6" t="s">
        <v>6860</v>
      </c>
      <c r="AZ1044" s="6" t="s">
        <v>6860</v>
      </c>
      <c r="BA1044" s="6" t="s">
        <v>6861</v>
      </c>
      <c r="BB1044" s="28"/>
      <c r="BC1044" s="6" t="s">
        <v>6862</v>
      </c>
      <c r="BE1044" s="15" t="s">
        <v>2145</v>
      </c>
      <c r="BF1044" s="6" t="s">
        <v>6863</v>
      </c>
    </row>
    <row r="1045" customFormat="false" ht="220.5" hidden="false" customHeight="false" outlineLevel="0" collapsed="false">
      <c r="A1045" s="26" t="s">
        <v>63</v>
      </c>
      <c r="B1045" s="27" t="s">
        <v>2129</v>
      </c>
      <c r="C1045" s="27" t="s">
        <v>2130</v>
      </c>
      <c r="D1045" s="27" t="s">
        <v>6864</v>
      </c>
      <c r="E1045" s="27" t="s">
        <v>6865</v>
      </c>
      <c r="F1045" s="27" t="s">
        <v>6866</v>
      </c>
      <c r="G1045" s="28"/>
      <c r="H1045" s="6" t="s">
        <v>63</v>
      </c>
      <c r="I1045" s="6" t="s">
        <v>62</v>
      </c>
      <c r="J1045" s="6" t="s">
        <v>63</v>
      </c>
      <c r="K1045" s="6" t="s">
        <v>63</v>
      </c>
      <c r="L1045" s="6" t="s">
        <v>64</v>
      </c>
      <c r="M1045" s="27" t="s">
        <v>6867</v>
      </c>
      <c r="N1045" s="27" t="s">
        <v>6868</v>
      </c>
      <c r="O1045" s="6" t="s">
        <v>2467</v>
      </c>
      <c r="P1045" s="28"/>
      <c r="Q1045" s="6" t="s">
        <v>67</v>
      </c>
      <c r="R1045" s="6" t="s">
        <v>1059</v>
      </c>
      <c r="S1045" s="28"/>
      <c r="T1045" s="6" t="s">
        <v>6138</v>
      </c>
      <c r="U1045" s="7" t="n">
        <v>2</v>
      </c>
      <c r="V1045" s="7" t="n">
        <v>2</v>
      </c>
      <c r="W1045" s="8" t="s">
        <v>6772</v>
      </c>
      <c r="X1045" s="8" t="s">
        <v>6772</v>
      </c>
      <c r="Y1045" s="8" t="s">
        <v>6709</v>
      </c>
      <c r="Z1045" s="8" t="s">
        <v>6709</v>
      </c>
      <c r="AA1045" s="7" t="n">
        <v>665</v>
      </c>
      <c r="AB1045" s="7" t="n">
        <v>560</v>
      </c>
      <c r="AC1045" s="7" t="n">
        <v>562</v>
      </c>
      <c r="AD1045" s="7" t="n">
        <v>3</v>
      </c>
      <c r="AE1045" s="7" t="n">
        <v>3</v>
      </c>
      <c r="AF1045" s="7" t="n">
        <v>32</v>
      </c>
      <c r="AG1045" s="7" t="n">
        <v>32</v>
      </c>
      <c r="AH1045" s="7" t="n">
        <v>13</v>
      </c>
      <c r="AI1045" s="7" t="n">
        <v>13</v>
      </c>
      <c r="AJ1045" s="7" t="n">
        <v>6</v>
      </c>
      <c r="AK1045" s="7" t="n">
        <v>6</v>
      </c>
      <c r="AL1045" s="7" t="n">
        <v>20</v>
      </c>
      <c r="AM1045" s="7" t="n">
        <v>20</v>
      </c>
      <c r="AN1045" s="7" t="n">
        <v>2</v>
      </c>
      <c r="AO1045" s="7" t="n">
        <v>2</v>
      </c>
      <c r="AP1045" s="7" t="n">
        <v>0</v>
      </c>
      <c r="AQ1045" s="7" t="n">
        <v>0</v>
      </c>
      <c r="AR1045" s="6" t="s">
        <v>63</v>
      </c>
      <c r="AS1045" s="6" t="s">
        <v>57</v>
      </c>
      <c r="AT1045" s="9" t="str">
        <f aca="false">HYPERLINK("http://catalog.hathitrust.org/Record/001383661","HathiTrust Record")</f>
        <v>HathiTrust Record</v>
      </c>
      <c r="AU1045" s="9" t="str">
        <f aca="false">HYPERLINK("https://creighton-primo.hosted.exlibrisgroup.com/primo-explore/search?tab=default_tab&amp;search_scope=EVERYTHING&amp;vid=01CRU&amp;lang=en_US&amp;offset=0&amp;query=any,contains,991002558719702656","Catalog Record")</f>
        <v>Catalog Record</v>
      </c>
      <c r="AV1045" s="9" t="str">
        <f aca="false">HYPERLINK("http://www.worldcat.org/oclc/371273","WorldCat Record")</f>
        <v>WorldCat Record</v>
      </c>
      <c r="AW1045" s="6" t="s">
        <v>6869</v>
      </c>
      <c r="AX1045" s="6" t="s">
        <v>6870</v>
      </c>
      <c r="AY1045" s="6" t="s">
        <v>6871</v>
      </c>
      <c r="AZ1045" s="6" t="s">
        <v>6871</v>
      </c>
      <c r="BA1045" s="6" t="s">
        <v>6872</v>
      </c>
      <c r="BB1045" s="28"/>
      <c r="BC1045" s="6" t="s">
        <v>6873</v>
      </c>
      <c r="BE1045" s="15" t="s">
        <v>2145</v>
      </c>
      <c r="BF1045" s="6" t="s">
        <v>6874</v>
      </c>
    </row>
    <row r="1046" customFormat="false" ht="140" hidden="false" customHeight="false" outlineLevel="0" collapsed="false">
      <c r="A1046" s="26" t="s">
        <v>63</v>
      </c>
      <c r="B1046" s="27" t="s">
        <v>2129</v>
      </c>
      <c r="C1046" s="27" t="s">
        <v>2130</v>
      </c>
      <c r="D1046" s="27" t="s">
        <v>6875</v>
      </c>
      <c r="E1046" s="27" t="s">
        <v>6876</v>
      </c>
      <c r="F1046" s="27" t="s">
        <v>6877</v>
      </c>
      <c r="G1046" s="28"/>
      <c r="H1046" s="6" t="s">
        <v>63</v>
      </c>
      <c r="I1046" s="6" t="s">
        <v>62</v>
      </c>
      <c r="J1046" s="6" t="s">
        <v>63</v>
      </c>
      <c r="K1046" s="6" t="s">
        <v>63</v>
      </c>
      <c r="L1046" s="6" t="s">
        <v>64</v>
      </c>
      <c r="M1046" s="27" t="s">
        <v>6878</v>
      </c>
      <c r="N1046" s="27" t="s">
        <v>6879</v>
      </c>
      <c r="O1046" s="6" t="s">
        <v>6880</v>
      </c>
      <c r="P1046" s="28"/>
      <c r="Q1046" s="6" t="s">
        <v>67</v>
      </c>
      <c r="R1046" s="6" t="s">
        <v>1224</v>
      </c>
      <c r="S1046" s="28"/>
      <c r="T1046" s="6" t="s">
        <v>6138</v>
      </c>
      <c r="U1046" s="7" t="n">
        <v>2</v>
      </c>
      <c r="V1046" s="7" t="n">
        <v>2</v>
      </c>
      <c r="W1046" s="8" t="s">
        <v>6844</v>
      </c>
      <c r="X1046" s="8" t="s">
        <v>6844</v>
      </c>
      <c r="Y1046" s="8" t="s">
        <v>6709</v>
      </c>
      <c r="Z1046" s="8" t="s">
        <v>6709</v>
      </c>
      <c r="AA1046" s="7" t="n">
        <v>140</v>
      </c>
      <c r="AB1046" s="7" t="n">
        <v>110</v>
      </c>
      <c r="AC1046" s="7" t="n">
        <v>270</v>
      </c>
      <c r="AD1046" s="7" t="n">
        <v>4</v>
      </c>
      <c r="AE1046" s="7" t="n">
        <v>4</v>
      </c>
      <c r="AF1046" s="7" t="n">
        <v>9</v>
      </c>
      <c r="AG1046" s="7" t="n">
        <v>15</v>
      </c>
      <c r="AH1046" s="7" t="n">
        <v>3</v>
      </c>
      <c r="AI1046" s="7" t="n">
        <v>6</v>
      </c>
      <c r="AJ1046" s="7" t="n">
        <v>0</v>
      </c>
      <c r="AK1046" s="7" t="n">
        <v>3</v>
      </c>
      <c r="AL1046" s="7" t="n">
        <v>5</v>
      </c>
      <c r="AM1046" s="7" t="n">
        <v>7</v>
      </c>
      <c r="AN1046" s="7" t="n">
        <v>3</v>
      </c>
      <c r="AO1046" s="7" t="n">
        <v>3</v>
      </c>
      <c r="AP1046" s="7" t="n">
        <v>0</v>
      </c>
      <c r="AQ1046" s="7" t="n">
        <v>0</v>
      </c>
      <c r="AR1046" s="6" t="s">
        <v>57</v>
      </c>
      <c r="AS1046" s="6" t="s">
        <v>63</v>
      </c>
      <c r="AT1046" s="9" t="str">
        <f aca="false">HYPERLINK("http://catalog.hathitrust.org/Record/001383662","HathiTrust Record")</f>
        <v>HathiTrust Record</v>
      </c>
      <c r="AU1046" s="9" t="str">
        <f aca="false">HYPERLINK("https://creighton-primo.hosted.exlibrisgroup.com/primo-explore/search?tab=default_tab&amp;search_scope=EVERYTHING&amp;vid=01CRU&amp;lang=en_US&amp;offset=0&amp;query=any,contains,991004597479702656","Catalog Record")</f>
        <v>Catalog Record</v>
      </c>
      <c r="AV1046" s="9" t="str">
        <f aca="false">HYPERLINK("http://www.worldcat.org/oclc/4151403","WorldCat Record")</f>
        <v>WorldCat Record</v>
      </c>
      <c r="AW1046" s="6" t="s">
        <v>6881</v>
      </c>
      <c r="AX1046" s="6" t="s">
        <v>6882</v>
      </c>
      <c r="AY1046" s="6" t="s">
        <v>6883</v>
      </c>
      <c r="AZ1046" s="6" t="s">
        <v>6883</v>
      </c>
      <c r="BA1046" s="6" t="s">
        <v>6884</v>
      </c>
      <c r="BB1046" s="28"/>
      <c r="BC1046" s="6" t="s">
        <v>6885</v>
      </c>
      <c r="BE1046" s="15" t="s">
        <v>2145</v>
      </c>
      <c r="BF1046" s="6" t="s">
        <v>6886</v>
      </c>
    </row>
    <row r="1047" customFormat="false" ht="151.5" hidden="false" customHeight="false" outlineLevel="0" collapsed="false">
      <c r="A1047" s="26" t="s">
        <v>63</v>
      </c>
      <c r="B1047" s="27" t="s">
        <v>2129</v>
      </c>
      <c r="C1047" s="27" t="s">
        <v>2130</v>
      </c>
      <c r="D1047" s="27" t="s">
        <v>6887</v>
      </c>
      <c r="E1047" s="27" t="s">
        <v>6888</v>
      </c>
      <c r="F1047" s="27" t="s">
        <v>6889</v>
      </c>
      <c r="G1047" s="28"/>
      <c r="H1047" s="6" t="s">
        <v>63</v>
      </c>
      <c r="I1047" s="6" t="s">
        <v>62</v>
      </c>
      <c r="J1047" s="6" t="s">
        <v>63</v>
      </c>
      <c r="K1047" s="6" t="s">
        <v>63</v>
      </c>
      <c r="L1047" s="6" t="s">
        <v>64</v>
      </c>
      <c r="M1047" s="27" t="s">
        <v>6890</v>
      </c>
      <c r="N1047" s="27" t="s">
        <v>6891</v>
      </c>
      <c r="O1047" s="6" t="s">
        <v>2693</v>
      </c>
      <c r="P1047" s="28"/>
      <c r="Q1047" s="6" t="s">
        <v>67</v>
      </c>
      <c r="R1047" s="6" t="s">
        <v>802</v>
      </c>
      <c r="S1047" s="27" t="s">
        <v>6892</v>
      </c>
      <c r="T1047" s="6" t="s">
        <v>6138</v>
      </c>
      <c r="U1047" s="7" t="n">
        <v>1</v>
      </c>
      <c r="V1047" s="7" t="n">
        <v>1</v>
      </c>
      <c r="W1047" s="8" t="s">
        <v>6893</v>
      </c>
      <c r="X1047" s="8" t="s">
        <v>6893</v>
      </c>
      <c r="Y1047" s="8" t="s">
        <v>6709</v>
      </c>
      <c r="Z1047" s="8" t="s">
        <v>6709</v>
      </c>
      <c r="AA1047" s="7" t="n">
        <v>392</v>
      </c>
      <c r="AB1047" s="7" t="n">
        <v>305</v>
      </c>
      <c r="AC1047" s="7" t="n">
        <v>322</v>
      </c>
      <c r="AD1047" s="7" t="n">
        <v>3</v>
      </c>
      <c r="AE1047" s="7" t="n">
        <v>3</v>
      </c>
      <c r="AF1047" s="7" t="n">
        <v>24</v>
      </c>
      <c r="AG1047" s="7" t="n">
        <v>25</v>
      </c>
      <c r="AH1047" s="7" t="n">
        <v>8</v>
      </c>
      <c r="AI1047" s="7" t="n">
        <v>9</v>
      </c>
      <c r="AJ1047" s="7" t="n">
        <v>6</v>
      </c>
      <c r="AK1047" s="7" t="n">
        <v>7</v>
      </c>
      <c r="AL1047" s="7" t="n">
        <v>15</v>
      </c>
      <c r="AM1047" s="7" t="n">
        <v>15</v>
      </c>
      <c r="AN1047" s="7" t="n">
        <v>2</v>
      </c>
      <c r="AO1047" s="7" t="n">
        <v>2</v>
      </c>
      <c r="AP1047" s="7" t="n">
        <v>0</v>
      </c>
      <c r="AQ1047" s="7" t="n">
        <v>0</v>
      </c>
      <c r="AR1047" s="6" t="s">
        <v>63</v>
      </c>
      <c r="AS1047" s="6" t="s">
        <v>57</v>
      </c>
      <c r="AT1047" s="9" t="str">
        <f aca="false">HYPERLINK("http://catalog.hathitrust.org/Record/001383664","HathiTrust Record")</f>
        <v>HathiTrust Record</v>
      </c>
      <c r="AU1047" s="9" t="str">
        <f aca="false">HYPERLINK("https://creighton-primo.hosted.exlibrisgroup.com/primo-explore/search?tab=default_tab&amp;search_scope=EVERYTHING&amp;vid=01CRU&amp;lang=en_US&amp;offset=0&amp;query=any,contains,991000094829702656","Catalog Record")</f>
        <v>Catalog Record</v>
      </c>
      <c r="AV1047" s="9" t="str">
        <f aca="false">HYPERLINK("http://www.worldcat.org/oclc/41110","WorldCat Record")</f>
        <v>WorldCat Record</v>
      </c>
      <c r="AW1047" s="6" t="s">
        <v>6894</v>
      </c>
      <c r="AX1047" s="6" t="s">
        <v>6895</v>
      </c>
      <c r="AY1047" s="6" t="s">
        <v>6896</v>
      </c>
      <c r="AZ1047" s="6" t="s">
        <v>6896</v>
      </c>
      <c r="BA1047" s="6" t="s">
        <v>6897</v>
      </c>
      <c r="BB1047" s="28"/>
      <c r="BC1047" s="6" t="s">
        <v>6898</v>
      </c>
      <c r="BE1047" s="15" t="s">
        <v>2145</v>
      </c>
      <c r="BF1047" s="6" t="s">
        <v>6899</v>
      </c>
    </row>
    <row r="1048" customFormat="false" ht="186" hidden="false" customHeight="false" outlineLevel="0" collapsed="false">
      <c r="A1048" s="26" t="s">
        <v>57</v>
      </c>
      <c r="B1048" s="27" t="s">
        <v>2129</v>
      </c>
      <c r="C1048" s="27" t="s">
        <v>2130</v>
      </c>
      <c r="D1048" s="27" t="s">
        <v>6900</v>
      </c>
      <c r="E1048" s="27" t="s">
        <v>6901</v>
      </c>
      <c r="F1048" s="27" t="s">
        <v>6902</v>
      </c>
      <c r="G1048" s="28"/>
      <c r="H1048" s="6" t="s">
        <v>63</v>
      </c>
      <c r="I1048" s="6" t="s">
        <v>62</v>
      </c>
      <c r="J1048" s="6" t="s">
        <v>63</v>
      </c>
      <c r="K1048" s="6" t="s">
        <v>63</v>
      </c>
      <c r="L1048" s="6" t="s">
        <v>64</v>
      </c>
      <c r="M1048" s="28"/>
      <c r="N1048" s="27" t="s">
        <v>6903</v>
      </c>
      <c r="O1048" s="6" t="s">
        <v>137</v>
      </c>
      <c r="P1048" s="28"/>
      <c r="Q1048" s="6" t="s">
        <v>67</v>
      </c>
      <c r="R1048" s="6" t="s">
        <v>222</v>
      </c>
      <c r="S1048" s="27" t="s">
        <v>6904</v>
      </c>
      <c r="T1048" s="6" t="s">
        <v>6138</v>
      </c>
      <c r="U1048" s="7" t="n">
        <v>4</v>
      </c>
      <c r="V1048" s="7" t="n">
        <v>4</v>
      </c>
      <c r="W1048" s="8" t="s">
        <v>6905</v>
      </c>
      <c r="X1048" s="8" t="s">
        <v>6905</v>
      </c>
      <c r="Y1048" s="8" t="s">
        <v>6906</v>
      </c>
      <c r="Z1048" s="8" t="s">
        <v>6906</v>
      </c>
      <c r="AA1048" s="7" t="n">
        <v>634</v>
      </c>
      <c r="AB1048" s="7" t="n">
        <v>531</v>
      </c>
      <c r="AC1048" s="7" t="n">
        <v>532</v>
      </c>
      <c r="AD1048" s="7" t="n">
        <v>3</v>
      </c>
      <c r="AE1048" s="7" t="n">
        <v>3</v>
      </c>
      <c r="AF1048" s="7" t="n">
        <v>22</v>
      </c>
      <c r="AG1048" s="7" t="n">
        <v>22</v>
      </c>
      <c r="AH1048" s="7" t="n">
        <v>10</v>
      </c>
      <c r="AI1048" s="7" t="n">
        <v>10</v>
      </c>
      <c r="AJ1048" s="7" t="n">
        <v>6</v>
      </c>
      <c r="AK1048" s="7" t="n">
        <v>6</v>
      </c>
      <c r="AL1048" s="7" t="n">
        <v>9</v>
      </c>
      <c r="AM1048" s="7" t="n">
        <v>9</v>
      </c>
      <c r="AN1048" s="7" t="n">
        <v>2</v>
      </c>
      <c r="AO1048" s="7" t="n">
        <v>2</v>
      </c>
      <c r="AP1048" s="7" t="n">
        <v>0</v>
      </c>
      <c r="AQ1048" s="7" t="n">
        <v>0</v>
      </c>
      <c r="AR1048" s="6" t="s">
        <v>63</v>
      </c>
      <c r="AS1048" s="6" t="s">
        <v>63</v>
      </c>
      <c r="AT1048" s="28"/>
      <c r="AU1048" s="9" t="str">
        <f aca="false">HYPERLINK("https://creighton-primo.hosted.exlibrisgroup.com/primo-explore/search?tab=default_tab&amp;search_scope=EVERYTHING&amp;vid=01CRU&amp;lang=en_US&amp;offset=0&amp;query=any,contains,991002701049702656","Catalog Record")</f>
        <v>Catalog Record</v>
      </c>
      <c r="AV1048" s="9" t="str">
        <f aca="false">HYPERLINK("http://www.worldcat.org/oclc/35262450","WorldCat Record")</f>
        <v>WorldCat Record</v>
      </c>
      <c r="AW1048" s="6" t="s">
        <v>6907</v>
      </c>
      <c r="AX1048" s="6" t="s">
        <v>6908</v>
      </c>
      <c r="AY1048" s="6" t="s">
        <v>6909</v>
      </c>
      <c r="AZ1048" s="6" t="s">
        <v>6909</v>
      </c>
      <c r="BA1048" s="6" t="s">
        <v>6910</v>
      </c>
      <c r="BB1048" s="6" t="s">
        <v>6911</v>
      </c>
      <c r="BC1048" s="6" t="s">
        <v>6912</v>
      </c>
      <c r="BE1048" s="15" t="s">
        <v>2145</v>
      </c>
      <c r="BF1048" s="6" t="s">
        <v>6913</v>
      </c>
    </row>
    <row r="1049" customFormat="false" ht="163" hidden="false" customHeight="false" outlineLevel="0" collapsed="false">
      <c r="A1049" s="26" t="s">
        <v>63</v>
      </c>
      <c r="B1049" s="27" t="s">
        <v>2129</v>
      </c>
      <c r="C1049" s="27" t="s">
        <v>2130</v>
      </c>
      <c r="D1049" s="27" t="s">
        <v>6914</v>
      </c>
      <c r="E1049" s="27" t="s">
        <v>6915</v>
      </c>
      <c r="F1049" s="27" t="s">
        <v>6916</v>
      </c>
      <c r="G1049" s="28"/>
      <c r="H1049" s="6" t="s">
        <v>63</v>
      </c>
      <c r="I1049" s="6" t="s">
        <v>62</v>
      </c>
      <c r="J1049" s="6" t="s">
        <v>63</v>
      </c>
      <c r="K1049" s="6" t="s">
        <v>63</v>
      </c>
      <c r="L1049" s="6" t="s">
        <v>64</v>
      </c>
      <c r="M1049" s="27" t="s">
        <v>6917</v>
      </c>
      <c r="N1049" s="27" t="s">
        <v>6918</v>
      </c>
      <c r="O1049" s="6" t="s">
        <v>152</v>
      </c>
      <c r="P1049" s="27" t="s">
        <v>6919</v>
      </c>
      <c r="Q1049" s="6" t="s">
        <v>67</v>
      </c>
      <c r="R1049" s="6" t="s">
        <v>68</v>
      </c>
      <c r="S1049" s="28"/>
      <c r="T1049" s="6" t="s">
        <v>6138</v>
      </c>
      <c r="U1049" s="7" t="n">
        <v>7</v>
      </c>
      <c r="V1049" s="7" t="n">
        <v>7</v>
      </c>
      <c r="W1049" s="8" t="s">
        <v>6920</v>
      </c>
      <c r="X1049" s="8" t="s">
        <v>6920</v>
      </c>
      <c r="Y1049" s="8" t="s">
        <v>6405</v>
      </c>
      <c r="Z1049" s="8" t="s">
        <v>6405</v>
      </c>
      <c r="AA1049" s="7" t="n">
        <v>73</v>
      </c>
      <c r="AB1049" s="7" t="n">
        <v>59</v>
      </c>
      <c r="AC1049" s="7" t="n">
        <v>686</v>
      </c>
      <c r="AD1049" s="7" t="n">
        <v>1</v>
      </c>
      <c r="AE1049" s="7" t="n">
        <v>4</v>
      </c>
      <c r="AF1049" s="7" t="n">
        <v>2</v>
      </c>
      <c r="AG1049" s="7" t="n">
        <v>23</v>
      </c>
      <c r="AH1049" s="7" t="n">
        <v>1</v>
      </c>
      <c r="AI1049" s="7" t="n">
        <v>10</v>
      </c>
      <c r="AJ1049" s="7" t="n">
        <v>0</v>
      </c>
      <c r="AK1049" s="7" t="n">
        <v>6</v>
      </c>
      <c r="AL1049" s="7" t="n">
        <v>1</v>
      </c>
      <c r="AM1049" s="7" t="n">
        <v>10</v>
      </c>
      <c r="AN1049" s="7" t="n">
        <v>0</v>
      </c>
      <c r="AO1049" s="7" t="n">
        <v>2</v>
      </c>
      <c r="AP1049" s="7" t="n">
        <v>0</v>
      </c>
      <c r="AQ1049" s="7" t="n">
        <v>0</v>
      </c>
      <c r="AR1049" s="6" t="s">
        <v>63</v>
      </c>
      <c r="AS1049" s="6" t="s">
        <v>57</v>
      </c>
      <c r="AT1049" s="9" t="str">
        <f aca="false">HYPERLINK("http://catalog.hathitrust.org/Record/102071923","HathiTrust Record")</f>
        <v>HathiTrust Record</v>
      </c>
      <c r="AU1049" s="9" t="str">
        <f aca="false">HYPERLINK("https://creighton-primo.hosted.exlibrisgroup.com/primo-explore/search?tab=default_tab&amp;search_scope=EVERYTHING&amp;vid=01CRU&amp;lang=en_US&amp;offset=0&amp;query=any,contains,991005404639702656","Catalog Record")</f>
        <v>Catalog Record</v>
      </c>
      <c r="AV1049" s="9" t="str">
        <f aca="false">HYPERLINK("http://www.worldcat.org/oclc/11313159","WorldCat Record")</f>
        <v>WorldCat Record</v>
      </c>
      <c r="AW1049" s="6" t="s">
        <v>6921</v>
      </c>
      <c r="AX1049" s="6" t="s">
        <v>6922</v>
      </c>
      <c r="AY1049" s="6" t="s">
        <v>6923</v>
      </c>
      <c r="AZ1049" s="6" t="s">
        <v>6923</v>
      </c>
      <c r="BA1049" s="6" t="s">
        <v>6924</v>
      </c>
      <c r="BB1049" s="6" t="s">
        <v>6925</v>
      </c>
      <c r="BC1049" s="6" t="s">
        <v>6926</v>
      </c>
      <c r="BE1049" s="15" t="s">
        <v>2145</v>
      </c>
      <c r="BF1049" s="6" t="s">
        <v>6927</v>
      </c>
    </row>
    <row r="1050" customFormat="false" ht="209" hidden="false" customHeight="false" outlineLevel="0" collapsed="false">
      <c r="A1050" s="26" t="s">
        <v>63</v>
      </c>
      <c r="B1050" s="27" t="s">
        <v>2129</v>
      </c>
      <c r="C1050" s="27" t="s">
        <v>2130</v>
      </c>
      <c r="D1050" s="27" t="s">
        <v>6928</v>
      </c>
      <c r="E1050" s="27" t="s">
        <v>6929</v>
      </c>
      <c r="F1050" s="27" t="s">
        <v>6930</v>
      </c>
      <c r="G1050" s="28"/>
      <c r="H1050" s="6" t="s">
        <v>63</v>
      </c>
      <c r="I1050" s="6" t="s">
        <v>62</v>
      </c>
      <c r="J1050" s="6" t="s">
        <v>63</v>
      </c>
      <c r="K1050" s="6" t="s">
        <v>63</v>
      </c>
      <c r="L1050" s="6" t="s">
        <v>64</v>
      </c>
      <c r="M1050" s="27" t="s">
        <v>6931</v>
      </c>
      <c r="N1050" s="27" t="s">
        <v>6932</v>
      </c>
      <c r="O1050" s="6" t="s">
        <v>2343</v>
      </c>
      <c r="P1050" s="28"/>
      <c r="Q1050" s="6" t="s">
        <v>67</v>
      </c>
      <c r="R1050" s="6" t="s">
        <v>1108</v>
      </c>
      <c r="S1050" s="28"/>
      <c r="T1050" s="6" t="s">
        <v>6138</v>
      </c>
      <c r="U1050" s="7" t="n">
        <v>6</v>
      </c>
      <c r="V1050" s="7" t="n">
        <v>6</v>
      </c>
      <c r="W1050" s="8" t="s">
        <v>6933</v>
      </c>
      <c r="X1050" s="8" t="s">
        <v>6933</v>
      </c>
      <c r="Y1050" s="8" t="s">
        <v>6405</v>
      </c>
      <c r="Z1050" s="8" t="s">
        <v>6405</v>
      </c>
      <c r="AA1050" s="7" t="n">
        <v>158</v>
      </c>
      <c r="AB1050" s="7" t="n">
        <v>148</v>
      </c>
      <c r="AC1050" s="7" t="n">
        <v>420</v>
      </c>
      <c r="AD1050" s="7" t="n">
        <v>3</v>
      </c>
      <c r="AE1050" s="7" t="n">
        <v>4</v>
      </c>
      <c r="AF1050" s="7" t="n">
        <v>10</v>
      </c>
      <c r="AG1050" s="7" t="n">
        <v>20</v>
      </c>
      <c r="AH1050" s="7" t="n">
        <v>3</v>
      </c>
      <c r="AI1050" s="7" t="n">
        <v>7</v>
      </c>
      <c r="AJ1050" s="7" t="n">
        <v>3</v>
      </c>
      <c r="AK1050" s="7" t="n">
        <v>4</v>
      </c>
      <c r="AL1050" s="7" t="n">
        <v>5</v>
      </c>
      <c r="AM1050" s="7" t="n">
        <v>10</v>
      </c>
      <c r="AN1050" s="7" t="n">
        <v>2</v>
      </c>
      <c r="AO1050" s="7" t="n">
        <v>3</v>
      </c>
      <c r="AP1050" s="7" t="n">
        <v>0</v>
      </c>
      <c r="AQ1050" s="7" t="n">
        <v>0</v>
      </c>
      <c r="AR1050" s="6" t="s">
        <v>63</v>
      </c>
      <c r="AS1050" s="6" t="s">
        <v>57</v>
      </c>
      <c r="AT1050" s="9" t="str">
        <f aca="false">HYPERLINK("http://catalog.hathitrust.org/Record/000142275","HathiTrust Record")</f>
        <v>HathiTrust Record</v>
      </c>
      <c r="AU1050" s="9" t="str">
        <f aca="false">HYPERLINK("https://creighton-primo.hosted.exlibrisgroup.com/primo-explore/search?tab=default_tab&amp;search_scope=EVERYTHING&amp;vid=01CRU&amp;lang=en_US&amp;offset=0&amp;query=any,contains,991005079609702656","Catalog Record")</f>
        <v>Catalog Record</v>
      </c>
      <c r="AV1050" s="9" t="str">
        <f aca="false">HYPERLINK("http://www.worldcat.org/oclc/7170073","WorldCat Record")</f>
        <v>WorldCat Record</v>
      </c>
      <c r="AW1050" s="6" t="s">
        <v>6934</v>
      </c>
      <c r="AX1050" s="6" t="s">
        <v>6935</v>
      </c>
      <c r="AY1050" s="6" t="s">
        <v>6936</v>
      </c>
      <c r="AZ1050" s="6" t="s">
        <v>6936</v>
      </c>
      <c r="BA1050" s="6" t="s">
        <v>6937</v>
      </c>
      <c r="BB1050" s="6" t="s">
        <v>6938</v>
      </c>
      <c r="BC1050" s="6" t="s">
        <v>6939</v>
      </c>
      <c r="BE1050" s="15" t="s">
        <v>2145</v>
      </c>
      <c r="BF1050" s="6" t="s">
        <v>6940</v>
      </c>
    </row>
    <row r="1051" customFormat="false" ht="59.5" hidden="false" customHeight="false" outlineLevel="0" collapsed="false">
      <c r="A1051" s="26" t="s">
        <v>63</v>
      </c>
      <c r="B1051" s="27" t="s">
        <v>2129</v>
      </c>
      <c r="C1051" s="27" t="s">
        <v>2130</v>
      </c>
      <c r="D1051" s="27" t="s">
        <v>6941</v>
      </c>
      <c r="E1051" s="27" t="s">
        <v>6942</v>
      </c>
      <c r="F1051" s="27" t="s">
        <v>6943</v>
      </c>
      <c r="G1051" s="28"/>
      <c r="H1051" s="6" t="s">
        <v>63</v>
      </c>
      <c r="I1051" s="6" t="s">
        <v>62</v>
      </c>
      <c r="J1051" s="6" t="s">
        <v>63</v>
      </c>
      <c r="K1051" s="6" t="s">
        <v>63</v>
      </c>
      <c r="L1051" s="6" t="s">
        <v>64</v>
      </c>
      <c r="M1051" s="27" t="s">
        <v>6944</v>
      </c>
      <c r="N1051" s="27" t="s">
        <v>6945</v>
      </c>
      <c r="O1051" s="6" t="s">
        <v>264</v>
      </c>
      <c r="P1051" s="28"/>
      <c r="Q1051" s="6" t="s">
        <v>67</v>
      </c>
      <c r="R1051" s="6" t="s">
        <v>68</v>
      </c>
      <c r="S1051" s="28"/>
      <c r="T1051" s="6" t="s">
        <v>6138</v>
      </c>
      <c r="U1051" s="7" t="n">
        <v>8</v>
      </c>
      <c r="V1051" s="7" t="n">
        <v>8</v>
      </c>
      <c r="W1051" s="8" t="s">
        <v>6946</v>
      </c>
      <c r="X1051" s="8" t="s">
        <v>6946</v>
      </c>
      <c r="Y1051" s="8" t="s">
        <v>6522</v>
      </c>
      <c r="Z1051" s="8" t="s">
        <v>6522</v>
      </c>
      <c r="AA1051" s="7" t="n">
        <v>734</v>
      </c>
      <c r="AB1051" s="7" t="n">
        <v>663</v>
      </c>
      <c r="AC1051" s="7" t="n">
        <v>1229</v>
      </c>
      <c r="AD1051" s="7" t="n">
        <v>4</v>
      </c>
      <c r="AE1051" s="7" t="n">
        <v>6</v>
      </c>
      <c r="AF1051" s="7" t="n">
        <v>22</v>
      </c>
      <c r="AG1051" s="7" t="n">
        <v>36</v>
      </c>
      <c r="AH1051" s="7" t="n">
        <v>7</v>
      </c>
      <c r="AI1051" s="7" t="n">
        <v>18</v>
      </c>
      <c r="AJ1051" s="7" t="n">
        <v>6</v>
      </c>
      <c r="AK1051" s="7" t="n">
        <v>8</v>
      </c>
      <c r="AL1051" s="7" t="n">
        <v>13</v>
      </c>
      <c r="AM1051" s="7" t="n">
        <v>18</v>
      </c>
      <c r="AN1051" s="7" t="n">
        <v>3</v>
      </c>
      <c r="AO1051" s="7" t="n">
        <v>4</v>
      </c>
      <c r="AP1051" s="7" t="n">
        <v>0</v>
      </c>
      <c r="AQ1051" s="7" t="n">
        <v>0</v>
      </c>
      <c r="AR1051" s="6" t="s">
        <v>63</v>
      </c>
      <c r="AS1051" s="6" t="s">
        <v>63</v>
      </c>
      <c r="AT1051" s="28"/>
      <c r="AU1051" s="9" t="str">
        <f aca="false">HYPERLINK("https://creighton-primo.hosted.exlibrisgroup.com/primo-explore/search?tab=default_tab&amp;search_scope=EVERYTHING&amp;vid=01CRU&amp;lang=en_US&amp;offset=0&amp;query=any,contains,991000355349702656","Catalog Record")</f>
        <v>Catalog Record</v>
      </c>
      <c r="AV1051" s="9" t="str">
        <f aca="false">HYPERLINK("http://www.worldcat.org/oclc/70512","WorldCat Record")</f>
        <v>WorldCat Record</v>
      </c>
      <c r="AW1051" s="6" t="s">
        <v>6947</v>
      </c>
      <c r="AX1051" s="6" t="s">
        <v>6948</v>
      </c>
      <c r="AY1051" s="6" t="s">
        <v>6949</v>
      </c>
      <c r="AZ1051" s="6" t="s">
        <v>6949</v>
      </c>
      <c r="BA1051" s="6" t="s">
        <v>6950</v>
      </c>
      <c r="BB1051" s="28"/>
      <c r="BC1051" s="6" t="s">
        <v>6951</v>
      </c>
      <c r="BE1051" s="15" t="s">
        <v>2145</v>
      </c>
      <c r="BF1051" s="6" t="s">
        <v>6952</v>
      </c>
    </row>
    <row r="1052" customFormat="false" ht="82.5" hidden="false" customHeight="false" outlineLevel="0" collapsed="false">
      <c r="A1052" s="26" t="s">
        <v>63</v>
      </c>
      <c r="B1052" s="27" t="s">
        <v>2129</v>
      </c>
      <c r="C1052" s="27" t="s">
        <v>2130</v>
      </c>
      <c r="D1052" s="27" t="s">
        <v>6953</v>
      </c>
      <c r="E1052" s="27" t="s">
        <v>6954</v>
      </c>
      <c r="F1052" s="27" t="s">
        <v>6955</v>
      </c>
      <c r="G1052" s="28"/>
      <c r="H1052" s="6" t="s">
        <v>63</v>
      </c>
      <c r="I1052" s="6" t="s">
        <v>62</v>
      </c>
      <c r="J1052" s="6" t="s">
        <v>63</v>
      </c>
      <c r="K1052" s="6" t="s">
        <v>57</v>
      </c>
      <c r="L1052" s="6" t="s">
        <v>64</v>
      </c>
      <c r="M1052" s="27" t="s">
        <v>6956</v>
      </c>
      <c r="N1052" s="27" t="s">
        <v>6957</v>
      </c>
      <c r="O1052" s="6" t="s">
        <v>3094</v>
      </c>
      <c r="P1052" s="28"/>
      <c r="Q1052" s="6" t="s">
        <v>67</v>
      </c>
      <c r="R1052" s="6" t="s">
        <v>318</v>
      </c>
      <c r="S1052" s="27" t="s">
        <v>6958</v>
      </c>
      <c r="T1052" s="6" t="s">
        <v>6138</v>
      </c>
      <c r="U1052" s="7" t="n">
        <v>1</v>
      </c>
      <c r="V1052" s="7" t="n">
        <v>1</v>
      </c>
      <c r="W1052" s="8" t="s">
        <v>6959</v>
      </c>
      <c r="X1052" s="8" t="s">
        <v>6959</v>
      </c>
      <c r="Y1052" s="8" t="s">
        <v>6960</v>
      </c>
      <c r="Z1052" s="8" t="s">
        <v>6960</v>
      </c>
      <c r="AA1052" s="7" t="n">
        <v>605</v>
      </c>
      <c r="AB1052" s="7" t="n">
        <v>513</v>
      </c>
      <c r="AC1052" s="7" t="n">
        <v>847</v>
      </c>
      <c r="AD1052" s="7" t="n">
        <v>4</v>
      </c>
      <c r="AE1052" s="7" t="n">
        <v>7</v>
      </c>
      <c r="AF1052" s="7" t="n">
        <v>25</v>
      </c>
      <c r="AG1052" s="7" t="n">
        <v>42</v>
      </c>
      <c r="AH1052" s="7" t="n">
        <v>11</v>
      </c>
      <c r="AI1052" s="7" t="n">
        <v>17</v>
      </c>
      <c r="AJ1052" s="7" t="n">
        <v>4</v>
      </c>
      <c r="AK1052" s="7" t="n">
        <v>9</v>
      </c>
      <c r="AL1052" s="7" t="n">
        <v>13</v>
      </c>
      <c r="AM1052" s="7" t="n">
        <v>23</v>
      </c>
      <c r="AN1052" s="7" t="n">
        <v>3</v>
      </c>
      <c r="AO1052" s="7" t="n">
        <v>5</v>
      </c>
      <c r="AP1052" s="7" t="n">
        <v>0</v>
      </c>
      <c r="AQ1052" s="7" t="n">
        <v>0</v>
      </c>
      <c r="AR1052" s="6" t="s">
        <v>63</v>
      </c>
      <c r="AS1052" s="6" t="s">
        <v>63</v>
      </c>
      <c r="AT1052" s="9" t="str">
        <f aca="false">HYPERLINK("http://catalog.hathitrust.org/Record/001395873","HathiTrust Record")</f>
        <v>HathiTrust Record</v>
      </c>
      <c r="AU1052" s="9" t="str">
        <f aca="false">HYPERLINK("https://creighton-primo.hosted.exlibrisgroup.com/primo-explore/search?tab=default_tab&amp;search_scope=EVERYTHING&amp;vid=01CRU&amp;lang=en_US&amp;offset=0&amp;query=any,contains,991003709209702656","Catalog Record")</f>
        <v>Catalog Record</v>
      </c>
      <c r="AV1052" s="9" t="str">
        <f aca="false">HYPERLINK("http://www.worldcat.org/oclc/371231","WorldCat Record")</f>
        <v>WorldCat Record</v>
      </c>
      <c r="AW1052" s="6" t="s">
        <v>6961</v>
      </c>
      <c r="AX1052" s="6" t="s">
        <v>6962</v>
      </c>
      <c r="AY1052" s="6" t="s">
        <v>6963</v>
      </c>
      <c r="AZ1052" s="6" t="s">
        <v>6963</v>
      </c>
      <c r="BA1052" s="6" t="s">
        <v>6964</v>
      </c>
      <c r="BB1052" s="28"/>
      <c r="BC1052" s="6" t="s">
        <v>6965</v>
      </c>
      <c r="BE1052" s="15" t="s">
        <v>2145</v>
      </c>
      <c r="BF1052" s="6" t="s">
        <v>6966</v>
      </c>
    </row>
    <row r="1053" customFormat="false" ht="71" hidden="false" customHeight="false" outlineLevel="0" collapsed="false">
      <c r="A1053" s="26" t="s">
        <v>63</v>
      </c>
      <c r="B1053" s="27" t="s">
        <v>2129</v>
      </c>
      <c r="C1053" s="27" t="s">
        <v>2130</v>
      </c>
      <c r="D1053" s="27" t="s">
        <v>6967</v>
      </c>
      <c r="E1053" s="27" t="s">
        <v>6968</v>
      </c>
      <c r="F1053" s="27" t="s">
        <v>6969</v>
      </c>
      <c r="G1053" s="28"/>
      <c r="H1053" s="6" t="s">
        <v>63</v>
      </c>
      <c r="I1053" s="6" t="s">
        <v>62</v>
      </c>
      <c r="J1053" s="6" t="s">
        <v>63</v>
      </c>
      <c r="K1053" s="6" t="s">
        <v>63</v>
      </c>
      <c r="L1053" s="6" t="s">
        <v>64</v>
      </c>
      <c r="M1053" s="27" t="s">
        <v>6970</v>
      </c>
      <c r="N1053" s="27" t="s">
        <v>6971</v>
      </c>
      <c r="O1053" s="6" t="s">
        <v>3340</v>
      </c>
      <c r="P1053" s="28"/>
      <c r="Q1053" s="6" t="s">
        <v>67</v>
      </c>
      <c r="R1053" s="6" t="s">
        <v>222</v>
      </c>
      <c r="S1053" s="27" t="s">
        <v>6972</v>
      </c>
      <c r="T1053" s="6" t="s">
        <v>6138</v>
      </c>
      <c r="U1053" s="7" t="n">
        <v>2</v>
      </c>
      <c r="V1053" s="7" t="n">
        <v>2</v>
      </c>
      <c r="W1053" s="8" t="s">
        <v>6973</v>
      </c>
      <c r="X1053" s="8" t="s">
        <v>6973</v>
      </c>
      <c r="Y1053" s="8" t="s">
        <v>6974</v>
      </c>
      <c r="Z1053" s="8" t="s">
        <v>6974</v>
      </c>
      <c r="AA1053" s="7" t="n">
        <v>721</v>
      </c>
      <c r="AB1053" s="7" t="n">
        <v>634</v>
      </c>
      <c r="AC1053" s="7" t="n">
        <v>714</v>
      </c>
      <c r="AD1053" s="7" t="n">
        <v>5</v>
      </c>
      <c r="AE1053" s="7" t="n">
        <v>6</v>
      </c>
      <c r="AF1053" s="7" t="n">
        <v>24</v>
      </c>
      <c r="AG1053" s="7" t="n">
        <v>29</v>
      </c>
      <c r="AH1053" s="7" t="n">
        <v>9</v>
      </c>
      <c r="AI1053" s="7" t="n">
        <v>9</v>
      </c>
      <c r="AJ1053" s="7" t="n">
        <v>5</v>
      </c>
      <c r="AK1053" s="7" t="n">
        <v>8</v>
      </c>
      <c r="AL1053" s="7" t="n">
        <v>12</v>
      </c>
      <c r="AM1053" s="7" t="n">
        <v>15</v>
      </c>
      <c r="AN1053" s="7" t="n">
        <v>4</v>
      </c>
      <c r="AO1053" s="7" t="n">
        <v>5</v>
      </c>
      <c r="AP1053" s="7" t="n">
        <v>0</v>
      </c>
      <c r="AQ1053" s="7" t="n">
        <v>0</v>
      </c>
      <c r="AR1053" s="6" t="s">
        <v>63</v>
      </c>
      <c r="AS1053" s="6" t="s">
        <v>57</v>
      </c>
      <c r="AT1053" s="9" t="str">
        <f aca="false">HYPERLINK("http://catalog.hathitrust.org/Record/000294865","HathiTrust Record")</f>
        <v>HathiTrust Record</v>
      </c>
      <c r="AU1053" s="9" t="str">
        <f aca="false">HYPERLINK("https://creighton-primo.hosted.exlibrisgroup.com/primo-explore/search?tab=default_tab&amp;search_scope=EVERYTHING&amp;vid=01CRU&amp;lang=en_US&amp;offset=0&amp;query=any,contains,991004375149702656","Catalog Record")</f>
        <v>Catalog Record</v>
      </c>
      <c r="AV1053" s="9" t="str">
        <f aca="false">HYPERLINK("http://www.worldcat.org/oclc/3204415","WorldCat Record")</f>
        <v>WorldCat Record</v>
      </c>
      <c r="AW1053" s="6" t="s">
        <v>6975</v>
      </c>
      <c r="AX1053" s="6" t="s">
        <v>6976</v>
      </c>
      <c r="AY1053" s="6" t="s">
        <v>6977</v>
      </c>
      <c r="AZ1053" s="6" t="s">
        <v>6977</v>
      </c>
      <c r="BA1053" s="6" t="s">
        <v>6978</v>
      </c>
      <c r="BB1053" s="6" t="s">
        <v>6979</v>
      </c>
      <c r="BC1053" s="6" t="s">
        <v>6980</v>
      </c>
      <c r="BE1053" s="15" t="s">
        <v>2145</v>
      </c>
      <c r="BF1053" s="6" t="s">
        <v>6981</v>
      </c>
    </row>
    <row r="1054" customFormat="false" ht="71" hidden="false" customHeight="false" outlineLevel="0" collapsed="false">
      <c r="A1054" s="26" t="s">
        <v>63</v>
      </c>
      <c r="B1054" s="27" t="s">
        <v>2129</v>
      </c>
      <c r="C1054" s="27" t="s">
        <v>2130</v>
      </c>
      <c r="D1054" s="27" t="s">
        <v>6982</v>
      </c>
      <c r="E1054" s="27" t="s">
        <v>6983</v>
      </c>
      <c r="F1054" s="27" t="s">
        <v>6984</v>
      </c>
      <c r="G1054" s="28"/>
      <c r="H1054" s="6" t="s">
        <v>63</v>
      </c>
      <c r="I1054" s="6" t="s">
        <v>62</v>
      </c>
      <c r="J1054" s="6" t="s">
        <v>63</v>
      </c>
      <c r="K1054" s="6" t="s">
        <v>63</v>
      </c>
      <c r="L1054" s="6" t="s">
        <v>64</v>
      </c>
      <c r="M1054" s="27" t="s">
        <v>6985</v>
      </c>
      <c r="N1054" s="27" t="s">
        <v>6986</v>
      </c>
      <c r="O1054" s="6" t="s">
        <v>2467</v>
      </c>
      <c r="P1054" s="27" t="s">
        <v>91</v>
      </c>
      <c r="Q1054" s="6" t="s">
        <v>67</v>
      </c>
      <c r="R1054" s="6" t="s">
        <v>123</v>
      </c>
      <c r="S1054" s="27" t="s">
        <v>6987</v>
      </c>
      <c r="T1054" s="6" t="s">
        <v>6138</v>
      </c>
      <c r="U1054" s="7" t="n">
        <v>2</v>
      </c>
      <c r="V1054" s="7" t="n">
        <v>2</v>
      </c>
      <c r="W1054" s="8" t="s">
        <v>6988</v>
      </c>
      <c r="X1054" s="8" t="s">
        <v>6988</v>
      </c>
      <c r="Y1054" s="8" t="s">
        <v>6959</v>
      </c>
      <c r="Z1054" s="8" t="s">
        <v>6959</v>
      </c>
      <c r="AA1054" s="7" t="n">
        <v>132</v>
      </c>
      <c r="AB1054" s="7" t="n">
        <v>96</v>
      </c>
      <c r="AC1054" s="7" t="n">
        <v>463</v>
      </c>
      <c r="AD1054" s="7" t="n">
        <v>1</v>
      </c>
      <c r="AE1054" s="7" t="n">
        <v>6</v>
      </c>
      <c r="AF1054" s="7" t="n">
        <v>3</v>
      </c>
      <c r="AG1054" s="7" t="n">
        <v>24</v>
      </c>
      <c r="AH1054" s="7" t="n">
        <v>0</v>
      </c>
      <c r="AI1054" s="7" t="n">
        <v>7</v>
      </c>
      <c r="AJ1054" s="7" t="n">
        <v>0</v>
      </c>
      <c r="AK1054" s="7" t="n">
        <v>6</v>
      </c>
      <c r="AL1054" s="7" t="n">
        <v>2</v>
      </c>
      <c r="AM1054" s="7" t="n">
        <v>13</v>
      </c>
      <c r="AN1054" s="7" t="n">
        <v>1</v>
      </c>
      <c r="AO1054" s="7" t="n">
        <v>4</v>
      </c>
      <c r="AP1054" s="7" t="n">
        <v>0</v>
      </c>
      <c r="AQ1054" s="7" t="n">
        <v>0</v>
      </c>
      <c r="AR1054" s="6" t="s">
        <v>63</v>
      </c>
      <c r="AS1054" s="6" t="s">
        <v>63</v>
      </c>
      <c r="AT1054" s="28"/>
      <c r="AU1054" s="9" t="str">
        <f aca="false">HYPERLINK("https://creighton-primo.hosted.exlibrisgroup.com/primo-explore/search?tab=default_tab&amp;search_scope=EVERYTHING&amp;vid=01CRU&amp;lang=en_US&amp;offset=0&amp;query=any,contains,991003711089702656","Catalog Record")</f>
        <v>Catalog Record</v>
      </c>
      <c r="AV1054" s="9" t="str">
        <f aca="false">HYPERLINK("http://www.worldcat.org/oclc/873380","WorldCat Record")</f>
        <v>WorldCat Record</v>
      </c>
      <c r="AW1054" s="6" t="s">
        <v>6989</v>
      </c>
      <c r="AX1054" s="6" t="s">
        <v>6990</v>
      </c>
      <c r="AY1054" s="6" t="s">
        <v>6991</v>
      </c>
      <c r="AZ1054" s="6" t="s">
        <v>6991</v>
      </c>
      <c r="BA1054" s="6" t="s">
        <v>6992</v>
      </c>
      <c r="BB1054" s="28"/>
      <c r="BC1054" s="6" t="s">
        <v>6993</v>
      </c>
      <c r="BE1054" s="15" t="s">
        <v>2145</v>
      </c>
      <c r="BF1054" s="6" t="s">
        <v>6994</v>
      </c>
    </row>
    <row r="1055" customFormat="false" ht="163" hidden="false" customHeight="false" outlineLevel="0" collapsed="false">
      <c r="A1055" s="26" t="s">
        <v>63</v>
      </c>
      <c r="B1055" s="27" t="s">
        <v>2129</v>
      </c>
      <c r="C1055" s="27" t="s">
        <v>2130</v>
      </c>
      <c r="D1055" s="27" t="s">
        <v>6995</v>
      </c>
      <c r="E1055" s="27" t="s">
        <v>6996</v>
      </c>
      <c r="F1055" s="27" t="s">
        <v>6997</v>
      </c>
      <c r="G1055" s="28"/>
      <c r="H1055" s="6" t="s">
        <v>63</v>
      </c>
      <c r="I1055" s="6" t="s">
        <v>62</v>
      </c>
      <c r="J1055" s="6" t="s">
        <v>63</v>
      </c>
      <c r="K1055" s="6" t="s">
        <v>63</v>
      </c>
      <c r="L1055" s="6" t="s">
        <v>64</v>
      </c>
      <c r="M1055" s="27" t="s">
        <v>6998</v>
      </c>
      <c r="N1055" s="27" t="s">
        <v>6999</v>
      </c>
      <c r="O1055" s="6" t="s">
        <v>167</v>
      </c>
      <c r="P1055" s="28"/>
      <c r="Q1055" s="6" t="s">
        <v>67</v>
      </c>
      <c r="R1055" s="6" t="s">
        <v>384</v>
      </c>
      <c r="S1055" s="27" t="s">
        <v>5648</v>
      </c>
      <c r="T1055" s="6" t="s">
        <v>6138</v>
      </c>
      <c r="U1055" s="7" t="n">
        <v>3</v>
      </c>
      <c r="V1055" s="7" t="n">
        <v>3</v>
      </c>
      <c r="W1055" s="8" t="s">
        <v>4264</v>
      </c>
      <c r="X1055" s="8" t="s">
        <v>4264</v>
      </c>
      <c r="Y1055" s="8" t="s">
        <v>6974</v>
      </c>
      <c r="Z1055" s="8" t="s">
        <v>6974</v>
      </c>
      <c r="AA1055" s="7" t="n">
        <v>520</v>
      </c>
      <c r="AB1055" s="7" t="n">
        <v>368</v>
      </c>
      <c r="AC1055" s="7" t="n">
        <v>506</v>
      </c>
      <c r="AD1055" s="7" t="n">
        <v>2</v>
      </c>
      <c r="AE1055" s="7" t="n">
        <v>6</v>
      </c>
      <c r="AF1055" s="7" t="n">
        <v>23</v>
      </c>
      <c r="AG1055" s="7" t="n">
        <v>33</v>
      </c>
      <c r="AH1055" s="7" t="n">
        <v>6</v>
      </c>
      <c r="AI1055" s="7" t="n">
        <v>10</v>
      </c>
      <c r="AJ1055" s="7" t="n">
        <v>7</v>
      </c>
      <c r="AK1055" s="7" t="n">
        <v>7</v>
      </c>
      <c r="AL1055" s="7" t="n">
        <v>14</v>
      </c>
      <c r="AM1055" s="7" t="n">
        <v>19</v>
      </c>
      <c r="AN1055" s="7" t="n">
        <v>1</v>
      </c>
      <c r="AO1055" s="7" t="n">
        <v>5</v>
      </c>
      <c r="AP1055" s="7" t="n">
        <v>1</v>
      </c>
      <c r="AQ1055" s="7" t="n">
        <v>1</v>
      </c>
      <c r="AR1055" s="6" t="s">
        <v>63</v>
      </c>
      <c r="AS1055" s="6" t="s">
        <v>57</v>
      </c>
      <c r="AT1055" s="9" t="str">
        <f aca="false">HYPERLINK("http://catalog.hathitrust.org/Record/001383696","HathiTrust Record")</f>
        <v>HathiTrust Record</v>
      </c>
      <c r="AU1055" s="9" t="str">
        <f aca="false">HYPERLINK("https://creighton-primo.hosted.exlibrisgroup.com/primo-explore/search?tab=default_tab&amp;search_scope=EVERYTHING&amp;vid=01CRU&amp;lang=en_US&amp;offset=0&amp;query=any,contains,991002564079702656","Catalog Record")</f>
        <v>Catalog Record</v>
      </c>
      <c r="AV1055" s="9" t="str">
        <f aca="false">HYPERLINK("http://www.worldcat.org/oclc/372284","WorldCat Record")</f>
        <v>WorldCat Record</v>
      </c>
      <c r="AW1055" s="6" t="s">
        <v>7000</v>
      </c>
      <c r="AX1055" s="6" t="s">
        <v>7001</v>
      </c>
      <c r="AY1055" s="6" t="s">
        <v>7002</v>
      </c>
      <c r="AZ1055" s="6" t="s">
        <v>7002</v>
      </c>
      <c r="BA1055" s="6" t="s">
        <v>7003</v>
      </c>
      <c r="BB1055" s="28"/>
      <c r="BC1055" s="6" t="s">
        <v>7004</v>
      </c>
      <c r="BE1055" s="15" t="s">
        <v>2145</v>
      </c>
      <c r="BF1055" s="6" t="s">
        <v>7005</v>
      </c>
    </row>
    <row r="1056" customFormat="false" ht="82.5" hidden="false" customHeight="false" outlineLevel="0" collapsed="false">
      <c r="A1056" s="26" t="s">
        <v>63</v>
      </c>
      <c r="B1056" s="27" t="s">
        <v>2129</v>
      </c>
      <c r="C1056" s="27" t="s">
        <v>2130</v>
      </c>
      <c r="D1056" s="27" t="s">
        <v>7006</v>
      </c>
      <c r="E1056" s="27" t="s">
        <v>7007</v>
      </c>
      <c r="F1056" s="27" t="s">
        <v>7008</v>
      </c>
      <c r="G1056" s="28"/>
      <c r="H1056" s="6" t="s">
        <v>63</v>
      </c>
      <c r="I1056" s="6" t="s">
        <v>62</v>
      </c>
      <c r="J1056" s="6" t="s">
        <v>63</v>
      </c>
      <c r="K1056" s="6" t="s">
        <v>63</v>
      </c>
      <c r="L1056" s="6" t="s">
        <v>64</v>
      </c>
      <c r="M1056" s="27" t="s">
        <v>7009</v>
      </c>
      <c r="N1056" s="27" t="s">
        <v>7010</v>
      </c>
      <c r="O1056" s="6" t="s">
        <v>3029</v>
      </c>
      <c r="P1056" s="28"/>
      <c r="Q1056" s="6" t="s">
        <v>67</v>
      </c>
      <c r="R1056" s="6" t="s">
        <v>1108</v>
      </c>
      <c r="S1056" s="28"/>
      <c r="T1056" s="6" t="s">
        <v>6138</v>
      </c>
      <c r="U1056" s="7" t="n">
        <v>4</v>
      </c>
      <c r="V1056" s="7" t="n">
        <v>4</v>
      </c>
      <c r="W1056" s="8" t="s">
        <v>7011</v>
      </c>
      <c r="X1056" s="8" t="s">
        <v>7011</v>
      </c>
      <c r="Y1056" s="8" t="s">
        <v>6405</v>
      </c>
      <c r="Z1056" s="8" t="s">
        <v>6405</v>
      </c>
      <c r="AA1056" s="7" t="n">
        <v>1344</v>
      </c>
      <c r="AB1056" s="7" t="n">
        <v>1143</v>
      </c>
      <c r="AC1056" s="7" t="n">
        <v>1777</v>
      </c>
      <c r="AD1056" s="7" t="n">
        <v>7</v>
      </c>
      <c r="AE1056" s="7" t="n">
        <v>30</v>
      </c>
      <c r="AF1056" s="7" t="n">
        <v>46</v>
      </c>
      <c r="AG1056" s="7" t="n">
        <v>65</v>
      </c>
      <c r="AH1056" s="7" t="n">
        <v>19</v>
      </c>
      <c r="AI1056" s="7" t="n">
        <v>26</v>
      </c>
      <c r="AJ1056" s="7" t="n">
        <v>10</v>
      </c>
      <c r="AK1056" s="7" t="n">
        <v>11</v>
      </c>
      <c r="AL1056" s="7" t="n">
        <v>21</v>
      </c>
      <c r="AM1056" s="7" t="n">
        <v>25</v>
      </c>
      <c r="AN1056" s="7" t="n">
        <v>6</v>
      </c>
      <c r="AO1056" s="7" t="n">
        <v>13</v>
      </c>
      <c r="AP1056" s="7" t="n">
        <v>1</v>
      </c>
      <c r="AQ1056" s="7" t="n">
        <v>3</v>
      </c>
      <c r="AR1056" s="6" t="s">
        <v>63</v>
      </c>
      <c r="AS1056" s="6" t="s">
        <v>63</v>
      </c>
      <c r="AT1056" s="28"/>
      <c r="AU1056" s="9" t="str">
        <f aca="false">HYPERLINK("https://creighton-primo.hosted.exlibrisgroup.com/primo-explore/search?tab=default_tab&amp;search_scope=EVERYTHING&amp;vid=01CRU&amp;lang=en_US&amp;offset=0&amp;query=any,contains,991001204189702656","Catalog Record")</f>
        <v>Catalog Record</v>
      </c>
      <c r="AV1056" s="9" t="str">
        <f aca="false">HYPERLINK("http://www.worldcat.org/oclc/191627","WorldCat Record")</f>
        <v>WorldCat Record</v>
      </c>
      <c r="AW1056" s="6" t="s">
        <v>7012</v>
      </c>
      <c r="AX1056" s="6" t="s">
        <v>7013</v>
      </c>
      <c r="AY1056" s="6" t="s">
        <v>7014</v>
      </c>
      <c r="AZ1056" s="6" t="s">
        <v>7014</v>
      </c>
      <c r="BA1056" s="6" t="s">
        <v>7015</v>
      </c>
      <c r="BB1056" s="28"/>
      <c r="BC1056" s="6" t="s">
        <v>7016</v>
      </c>
      <c r="BE1056" s="15" t="s">
        <v>2145</v>
      </c>
      <c r="BF1056" s="6" t="s">
        <v>7017</v>
      </c>
    </row>
    <row r="1057" customFormat="false" ht="140" hidden="false" customHeight="false" outlineLevel="0" collapsed="false">
      <c r="A1057" s="26" t="s">
        <v>63</v>
      </c>
      <c r="B1057" s="27" t="s">
        <v>2129</v>
      </c>
      <c r="C1057" s="27" t="s">
        <v>2130</v>
      </c>
      <c r="D1057" s="27" t="s">
        <v>7018</v>
      </c>
      <c r="E1057" s="27" t="s">
        <v>7019</v>
      </c>
      <c r="F1057" s="27" t="s">
        <v>7020</v>
      </c>
      <c r="G1057" s="28"/>
      <c r="H1057" s="6" t="s">
        <v>63</v>
      </c>
      <c r="I1057" s="6" t="s">
        <v>62</v>
      </c>
      <c r="J1057" s="6" t="s">
        <v>63</v>
      </c>
      <c r="K1057" s="6" t="s">
        <v>63</v>
      </c>
      <c r="L1057" s="6" t="s">
        <v>64</v>
      </c>
      <c r="M1057" s="27" t="s">
        <v>7021</v>
      </c>
      <c r="N1057" s="27" t="s">
        <v>7022</v>
      </c>
      <c r="O1057" s="6" t="s">
        <v>2467</v>
      </c>
      <c r="P1057" s="28"/>
      <c r="Q1057" s="6" t="s">
        <v>67</v>
      </c>
      <c r="R1057" s="6" t="s">
        <v>7023</v>
      </c>
      <c r="S1057" s="28"/>
      <c r="T1057" s="6" t="s">
        <v>6138</v>
      </c>
      <c r="U1057" s="7" t="n">
        <v>5</v>
      </c>
      <c r="V1057" s="7" t="n">
        <v>5</v>
      </c>
      <c r="W1057" s="8" t="s">
        <v>7024</v>
      </c>
      <c r="X1057" s="8" t="s">
        <v>7024</v>
      </c>
      <c r="Y1057" s="8" t="s">
        <v>6405</v>
      </c>
      <c r="Z1057" s="8" t="s">
        <v>6405</v>
      </c>
      <c r="AA1057" s="7" t="n">
        <v>373</v>
      </c>
      <c r="AB1057" s="7" t="n">
        <v>295</v>
      </c>
      <c r="AC1057" s="7" t="n">
        <v>298</v>
      </c>
      <c r="AD1057" s="7" t="n">
        <v>3</v>
      </c>
      <c r="AE1057" s="7" t="n">
        <v>3</v>
      </c>
      <c r="AF1057" s="7" t="n">
        <v>18</v>
      </c>
      <c r="AG1057" s="7" t="n">
        <v>18</v>
      </c>
      <c r="AH1057" s="7" t="n">
        <v>5</v>
      </c>
      <c r="AI1057" s="7" t="n">
        <v>5</v>
      </c>
      <c r="AJ1057" s="7" t="n">
        <v>5</v>
      </c>
      <c r="AK1057" s="7" t="n">
        <v>5</v>
      </c>
      <c r="AL1057" s="7" t="n">
        <v>12</v>
      </c>
      <c r="AM1057" s="7" t="n">
        <v>12</v>
      </c>
      <c r="AN1057" s="7" t="n">
        <v>2</v>
      </c>
      <c r="AO1057" s="7" t="n">
        <v>2</v>
      </c>
      <c r="AP1057" s="7" t="n">
        <v>0</v>
      </c>
      <c r="AQ1057" s="7" t="n">
        <v>0</v>
      </c>
      <c r="AR1057" s="6" t="s">
        <v>63</v>
      </c>
      <c r="AS1057" s="6" t="s">
        <v>57</v>
      </c>
      <c r="AT1057" s="9" t="str">
        <f aca="false">HYPERLINK("http://catalog.hathitrust.org/Record/001178536","HathiTrust Record")</f>
        <v>HathiTrust Record</v>
      </c>
      <c r="AU1057" s="9" t="str">
        <f aca="false">HYPERLINK("https://creighton-primo.hosted.exlibrisgroup.com/primo-explore/search?tab=default_tab&amp;search_scope=EVERYTHING&amp;vid=01CRU&amp;lang=en_US&amp;offset=0&amp;query=any,contains,991003015109702656","Catalog Record")</f>
        <v>Catalog Record</v>
      </c>
      <c r="AV1057" s="9" t="str">
        <f aca="false">HYPERLINK("http://www.worldcat.org/oclc/413593","WorldCat Record")</f>
        <v>WorldCat Record</v>
      </c>
      <c r="AW1057" s="6" t="s">
        <v>7025</v>
      </c>
      <c r="AX1057" s="6" t="s">
        <v>7026</v>
      </c>
      <c r="AY1057" s="6" t="s">
        <v>7027</v>
      </c>
      <c r="AZ1057" s="6" t="s">
        <v>7027</v>
      </c>
      <c r="BA1057" s="6" t="s">
        <v>7028</v>
      </c>
      <c r="BB1057" s="28"/>
      <c r="BC1057" s="6" t="s">
        <v>7029</v>
      </c>
      <c r="BE1057" s="15" t="s">
        <v>2145</v>
      </c>
      <c r="BF1057" s="6" t="s">
        <v>7030</v>
      </c>
    </row>
    <row r="1058" customFormat="false" ht="220.5" hidden="false" customHeight="false" outlineLevel="0" collapsed="false">
      <c r="A1058" s="26" t="s">
        <v>63</v>
      </c>
      <c r="B1058" s="27" t="s">
        <v>2129</v>
      </c>
      <c r="C1058" s="27" t="s">
        <v>2130</v>
      </c>
      <c r="D1058" s="27" t="s">
        <v>7031</v>
      </c>
      <c r="E1058" s="27" t="s">
        <v>7032</v>
      </c>
      <c r="F1058" s="27" t="s">
        <v>7033</v>
      </c>
      <c r="G1058" s="28"/>
      <c r="H1058" s="6" t="s">
        <v>63</v>
      </c>
      <c r="I1058" s="6" t="s">
        <v>62</v>
      </c>
      <c r="J1058" s="6" t="s">
        <v>63</v>
      </c>
      <c r="K1058" s="6" t="s">
        <v>63</v>
      </c>
      <c r="L1058" s="6" t="s">
        <v>64</v>
      </c>
      <c r="M1058" s="27" t="s">
        <v>7034</v>
      </c>
      <c r="N1058" s="27" t="s">
        <v>7035</v>
      </c>
      <c r="O1058" s="6" t="s">
        <v>2467</v>
      </c>
      <c r="P1058" s="28"/>
      <c r="Q1058" s="6" t="s">
        <v>67</v>
      </c>
      <c r="R1058" s="6" t="s">
        <v>68</v>
      </c>
      <c r="S1058" s="27" t="s">
        <v>7036</v>
      </c>
      <c r="T1058" s="6" t="s">
        <v>6138</v>
      </c>
      <c r="U1058" s="7" t="n">
        <v>3</v>
      </c>
      <c r="V1058" s="7" t="n">
        <v>3</v>
      </c>
      <c r="W1058" s="8" t="s">
        <v>6457</v>
      </c>
      <c r="X1058" s="8" t="s">
        <v>6457</v>
      </c>
      <c r="Y1058" s="8" t="s">
        <v>6405</v>
      </c>
      <c r="Z1058" s="8" t="s">
        <v>6405</v>
      </c>
      <c r="AA1058" s="7" t="n">
        <v>704</v>
      </c>
      <c r="AB1058" s="7" t="n">
        <v>599</v>
      </c>
      <c r="AC1058" s="7" t="n">
        <v>729</v>
      </c>
      <c r="AD1058" s="7" t="n">
        <v>4</v>
      </c>
      <c r="AE1058" s="7" t="n">
        <v>5</v>
      </c>
      <c r="AF1058" s="7" t="n">
        <v>34</v>
      </c>
      <c r="AG1058" s="7" t="n">
        <v>41</v>
      </c>
      <c r="AH1058" s="7" t="n">
        <v>13</v>
      </c>
      <c r="AI1058" s="7" t="n">
        <v>18</v>
      </c>
      <c r="AJ1058" s="7" t="n">
        <v>7</v>
      </c>
      <c r="AK1058" s="7" t="n">
        <v>9</v>
      </c>
      <c r="AL1058" s="7" t="n">
        <v>21</v>
      </c>
      <c r="AM1058" s="7" t="n">
        <v>22</v>
      </c>
      <c r="AN1058" s="7" t="n">
        <v>3</v>
      </c>
      <c r="AO1058" s="7" t="n">
        <v>4</v>
      </c>
      <c r="AP1058" s="7" t="n">
        <v>0</v>
      </c>
      <c r="AQ1058" s="7" t="n">
        <v>0</v>
      </c>
      <c r="AR1058" s="6" t="s">
        <v>63</v>
      </c>
      <c r="AS1058" s="6" t="s">
        <v>63</v>
      </c>
      <c r="AT1058" s="28"/>
      <c r="AU1058" s="9" t="str">
        <f aca="false">HYPERLINK("https://creighton-primo.hosted.exlibrisgroup.com/primo-explore/search?tab=default_tab&amp;search_scope=EVERYTHING&amp;vid=01CRU&amp;lang=en_US&amp;offset=0&amp;query=any,contains,991001408049702656","Catalog Record")</f>
        <v>Catalog Record</v>
      </c>
      <c r="AV1058" s="9" t="str">
        <f aca="false">HYPERLINK("http://www.worldcat.org/oclc/230439","WorldCat Record")</f>
        <v>WorldCat Record</v>
      </c>
      <c r="AW1058" s="6" t="s">
        <v>7037</v>
      </c>
      <c r="AX1058" s="6" t="s">
        <v>7038</v>
      </c>
      <c r="AY1058" s="6" t="s">
        <v>7039</v>
      </c>
      <c r="AZ1058" s="6" t="s">
        <v>7039</v>
      </c>
      <c r="BA1058" s="6" t="s">
        <v>7040</v>
      </c>
      <c r="BB1058" s="28"/>
      <c r="BC1058" s="6" t="s">
        <v>7041</v>
      </c>
      <c r="BE1058" s="15" t="s">
        <v>2145</v>
      </c>
      <c r="BF1058" s="6" t="s">
        <v>7042</v>
      </c>
    </row>
    <row r="1059" customFormat="false" ht="209" hidden="false" customHeight="false" outlineLevel="0" collapsed="false">
      <c r="A1059" s="26" t="s">
        <v>63</v>
      </c>
      <c r="B1059" s="27" t="s">
        <v>2129</v>
      </c>
      <c r="C1059" s="27" t="s">
        <v>2130</v>
      </c>
      <c r="D1059" s="27" t="s">
        <v>7043</v>
      </c>
      <c r="E1059" s="27" t="s">
        <v>7044</v>
      </c>
      <c r="F1059" s="27" t="s">
        <v>7045</v>
      </c>
      <c r="G1059" s="28"/>
      <c r="H1059" s="6" t="s">
        <v>63</v>
      </c>
      <c r="I1059" s="6" t="s">
        <v>62</v>
      </c>
      <c r="J1059" s="6" t="s">
        <v>63</v>
      </c>
      <c r="K1059" s="6" t="s">
        <v>63</v>
      </c>
      <c r="L1059" s="6" t="s">
        <v>64</v>
      </c>
      <c r="M1059" s="27" t="s">
        <v>7046</v>
      </c>
      <c r="N1059" s="27" t="s">
        <v>7047</v>
      </c>
      <c r="O1059" s="6" t="s">
        <v>2467</v>
      </c>
      <c r="P1059" s="28"/>
      <c r="Q1059" s="6" t="s">
        <v>67</v>
      </c>
      <c r="R1059" s="6" t="s">
        <v>7023</v>
      </c>
      <c r="S1059" s="28"/>
      <c r="T1059" s="6" t="s">
        <v>6138</v>
      </c>
      <c r="U1059" s="7" t="n">
        <v>8</v>
      </c>
      <c r="V1059" s="7" t="n">
        <v>8</v>
      </c>
      <c r="W1059" s="8" t="s">
        <v>7048</v>
      </c>
      <c r="X1059" s="8" t="s">
        <v>7048</v>
      </c>
      <c r="Y1059" s="8" t="s">
        <v>6405</v>
      </c>
      <c r="Z1059" s="8" t="s">
        <v>6405</v>
      </c>
      <c r="AA1059" s="7" t="n">
        <v>1212</v>
      </c>
      <c r="AB1059" s="7" t="n">
        <v>1083</v>
      </c>
      <c r="AC1059" s="7" t="n">
        <v>1584</v>
      </c>
      <c r="AD1059" s="7" t="n">
        <v>7</v>
      </c>
      <c r="AE1059" s="7" t="n">
        <v>8</v>
      </c>
      <c r="AF1059" s="7" t="n">
        <v>46</v>
      </c>
      <c r="AG1059" s="7" t="n">
        <v>50</v>
      </c>
      <c r="AH1059" s="7" t="n">
        <v>19</v>
      </c>
      <c r="AI1059" s="7" t="n">
        <v>21</v>
      </c>
      <c r="AJ1059" s="7" t="n">
        <v>7</v>
      </c>
      <c r="AK1059" s="7" t="n">
        <v>8</v>
      </c>
      <c r="AL1059" s="7" t="n">
        <v>24</v>
      </c>
      <c r="AM1059" s="7" t="n">
        <v>25</v>
      </c>
      <c r="AN1059" s="7" t="n">
        <v>6</v>
      </c>
      <c r="AO1059" s="7" t="n">
        <v>7</v>
      </c>
      <c r="AP1059" s="7" t="n">
        <v>0</v>
      </c>
      <c r="AQ1059" s="7" t="n">
        <v>1</v>
      </c>
      <c r="AR1059" s="6" t="s">
        <v>63</v>
      </c>
      <c r="AS1059" s="6" t="s">
        <v>63</v>
      </c>
      <c r="AT1059" s="28"/>
      <c r="AU1059" s="9" t="str">
        <f aca="false">HYPERLINK("https://creighton-primo.hosted.exlibrisgroup.com/primo-explore/search?tab=default_tab&amp;search_scope=EVERYTHING&amp;vid=01CRU&amp;lang=en_US&amp;offset=0&amp;query=any,contains,991001954009702656","Catalog Record")</f>
        <v>Catalog Record</v>
      </c>
      <c r="AV1059" s="9" t="str">
        <f aca="false">HYPERLINK("http://www.worldcat.org/oclc/252896","WorldCat Record")</f>
        <v>WorldCat Record</v>
      </c>
      <c r="AW1059" s="6" t="s">
        <v>7049</v>
      </c>
      <c r="AX1059" s="6" t="s">
        <v>7050</v>
      </c>
      <c r="AY1059" s="6" t="s">
        <v>7051</v>
      </c>
      <c r="AZ1059" s="6" t="s">
        <v>7051</v>
      </c>
      <c r="BA1059" s="6" t="s">
        <v>7052</v>
      </c>
      <c r="BB1059" s="28"/>
      <c r="BC1059" s="6" t="s">
        <v>7053</v>
      </c>
      <c r="BE1059" s="15" t="s">
        <v>2145</v>
      </c>
      <c r="BF1059" s="6" t="s">
        <v>7054</v>
      </c>
    </row>
    <row r="1060" customFormat="false" ht="71" hidden="false" customHeight="false" outlineLevel="0" collapsed="false">
      <c r="A1060" s="26" t="s">
        <v>63</v>
      </c>
      <c r="B1060" s="27" t="s">
        <v>2129</v>
      </c>
      <c r="C1060" s="27" t="s">
        <v>2130</v>
      </c>
      <c r="D1060" s="27" t="s">
        <v>7055</v>
      </c>
      <c r="E1060" s="27" t="s">
        <v>7056</v>
      </c>
      <c r="F1060" s="27" t="s">
        <v>7057</v>
      </c>
      <c r="G1060" s="28"/>
      <c r="H1060" s="6" t="s">
        <v>57</v>
      </c>
      <c r="I1060" s="6" t="s">
        <v>62</v>
      </c>
      <c r="J1060" s="6" t="s">
        <v>57</v>
      </c>
      <c r="K1060" s="6" t="s">
        <v>63</v>
      </c>
      <c r="L1060" s="6" t="s">
        <v>64</v>
      </c>
      <c r="M1060" s="27" t="s">
        <v>7058</v>
      </c>
      <c r="N1060" s="27" t="s">
        <v>7059</v>
      </c>
      <c r="O1060" s="6" t="s">
        <v>3029</v>
      </c>
      <c r="P1060" s="27" t="s">
        <v>7060</v>
      </c>
      <c r="Q1060" s="6" t="s">
        <v>67</v>
      </c>
      <c r="R1060" s="6" t="s">
        <v>123</v>
      </c>
      <c r="S1060" s="28"/>
      <c r="T1060" s="6" t="s">
        <v>6138</v>
      </c>
      <c r="U1060" s="7" t="n">
        <v>3</v>
      </c>
      <c r="V1060" s="7" t="n">
        <v>20</v>
      </c>
      <c r="W1060" s="8" t="s">
        <v>7061</v>
      </c>
      <c r="X1060" s="8" t="s">
        <v>3341</v>
      </c>
      <c r="Y1060" s="8" t="s">
        <v>6974</v>
      </c>
      <c r="Z1060" s="8" t="s">
        <v>7062</v>
      </c>
      <c r="AA1060" s="7" t="n">
        <v>223</v>
      </c>
      <c r="AB1060" s="7" t="n">
        <v>183</v>
      </c>
      <c r="AC1060" s="7" t="n">
        <v>422</v>
      </c>
      <c r="AD1060" s="7" t="n">
        <v>2</v>
      </c>
      <c r="AE1060" s="7" t="n">
        <v>3</v>
      </c>
      <c r="AF1060" s="7" t="n">
        <v>16</v>
      </c>
      <c r="AG1060" s="7" t="n">
        <v>25</v>
      </c>
      <c r="AH1060" s="7" t="n">
        <v>7</v>
      </c>
      <c r="AI1060" s="7" t="n">
        <v>10</v>
      </c>
      <c r="AJ1060" s="7" t="n">
        <v>5</v>
      </c>
      <c r="AK1060" s="7" t="n">
        <v>7</v>
      </c>
      <c r="AL1060" s="7" t="n">
        <v>10</v>
      </c>
      <c r="AM1060" s="7" t="n">
        <v>16</v>
      </c>
      <c r="AN1060" s="7" t="n">
        <v>1</v>
      </c>
      <c r="AO1060" s="7" t="n">
        <v>2</v>
      </c>
      <c r="AP1060" s="7" t="n">
        <v>0</v>
      </c>
      <c r="AQ1060" s="7" t="n">
        <v>0</v>
      </c>
      <c r="AR1060" s="6" t="s">
        <v>63</v>
      </c>
      <c r="AS1060" s="6" t="s">
        <v>57</v>
      </c>
      <c r="AT1060" s="9" t="str">
        <f aca="false">HYPERLINK("http://catalog.hathitrust.org/Record/010661774","HathiTrust Record")</f>
        <v>HathiTrust Record</v>
      </c>
      <c r="AU1060" s="9" t="str">
        <f aca="false">HYPERLINK("https://creighton-primo.hosted.exlibrisgroup.com/primo-explore/search?tab=default_tab&amp;search_scope=EVERYTHING&amp;vid=01CRU&amp;lang=en_US&amp;offset=0&amp;query=any,contains,991002440709702656","Catalog Record")</f>
        <v>Catalog Record</v>
      </c>
      <c r="AV1060" s="9" t="str">
        <f aca="false">HYPERLINK("http://www.worldcat.org/oclc/350010","WorldCat Record")</f>
        <v>WorldCat Record</v>
      </c>
      <c r="AW1060" s="6" t="s">
        <v>7063</v>
      </c>
      <c r="AX1060" s="6" t="s">
        <v>7064</v>
      </c>
      <c r="AY1060" s="6" t="s">
        <v>7065</v>
      </c>
      <c r="AZ1060" s="6" t="s">
        <v>7065</v>
      </c>
      <c r="BA1060" s="6" t="s">
        <v>7066</v>
      </c>
      <c r="BB1060" s="28"/>
      <c r="BC1060" s="6" t="s">
        <v>7067</v>
      </c>
      <c r="BE1060" s="15" t="s">
        <v>2145</v>
      </c>
      <c r="BF1060" s="6" t="s">
        <v>7068</v>
      </c>
    </row>
    <row r="1061" customFormat="false" ht="71" hidden="false" customHeight="false" outlineLevel="0" collapsed="false">
      <c r="A1061" s="26" t="s">
        <v>63</v>
      </c>
      <c r="B1061" s="27" t="s">
        <v>2129</v>
      </c>
      <c r="C1061" s="27" t="s">
        <v>2130</v>
      </c>
      <c r="D1061" s="27" t="s">
        <v>7069</v>
      </c>
      <c r="E1061" s="27" t="s">
        <v>7070</v>
      </c>
      <c r="F1061" s="27" t="s">
        <v>7057</v>
      </c>
      <c r="G1061" s="28"/>
      <c r="H1061" s="6" t="s">
        <v>57</v>
      </c>
      <c r="I1061" s="6" t="s">
        <v>62</v>
      </c>
      <c r="J1061" s="6" t="s">
        <v>57</v>
      </c>
      <c r="K1061" s="6" t="s">
        <v>63</v>
      </c>
      <c r="L1061" s="6" t="s">
        <v>64</v>
      </c>
      <c r="M1061" s="27" t="s">
        <v>7058</v>
      </c>
      <c r="N1061" s="27" t="s">
        <v>7059</v>
      </c>
      <c r="O1061" s="6" t="s">
        <v>3029</v>
      </c>
      <c r="P1061" s="27" t="s">
        <v>7060</v>
      </c>
      <c r="Q1061" s="6" t="s">
        <v>67</v>
      </c>
      <c r="R1061" s="6" t="s">
        <v>123</v>
      </c>
      <c r="S1061" s="28"/>
      <c r="T1061" s="6" t="s">
        <v>6138</v>
      </c>
      <c r="U1061" s="7" t="n">
        <v>4</v>
      </c>
      <c r="V1061" s="7" t="n">
        <v>20</v>
      </c>
      <c r="W1061" s="8" t="s">
        <v>7071</v>
      </c>
      <c r="X1061" s="8" t="s">
        <v>3341</v>
      </c>
      <c r="Y1061" s="8" t="s">
        <v>6974</v>
      </c>
      <c r="Z1061" s="8" t="s">
        <v>7062</v>
      </c>
      <c r="AA1061" s="7" t="n">
        <v>223</v>
      </c>
      <c r="AB1061" s="7" t="n">
        <v>183</v>
      </c>
      <c r="AC1061" s="7" t="n">
        <v>422</v>
      </c>
      <c r="AD1061" s="7" t="n">
        <v>2</v>
      </c>
      <c r="AE1061" s="7" t="n">
        <v>3</v>
      </c>
      <c r="AF1061" s="7" t="n">
        <v>16</v>
      </c>
      <c r="AG1061" s="7" t="n">
        <v>25</v>
      </c>
      <c r="AH1061" s="7" t="n">
        <v>7</v>
      </c>
      <c r="AI1061" s="7" t="n">
        <v>10</v>
      </c>
      <c r="AJ1061" s="7" t="n">
        <v>5</v>
      </c>
      <c r="AK1061" s="7" t="n">
        <v>7</v>
      </c>
      <c r="AL1061" s="7" t="n">
        <v>10</v>
      </c>
      <c r="AM1061" s="7" t="n">
        <v>16</v>
      </c>
      <c r="AN1061" s="7" t="n">
        <v>1</v>
      </c>
      <c r="AO1061" s="7" t="n">
        <v>2</v>
      </c>
      <c r="AP1061" s="7" t="n">
        <v>0</v>
      </c>
      <c r="AQ1061" s="7" t="n">
        <v>0</v>
      </c>
      <c r="AR1061" s="6" t="s">
        <v>63</v>
      </c>
      <c r="AS1061" s="6" t="s">
        <v>57</v>
      </c>
      <c r="AT1061" s="9" t="str">
        <f aca="false">HYPERLINK("http://catalog.hathitrust.org/Record/010661774","HathiTrust Record")</f>
        <v>HathiTrust Record</v>
      </c>
      <c r="AU1061" s="9" t="str">
        <f aca="false">HYPERLINK("https://creighton-primo.hosted.exlibrisgroup.com/primo-explore/search?tab=default_tab&amp;search_scope=EVERYTHING&amp;vid=01CRU&amp;lang=en_US&amp;offset=0&amp;query=any,contains,991002440709702656","Catalog Record")</f>
        <v>Catalog Record</v>
      </c>
      <c r="AV1061" s="9" t="str">
        <f aca="false">HYPERLINK("http://www.worldcat.org/oclc/350010","WorldCat Record")</f>
        <v>WorldCat Record</v>
      </c>
      <c r="AW1061" s="6" t="s">
        <v>7063</v>
      </c>
      <c r="AX1061" s="6" t="s">
        <v>7064</v>
      </c>
      <c r="AY1061" s="6" t="s">
        <v>7065</v>
      </c>
      <c r="AZ1061" s="6" t="s">
        <v>7065</v>
      </c>
      <c r="BA1061" s="6" t="s">
        <v>7066</v>
      </c>
      <c r="BB1061" s="28"/>
      <c r="BC1061" s="6" t="s">
        <v>7072</v>
      </c>
      <c r="BE1061" s="15" t="s">
        <v>2145</v>
      </c>
      <c r="BF1061" s="6" t="s">
        <v>7073</v>
      </c>
    </row>
    <row r="1062" customFormat="false" ht="71" hidden="false" customHeight="false" outlineLevel="0" collapsed="false">
      <c r="A1062" s="26" t="s">
        <v>63</v>
      </c>
      <c r="B1062" s="27" t="s">
        <v>2129</v>
      </c>
      <c r="C1062" s="27" t="s">
        <v>2130</v>
      </c>
      <c r="D1062" s="27" t="s">
        <v>7074</v>
      </c>
      <c r="E1062" s="27" t="s">
        <v>7075</v>
      </c>
      <c r="F1062" s="27" t="s">
        <v>7057</v>
      </c>
      <c r="G1062" s="28"/>
      <c r="H1062" s="6" t="s">
        <v>57</v>
      </c>
      <c r="I1062" s="6" t="s">
        <v>62</v>
      </c>
      <c r="J1062" s="6" t="s">
        <v>57</v>
      </c>
      <c r="K1062" s="6" t="s">
        <v>63</v>
      </c>
      <c r="L1062" s="6" t="s">
        <v>64</v>
      </c>
      <c r="M1062" s="27" t="s">
        <v>7058</v>
      </c>
      <c r="N1062" s="27" t="s">
        <v>7059</v>
      </c>
      <c r="O1062" s="6" t="s">
        <v>3029</v>
      </c>
      <c r="P1062" s="27" t="s">
        <v>7060</v>
      </c>
      <c r="Q1062" s="6" t="s">
        <v>67</v>
      </c>
      <c r="R1062" s="6" t="s">
        <v>123</v>
      </c>
      <c r="S1062" s="28"/>
      <c r="T1062" s="6" t="s">
        <v>6138</v>
      </c>
      <c r="U1062" s="7" t="n">
        <v>3</v>
      </c>
      <c r="V1062" s="7" t="n">
        <v>20</v>
      </c>
      <c r="W1062" s="8" t="s">
        <v>7076</v>
      </c>
      <c r="X1062" s="8" t="s">
        <v>3341</v>
      </c>
      <c r="Y1062" s="8" t="s">
        <v>6974</v>
      </c>
      <c r="Z1062" s="8" t="s">
        <v>7062</v>
      </c>
      <c r="AA1062" s="7" t="n">
        <v>223</v>
      </c>
      <c r="AB1062" s="7" t="n">
        <v>183</v>
      </c>
      <c r="AC1062" s="7" t="n">
        <v>422</v>
      </c>
      <c r="AD1062" s="7" t="n">
        <v>2</v>
      </c>
      <c r="AE1062" s="7" t="n">
        <v>3</v>
      </c>
      <c r="AF1062" s="7" t="n">
        <v>16</v>
      </c>
      <c r="AG1062" s="7" t="n">
        <v>25</v>
      </c>
      <c r="AH1062" s="7" t="n">
        <v>7</v>
      </c>
      <c r="AI1062" s="7" t="n">
        <v>10</v>
      </c>
      <c r="AJ1062" s="7" t="n">
        <v>5</v>
      </c>
      <c r="AK1062" s="7" t="n">
        <v>7</v>
      </c>
      <c r="AL1062" s="7" t="n">
        <v>10</v>
      </c>
      <c r="AM1062" s="7" t="n">
        <v>16</v>
      </c>
      <c r="AN1062" s="7" t="n">
        <v>1</v>
      </c>
      <c r="AO1062" s="7" t="n">
        <v>2</v>
      </c>
      <c r="AP1062" s="7" t="n">
        <v>0</v>
      </c>
      <c r="AQ1062" s="7" t="n">
        <v>0</v>
      </c>
      <c r="AR1062" s="6" t="s">
        <v>63</v>
      </c>
      <c r="AS1062" s="6" t="s">
        <v>57</v>
      </c>
      <c r="AT1062" s="9" t="str">
        <f aca="false">HYPERLINK("http://catalog.hathitrust.org/Record/010661774","HathiTrust Record")</f>
        <v>HathiTrust Record</v>
      </c>
      <c r="AU1062" s="9" t="str">
        <f aca="false">HYPERLINK("https://creighton-primo.hosted.exlibrisgroup.com/primo-explore/search?tab=default_tab&amp;search_scope=EVERYTHING&amp;vid=01CRU&amp;lang=en_US&amp;offset=0&amp;query=any,contains,991002440709702656","Catalog Record")</f>
        <v>Catalog Record</v>
      </c>
      <c r="AV1062" s="9" t="str">
        <f aca="false">HYPERLINK("http://www.worldcat.org/oclc/350010","WorldCat Record")</f>
        <v>WorldCat Record</v>
      </c>
      <c r="AW1062" s="6" t="s">
        <v>7063</v>
      </c>
      <c r="AX1062" s="6" t="s">
        <v>7064</v>
      </c>
      <c r="AY1062" s="6" t="s">
        <v>7065</v>
      </c>
      <c r="AZ1062" s="6" t="s">
        <v>7065</v>
      </c>
      <c r="BA1062" s="6" t="s">
        <v>7066</v>
      </c>
      <c r="BB1062" s="28"/>
      <c r="BC1062" s="6" t="s">
        <v>7077</v>
      </c>
      <c r="BE1062" s="15" t="s">
        <v>2145</v>
      </c>
      <c r="BF1062" s="6" t="s">
        <v>7078</v>
      </c>
    </row>
    <row r="1063" customFormat="false" ht="71" hidden="false" customHeight="false" outlineLevel="0" collapsed="false">
      <c r="A1063" s="26" t="s">
        <v>63</v>
      </c>
      <c r="B1063" s="27" t="s">
        <v>2129</v>
      </c>
      <c r="C1063" s="27" t="s">
        <v>2130</v>
      </c>
      <c r="D1063" s="27" t="s">
        <v>7079</v>
      </c>
      <c r="E1063" s="27" t="s">
        <v>7080</v>
      </c>
      <c r="F1063" s="27" t="s">
        <v>7057</v>
      </c>
      <c r="G1063" s="28"/>
      <c r="H1063" s="6" t="s">
        <v>57</v>
      </c>
      <c r="I1063" s="6" t="s">
        <v>62</v>
      </c>
      <c r="J1063" s="6" t="s">
        <v>57</v>
      </c>
      <c r="K1063" s="6" t="s">
        <v>63</v>
      </c>
      <c r="L1063" s="6" t="s">
        <v>64</v>
      </c>
      <c r="M1063" s="27" t="s">
        <v>7058</v>
      </c>
      <c r="N1063" s="27" t="s">
        <v>7059</v>
      </c>
      <c r="O1063" s="6" t="s">
        <v>3029</v>
      </c>
      <c r="P1063" s="27" t="s">
        <v>7060</v>
      </c>
      <c r="Q1063" s="6" t="s">
        <v>67</v>
      </c>
      <c r="R1063" s="6" t="s">
        <v>123</v>
      </c>
      <c r="S1063" s="28"/>
      <c r="T1063" s="6" t="s">
        <v>6138</v>
      </c>
      <c r="U1063" s="7" t="n">
        <v>0</v>
      </c>
      <c r="V1063" s="7" t="n">
        <v>20</v>
      </c>
      <c r="W1063" s="28"/>
      <c r="X1063" s="8" t="s">
        <v>3341</v>
      </c>
      <c r="Y1063" s="8" t="s">
        <v>6974</v>
      </c>
      <c r="Z1063" s="8" t="s">
        <v>7062</v>
      </c>
      <c r="AA1063" s="7" t="n">
        <v>223</v>
      </c>
      <c r="AB1063" s="7" t="n">
        <v>183</v>
      </c>
      <c r="AC1063" s="7" t="n">
        <v>422</v>
      </c>
      <c r="AD1063" s="7" t="n">
        <v>2</v>
      </c>
      <c r="AE1063" s="7" t="n">
        <v>3</v>
      </c>
      <c r="AF1063" s="7" t="n">
        <v>16</v>
      </c>
      <c r="AG1063" s="7" t="n">
        <v>25</v>
      </c>
      <c r="AH1063" s="7" t="n">
        <v>7</v>
      </c>
      <c r="AI1063" s="7" t="n">
        <v>10</v>
      </c>
      <c r="AJ1063" s="7" t="n">
        <v>5</v>
      </c>
      <c r="AK1063" s="7" t="n">
        <v>7</v>
      </c>
      <c r="AL1063" s="7" t="n">
        <v>10</v>
      </c>
      <c r="AM1063" s="7" t="n">
        <v>16</v>
      </c>
      <c r="AN1063" s="7" t="n">
        <v>1</v>
      </c>
      <c r="AO1063" s="7" t="n">
        <v>2</v>
      </c>
      <c r="AP1063" s="7" t="n">
        <v>0</v>
      </c>
      <c r="AQ1063" s="7" t="n">
        <v>0</v>
      </c>
      <c r="AR1063" s="6" t="s">
        <v>63</v>
      </c>
      <c r="AS1063" s="6" t="s">
        <v>57</v>
      </c>
      <c r="AT1063" s="9" t="str">
        <f aca="false">HYPERLINK("http://catalog.hathitrust.org/Record/010661774","HathiTrust Record")</f>
        <v>HathiTrust Record</v>
      </c>
      <c r="AU1063" s="9" t="str">
        <f aca="false">HYPERLINK("https://creighton-primo.hosted.exlibrisgroup.com/primo-explore/search?tab=default_tab&amp;search_scope=EVERYTHING&amp;vid=01CRU&amp;lang=en_US&amp;offset=0&amp;query=any,contains,991002440709702656","Catalog Record")</f>
        <v>Catalog Record</v>
      </c>
      <c r="AV1063" s="9" t="str">
        <f aca="false">HYPERLINK("http://www.worldcat.org/oclc/350010","WorldCat Record")</f>
        <v>WorldCat Record</v>
      </c>
      <c r="AW1063" s="6" t="s">
        <v>7063</v>
      </c>
      <c r="AX1063" s="6" t="s">
        <v>7064</v>
      </c>
      <c r="AY1063" s="6" t="s">
        <v>7065</v>
      </c>
      <c r="AZ1063" s="6" t="s">
        <v>7065</v>
      </c>
      <c r="BA1063" s="6" t="s">
        <v>7066</v>
      </c>
      <c r="BB1063" s="28"/>
      <c r="BC1063" s="6" t="s">
        <v>7081</v>
      </c>
      <c r="BE1063" s="15" t="s">
        <v>2145</v>
      </c>
      <c r="BF1063" s="6" t="s">
        <v>7082</v>
      </c>
    </row>
    <row r="1064" customFormat="false" ht="71" hidden="false" customHeight="false" outlineLevel="0" collapsed="false">
      <c r="A1064" s="26" t="s">
        <v>63</v>
      </c>
      <c r="B1064" s="27" t="s">
        <v>2129</v>
      </c>
      <c r="C1064" s="27" t="s">
        <v>2130</v>
      </c>
      <c r="D1064" s="27" t="s">
        <v>7083</v>
      </c>
      <c r="E1064" s="27" t="s">
        <v>7084</v>
      </c>
      <c r="F1064" s="27" t="s">
        <v>7057</v>
      </c>
      <c r="G1064" s="28"/>
      <c r="H1064" s="6" t="s">
        <v>57</v>
      </c>
      <c r="I1064" s="6" t="s">
        <v>62</v>
      </c>
      <c r="J1064" s="6" t="s">
        <v>57</v>
      </c>
      <c r="K1064" s="6" t="s">
        <v>63</v>
      </c>
      <c r="L1064" s="6" t="s">
        <v>64</v>
      </c>
      <c r="M1064" s="27" t="s">
        <v>7058</v>
      </c>
      <c r="N1064" s="27" t="s">
        <v>7059</v>
      </c>
      <c r="O1064" s="6" t="s">
        <v>3029</v>
      </c>
      <c r="P1064" s="27" t="s">
        <v>7060</v>
      </c>
      <c r="Q1064" s="6" t="s">
        <v>67</v>
      </c>
      <c r="R1064" s="6" t="s">
        <v>123</v>
      </c>
      <c r="S1064" s="28"/>
      <c r="T1064" s="6" t="s">
        <v>6138</v>
      </c>
      <c r="U1064" s="7" t="n">
        <v>3</v>
      </c>
      <c r="V1064" s="7" t="n">
        <v>20</v>
      </c>
      <c r="W1064" s="8" t="s">
        <v>7085</v>
      </c>
      <c r="X1064" s="8" t="s">
        <v>3341</v>
      </c>
      <c r="Y1064" s="8" t="s">
        <v>7062</v>
      </c>
      <c r="Z1064" s="8" t="s">
        <v>7062</v>
      </c>
      <c r="AA1064" s="7" t="n">
        <v>223</v>
      </c>
      <c r="AB1064" s="7" t="n">
        <v>183</v>
      </c>
      <c r="AC1064" s="7" t="n">
        <v>422</v>
      </c>
      <c r="AD1064" s="7" t="n">
        <v>2</v>
      </c>
      <c r="AE1064" s="7" t="n">
        <v>3</v>
      </c>
      <c r="AF1064" s="7" t="n">
        <v>16</v>
      </c>
      <c r="AG1064" s="7" t="n">
        <v>25</v>
      </c>
      <c r="AH1064" s="7" t="n">
        <v>7</v>
      </c>
      <c r="AI1064" s="7" t="n">
        <v>10</v>
      </c>
      <c r="AJ1064" s="7" t="n">
        <v>5</v>
      </c>
      <c r="AK1064" s="7" t="n">
        <v>7</v>
      </c>
      <c r="AL1064" s="7" t="n">
        <v>10</v>
      </c>
      <c r="AM1064" s="7" t="n">
        <v>16</v>
      </c>
      <c r="AN1064" s="7" t="n">
        <v>1</v>
      </c>
      <c r="AO1064" s="7" t="n">
        <v>2</v>
      </c>
      <c r="AP1064" s="7" t="n">
        <v>0</v>
      </c>
      <c r="AQ1064" s="7" t="n">
        <v>0</v>
      </c>
      <c r="AR1064" s="6" t="s">
        <v>63</v>
      </c>
      <c r="AS1064" s="6" t="s">
        <v>57</v>
      </c>
      <c r="AT1064" s="9" t="str">
        <f aca="false">HYPERLINK("http://catalog.hathitrust.org/Record/010661774","HathiTrust Record")</f>
        <v>HathiTrust Record</v>
      </c>
      <c r="AU1064" s="9" t="str">
        <f aca="false">HYPERLINK("https://creighton-primo.hosted.exlibrisgroup.com/primo-explore/search?tab=default_tab&amp;search_scope=EVERYTHING&amp;vid=01CRU&amp;lang=en_US&amp;offset=0&amp;query=any,contains,991002440709702656","Catalog Record")</f>
        <v>Catalog Record</v>
      </c>
      <c r="AV1064" s="9" t="str">
        <f aca="false">HYPERLINK("http://www.worldcat.org/oclc/350010","WorldCat Record")</f>
        <v>WorldCat Record</v>
      </c>
      <c r="AW1064" s="6" t="s">
        <v>7063</v>
      </c>
      <c r="AX1064" s="6" t="s">
        <v>7064</v>
      </c>
      <c r="AY1064" s="6" t="s">
        <v>7065</v>
      </c>
      <c r="AZ1064" s="6" t="s">
        <v>7065</v>
      </c>
      <c r="BA1064" s="6" t="s">
        <v>7066</v>
      </c>
      <c r="BB1064" s="28"/>
      <c r="BC1064" s="6" t="s">
        <v>7086</v>
      </c>
      <c r="BE1064" s="15" t="s">
        <v>2145</v>
      </c>
      <c r="BF1064" s="6" t="s">
        <v>7087</v>
      </c>
    </row>
    <row r="1065" customFormat="false" ht="71" hidden="false" customHeight="false" outlineLevel="0" collapsed="false">
      <c r="A1065" s="26" t="s">
        <v>63</v>
      </c>
      <c r="B1065" s="27" t="s">
        <v>2129</v>
      </c>
      <c r="C1065" s="27" t="s">
        <v>2130</v>
      </c>
      <c r="D1065" s="27" t="s">
        <v>7088</v>
      </c>
      <c r="E1065" s="27" t="s">
        <v>7089</v>
      </c>
      <c r="F1065" s="27" t="s">
        <v>7057</v>
      </c>
      <c r="G1065" s="28"/>
      <c r="H1065" s="6" t="s">
        <v>57</v>
      </c>
      <c r="I1065" s="6" t="s">
        <v>62</v>
      </c>
      <c r="J1065" s="6" t="s">
        <v>57</v>
      </c>
      <c r="K1065" s="6" t="s">
        <v>63</v>
      </c>
      <c r="L1065" s="6" t="s">
        <v>64</v>
      </c>
      <c r="M1065" s="27" t="s">
        <v>7058</v>
      </c>
      <c r="N1065" s="27" t="s">
        <v>7059</v>
      </c>
      <c r="O1065" s="6" t="s">
        <v>3029</v>
      </c>
      <c r="P1065" s="27" t="s">
        <v>7060</v>
      </c>
      <c r="Q1065" s="6" t="s">
        <v>67</v>
      </c>
      <c r="R1065" s="6" t="s">
        <v>123</v>
      </c>
      <c r="S1065" s="28"/>
      <c r="T1065" s="6" t="s">
        <v>6138</v>
      </c>
      <c r="U1065" s="7" t="n">
        <v>0</v>
      </c>
      <c r="V1065" s="7" t="n">
        <v>20</v>
      </c>
      <c r="W1065" s="28"/>
      <c r="X1065" s="8" t="s">
        <v>3341</v>
      </c>
      <c r="Y1065" s="8" t="s">
        <v>6974</v>
      </c>
      <c r="Z1065" s="8" t="s">
        <v>7062</v>
      </c>
      <c r="AA1065" s="7" t="n">
        <v>223</v>
      </c>
      <c r="AB1065" s="7" t="n">
        <v>183</v>
      </c>
      <c r="AC1065" s="7" t="n">
        <v>422</v>
      </c>
      <c r="AD1065" s="7" t="n">
        <v>2</v>
      </c>
      <c r="AE1065" s="7" t="n">
        <v>3</v>
      </c>
      <c r="AF1065" s="7" t="n">
        <v>16</v>
      </c>
      <c r="AG1065" s="7" t="n">
        <v>25</v>
      </c>
      <c r="AH1065" s="7" t="n">
        <v>7</v>
      </c>
      <c r="AI1065" s="7" t="n">
        <v>10</v>
      </c>
      <c r="AJ1065" s="7" t="n">
        <v>5</v>
      </c>
      <c r="AK1065" s="7" t="n">
        <v>7</v>
      </c>
      <c r="AL1065" s="7" t="n">
        <v>10</v>
      </c>
      <c r="AM1065" s="7" t="n">
        <v>16</v>
      </c>
      <c r="AN1065" s="7" t="n">
        <v>1</v>
      </c>
      <c r="AO1065" s="7" t="n">
        <v>2</v>
      </c>
      <c r="AP1065" s="7" t="n">
        <v>0</v>
      </c>
      <c r="AQ1065" s="7" t="n">
        <v>0</v>
      </c>
      <c r="AR1065" s="6" t="s">
        <v>63</v>
      </c>
      <c r="AS1065" s="6" t="s">
        <v>57</v>
      </c>
      <c r="AT1065" s="9" t="str">
        <f aca="false">HYPERLINK("http://catalog.hathitrust.org/Record/010661774","HathiTrust Record")</f>
        <v>HathiTrust Record</v>
      </c>
      <c r="AU1065" s="9" t="str">
        <f aca="false">HYPERLINK("https://creighton-primo.hosted.exlibrisgroup.com/primo-explore/search?tab=default_tab&amp;search_scope=EVERYTHING&amp;vid=01CRU&amp;lang=en_US&amp;offset=0&amp;query=any,contains,991002440709702656","Catalog Record")</f>
        <v>Catalog Record</v>
      </c>
      <c r="AV1065" s="9" t="str">
        <f aca="false">HYPERLINK("http://www.worldcat.org/oclc/350010","WorldCat Record")</f>
        <v>WorldCat Record</v>
      </c>
      <c r="AW1065" s="6" t="s">
        <v>7063</v>
      </c>
      <c r="AX1065" s="6" t="s">
        <v>7064</v>
      </c>
      <c r="AY1065" s="6" t="s">
        <v>7065</v>
      </c>
      <c r="AZ1065" s="6" t="s">
        <v>7065</v>
      </c>
      <c r="BA1065" s="6" t="s">
        <v>7066</v>
      </c>
      <c r="BB1065" s="28"/>
      <c r="BC1065" s="6" t="s">
        <v>7090</v>
      </c>
      <c r="BE1065" s="15" t="s">
        <v>2145</v>
      </c>
      <c r="BF1065" s="6" t="s">
        <v>7091</v>
      </c>
    </row>
    <row r="1066" customFormat="false" ht="71" hidden="false" customHeight="false" outlineLevel="0" collapsed="false">
      <c r="A1066" s="26" t="s">
        <v>63</v>
      </c>
      <c r="B1066" s="27" t="s">
        <v>2129</v>
      </c>
      <c r="C1066" s="27" t="s">
        <v>2130</v>
      </c>
      <c r="D1066" s="27" t="s">
        <v>7092</v>
      </c>
      <c r="E1066" s="27" t="s">
        <v>7093</v>
      </c>
      <c r="F1066" s="27" t="s">
        <v>7057</v>
      </c>
      <c r="G1066" s="28"/>
      <c r="H1066" s="6" t="s">
        <v>57</v>
      </c>
      <c r="I1066" s="6" t="s">
        <v>62</v>
      </c>
      <c r="J1066" s="6" t="s">
        <v>57</v>
      </c>
      <c r="K1066" s="6" t="s">
        <v>63</v>
      </c>
      <c r="L1066" s="6" t="s">
        <v>64</v>
      </c>
      <c r="M1066" s="27" t="s">
        <v>7058</v>
      </c>
      <c r="N1066" s="27" t="s">
        <v>7059</v>
      </c>
      <c r="O1066" s="6" t="s">
        <v>3029</v>
      </c>
      <c r="P1066" s="27" t="s">
        <v>7060</v>
      </c>
      <c r="Q1066" s="6" t="s">
        <v>67</v>
      </c>
      <c r="R1066" s="6" t="s">
        <v>123</v>
      </c>
      <c r="S1066" s="28"/>
      <c r="T1066" s="6" t="s">
        <v>6138</v>
      </c>
      <c r="U1066" s="7" t="n">
        <v>1</v>
      </c>
      <c r="V1066" s="7" t="n">
        <v>20</v>
      </c>
      <c r="W1066" s="8" t="s">
        <v>3341</v>
      </c>
      <c r="X1066" s="8" t="s">
        <v>3341</v>
      </c>
      <c r="Y1066" s="8" t="s">
        <v>6974</v>
      </c>
      <c r="Z1066" s="8" t="s">
        <v>7062</v>
      </c>
      <c r="AA1066" s="7" t="n">
        <v>223</v>
      </c>
      <c r="AB1066" s="7" t="n">
        <v>183</v>
      </c>
      <c r="AC1066" s="7" t="n">
        <v>422</v>
      </c>
      <c r="AD1066" s="7" t="n">
        <v>2</v>
      </c>
      <c r="AE1066" s="7" t="n">
        <v>3</v>
      </c>
      <c r="AF1066" s="7" t="n">
        <v>16</v>
      </c>
      <c r="AG1066" s="7" t="n">
        <v>25</v>
      </c>
      <c r="AH1066" s="7" t="n">
        <v>7</v>
      </c>
      <c r="AI1066" s="7" t="n">
        <v>10</v>
      </c>
      <c r="AJ1066" s="7" t="n">
        <v>5</v>
      </c>
      <c r="AK1066" s="7" t="n">
        <v>7</v>
      </c>
      <c r="AL1066" s="7" t="n">
        <v>10</v>
      </c>
      <c r="AM1066" s="7" t="n">
        <v>16</v>
      </c>
      <c r="AN1066" s="7" t="n">
        <v>1</v>
      </c>
      <c r="AO1066" s="7" t="n">
        <v>2</v>
      </c>
      <c r="AP1066" s="7" t="n">
        <v>0</v>
      </c>
      <c r="AQ1066" s="7" t="n">
        <v>0</v>
      </c>
      <c r="AR1066" s="6" t="s">
        <v>63</v>
      </c>
      <c r="AS1066" s="6" t="s">
        <v>57</v>
      </c>
      <c r="AT1066" s="9" t="str">
        <f aca="false">HYPERLINK("http://catalog.hathitrust.org/Record/010661774","HathiTrust Record")</f>
        <v>HathiTrust Record</v>
      </c>
      <c r="AU1066" s="9" t="str">
        <f aca="false">HYPERLINK("https://creighton-primo.hosted.exlibrisgroup.com/primo-explore/search?tab=default_tab&amp;search_scope=EVERYTHING&amp;vid=01CRU&amp;lang=en_US&amp;offset=0&amp;query=any,contains,991002440709702656","Catalog Record")</f>
        <v>Catalog Record</v>
      </c>
      <c r="AV1066" s="9" t="str">
        <f aca="false">HYPERLINK("http://www.worldcat.org/oclc/350010","WorldCat Record")</f>
        <v>WorldCat Record</v>
      </c>
      <c r="AW1066" s="6" t="s">
        <v>7063</v>
      </c>
      <c r="AX1066" s="6" t="s">
        <v>7064</v>
      </c>
      <c r="AY1066" s="6" t="s">
        <v>7065</v>
      </c>
      <c r="AZ1066" s="6" t="s">
        <v>7065</v>
      </c>
      <c r="BA1066" s="6" t="s">
        <v>7066</v>
      </c>
      <c r="BB1066" s="28"/>
      <c r="BC1066" s="6" t="s">
        <v>7094</v>
      </c>
      <c r="BE1066" s="15" t="s">
        <v>2145</v>
      </c>
      <c r="BF1066" s="6" t="s">
        <v>7095</v>
      </c>
    </row>
    <row r="1067" customFormat="false" ht="71" hidden="false" customHeight="false" outlineLevel="0" collapsed="false">
      <c r="A1067" s="26" t="s">
        <v>63</v>
      </c>
      <c r="B1067" s="27" t="s">
        <v>2129</v>
      </c>
      <c r="C1067" s="27" t="s">
        <v>2130</v>
      </c>
      <c r="D1067" s="27" t="s">
        <v>7096</v>
      </c>
      <c r="E1067" s="27" t="s">
        <v>7097</v>
      </c>
      <c r="F1067" s="27" t="s">
        <v>7057</v>
      </c>
      <c r="G1067" s="28"/>
      <c r="H1067" s="6" t="s">
        <v>57</v>
      </c>
      <c r="I1067" s="6" t="s">
        <v>62</v>
      </c>
      <c r="J1067" s="6" t="s">
        <v>57</v>
      </c>
      <c r="K1067" s="6" t="s">
        <v>63</v>
      </c>
      <c r="L1067" s="6" t="s">
        <v>64</v>
      </c>
      <c r="M1067" s="27" t="s">
        <v>7058</v>
      </c>
      <c r="N1067" s="27" t="s">
        <v>7059</v>
      </c>
      <c r="O1067" s="6" t="s">
        <v>3029</v>
      </c>
      <c r="P1067" s="27" t="s">
        <v>7060</v>
      </c>
      <c r="Q1067" s="6" t="s">
        <v>67</v>
      </c>
      <c r="R1067" s="6" t="s">
        <v>123</v>
      </c>
      <c r="S1067" s="28"/>
      <c r="T1067" s="6" t="s">
        <v>6138</v>
      </c>
      <c r="U1067" s="7" t="n">
        <v>2</v>
      </c>
      <c r="V1067" s="7" t="n">
        <v>20</v>
      </c>
      <c r="W1067" s="8" t="s">
        <v>4290</v>
      </c>
      <c r="X1067" s="8" t="s">
        <v>3341</v>
      </c>
      <c r="Y1067" s="8" t="s">
        <v>6974</v>
      </c>
      <c r="Z1067" s="8" t="s">
        <v>7062</v>
      </c>
      <c r="AA1067" s="7" t="n">
        <v>223</v>
      </c>
      <c r="AB1067" s="7" t="n">
        <v>183</v>
      </c>
      <c r="AC1067" s="7" t="n">
        <v>422</v>
      </c>
      <c r="AD1067" s="7" t="n">
        <v>2</v>
      </c>
      <c r="AE1067" s="7" t="n">
        <v>3</v>
      </c>
      <c r="AF1067" s="7" t="n">
        <v>16</v>
      </c>
      <c r="AG1067" s="7" t="n">
        <v>25</v>
      </c>
      <c r="AH1067" s="7" t="n">
        <v>7</v>
      </c>
      <c r="AI1067" s="7" t="n">
        <v>10</v>
      </c>
      <c r="AJ1067" s="7" t="n">
        <v>5</v>
      </c>
      <c r="AK1067" s="7" t="n">
        <v>7</v>
      </c>
      <c r="AL1067" s="7" t="n">
        <v>10</v>
      </c>
      <c r="AM1067" s="7" t="n">
        <v>16</v>
      </c>
      <c r="AN1067" s="7" t="n">
        <v>1</v>
      </c>
      <c r="AO1067" s="7" t="n">
        <v>2</v>
      </c>
      <c r="AP1067" s="7" t="n">
        <v>0</v>
      </c>
      <c r="AQ1067" s="7" t="n">
        <v>0</v>
      </c>
      <c r="AR1067" s="6" t="s">
        <v>63</v>
      </c>
      <c r="AS1067" s="6" t="s">
        <v>57</v>
      </c>
      <c r="AT1067" s="9" t="str">
        <f aca="false">HYPERLINK("http://catalog.hathitrust.org/Record/010661774","HathiTrust Record")</f>
        <v>HathiTrust Record</v>
      </c>
      <c r="AU1067" s="9" t="str">
        <f aca="false">HYPERLINK("https://creighton-primo.hosted.exlibrisgroup.com/primo-explore/search?tab=default_tab&amp;search_scope=EVERYTHING&amp;vid=01CRU&amp;lang=en_US&amp;offset=0&amp;query=any,contains,991002440709702656","Catalog Record")</f>
        <v>Catalog Record</v>
      </c>
      <c r="AV1067" s="9" t="str">
        <f aca="false">HYPERLINK("http://www.worldcat.org/oclc/350010","WorldCat Record")</f>
        <v>WorldCat Record</v>
      </c>
      <c r="AW1067" s="6" t="s">
        <v>7063</v>
      </c>
      <c r="AX1067" s="6" t="s">
        <v>7064</v>
      </c>
      <c r="AY1067" s="6" t="s">
        <v>7065</v>
      </c>
      <c r="AZ1067" s="6" t="s">
        <v>7065</v>
      </c>
      <c r="BA1067" s="6" t="s">
        <v>7066</v>
      </c>
      <c r="BB1067" s="28"/>
      <c r="BC1067" s="6" t="s">
        <v>7098</v>
      </c>
      <c r="BE1067" s="15" t="s">
        <v>2145</v>
      </c>
      <c r="BF1067" s="6" t="s">
        <v>7099</v>
      </c>
    </row>
    <row r="1068" customFormat="false" ht="117" hidden="false" customHeight="false" outlineLevel="0" collapsed="false">
      <c r="A1068" s="26" t="s">
        <v>63</v>
      </c>
      <c r="B1068" s="27" t="s">
        <v>2129</v>
      </c>
      <c r="C1068" s="27" t="s">
        <v>2130</v>
      </c>
      <c r="D1068" s="27" t="s">
        <v>7100</v>
      </c>
      <c r="E1068" s="27" t="s">
        <v>7101</v>
      </c>
      <c r="F1068" s="27" t="s">
        <v>7102</v>
      </c>
      <c r="G1068" s="6" t="s">
        <v>502</v>
      </c>
      <c r="H1068" s="6" t="s">
        <v>57</v>
      </c>
      <c r="I1068" s="6" t="s">
        <v>62</v>
      </c>
      <c r="J1068" s="6" t="s">
        <v>63</v>
      </c>
      <c r="K1068" s="6" t="s">
        <v>57</v>
      </c>
      <c r="L1068" s="6" t="s">
        <v>64</v>
      </c>
      <c r="M1068" s="27" t="s">
        <v>7103</v>
      </c>
      <c r="N1068" s="27" t="s">
        <v>7104</v>
      </c>
      <c r="O1068" s="6" t="s">
        <v>221</v>
      </c>
      <c r="P1068" s="28"/>
      <c r="Q1068" s="6" t="s">
        <v>67</v>
      </c>
      <c r="R1068" s="6" t="s">
        <v>1108</v>
      </c>
      <c r="S1068" s="27" t="s">
        <v>7105</v>
      </c>
      <c r="T1068" s="6" t="s">
        <v>6138</v>
      </c>
      <c r="U1068" s="7" t="n">
        <v>0</v>
      </c>
      <c r="V1068" s="7" t="n">
        <v>4</v>
      </c>
      <c r="W1068" s="8" t="s">
        <v>7106</v>
      </c>
      <c r="X1068" s="8" t="s">
        <v>7106</v>
      </c>
      <c r="Y1068" s="8" t="s">
        <v>7107</v>
      </c>
      <c r="Z1068" s="8" t="s">
        <v>7107</v>
      </c>
      <c r="AA1068" s="7" t="n">
        <v>210</v>
      </c>
      <c r="AB1068" s="7" t="n">
        <v>173</v>
      </c>
      <c r="AC1068" s="7" t="n">
        <v>1296</v>
      </c>
      <c r="AD1068" s="7" t="n">
        <v>2</v>
      </c>
      <c r="AE1068" s="7" t="n">
        <v>12</v>
      </c>
      <c r="AF1068" s="7" t="n">
        <v>4</v>
      </c>
      <c r="AG1068" s="7" t="n">
        <v>56</v>
      </c>
      <c r="AH1068" s="7" t="n">
        <v>1</v>
      </c>
      <c r="AI1068" s="7" t="n">
        <v>24</v>
      </c>
      <c r="AJ1068" s="7" t="n">
        <v>1</v>
      </c>
      <c r="AK1068" s="7" t="n">
        <v>9</v>
      </c>
      <c r="AL1068" s="7" t="n">
        <v>1</v>
      </c>
      <c r="AM1068" s="7" t="n">
        <v>23</v>
      </c>
      <c r="AN1068" s="7" t="n">
        <v>1</v>
      </c>
      <c r="AO1068" s="7" t="n">
        <v>10</v>
      </c>
      <c r="AP1068" s="7" t="n">
        <v>1</v>
      </c>
      <c r="AQ1068" s="7" t="n">
        <v>1</v>
      </c>
      <c r="AR1068" s="6" t="s">
        <v>63</v>
      </c>
      <c r="AS1068" s="6" t="s">
        <v>63</v>
      </c>
      <c r="AT1068" s="28"/>
      <c r="AU1068" s="9" t="str">
        <f aca="false">HYPERLINK("https://creighton-primo.hosted.exlibrisgroup.com/primo-explore/search?tab=default_tab&amp;search_scope=EVERYTHING&amp;vid=01CRU&amp;lang=en_US&amp;offset=0&amp;query=any,contains,991005403319702656","Catalog Record")</f>
        <v>Catalog Record</v>
      </c>
      <c r="AV1068" s="9" t="str">
        <f aca="false">HYPERLINK("http://www.worldcat.org/oclc/9891924","WorldCat Record")</f>
        <v>WorldCat Record</v>
      </c>
      <c r="AW1068" s="6" t="s">
        <v>7108</v>
      </c>
      <c r="AX1068" s="6" t="s">
        <v>7109</v>
      </c>
      <c r="AY1068" s="6" t="s">
        <v>7110</v>
      </c>
      <c r="AZ1068" s="6" t="s">
        <v>7110</v>
      </c>
      <c r="BA1068" s="6" t="s">
        <v>7111</v>
      </c>
      <c r="BB1068" s="6" t="s">
        <v>7112</v>
      </c>
      <c r="BC1068" s="6" t="s">
        <v>7113</v>
      </c>
      <c r="BE1068" s="15" t="s">
        <v>2145</v>
      </c>
      <c r="BF1068" s="6" t="s">
        <v>7114</v>
      </c>
    </row>
    <row r="1069" customFormat="false" ht="117" hidden="false" customHeight="false" outlineLevel="0" collapsed="false">
      <c r="A1069" s="26" t="s">
        <v>63</v>
      </c>
      <c r="B1069" s="27" t="s">
        <v>2129</v>
      </c>
      <c r="C1069" s="27" t="s">
        <v>2130</v>
      </c>
      <c r="D1069" s="27" t="s">
        <v>7100</v>
      </c>
      <c r="E1069" s="27" t="s">
        <v>7101</v>
      </c>
      <c r="F1069" s="27" t="s">
        <v>7102</v>
      </c>
      <c r="G1069" s="6" t="s">
        <v>498</v>
      </c>
      <c r="H1069" s="6" t="s">
        <v>57</v>
      </c>
      <c r="I1069" s="6" t="s">
        <v>62</v>
      </c>
      <c r="J1069" s="6" t="s">
        <v>63</v>
      </c>
      <c r="K1069" s="6" t="s">
        <v>57</v>
      </c>
      <c r="L1069" s="6" t="s">
        <v>64</v>
      </c>
      <c r="M1069" s="27" t="s">
        <v>7103</v>
      </c>
      <c r="N1069" s="27" t="s">
        <v>7104</v>
      </c>
      <c r="O1069" s="6" t="s">
        <v>221</v>
      </c>
      <c r="P1069" s="28"/>
      <c r="Q1069" s="6" t="s">
        <v>67</v>
      </c>
      <c r="R1069" s="6" t="s">
        <v>1108</v>
      </c>
      <c r="S1069" s="27" t="s">
        <v>7105</v>
      </c>
      <c r="T1069" s="6" t="s">
        <v>6138</v>
      </c>
      <c r="U1069" s="7" t="n">
        <v>4</v>
      </c>
      <c r="V1069" s="7" t="n">
        <v>4</v>
      </c>
      <c r="W1069" s="8" t="s">
        <v>7106</v>
      </c>
      <c r="X1069" s="8" t="s">
        <v>7106</v>
      </c>
      <c r="Y1069" s="8" t="s">
        <v>7107</v>
      </c>
      <c r="Z1069" s="8" t="s">
        <v>7107</v>
      </c>
      <c r="AA1069" s="7" t="n">
        <v>210</v>
      </c>
      <c r="AB1069" s="7" t="n">
        <v>173</v>
      </c>
      <c r="AC1069" s="7" t="n">
        <v>1296</v>
      </c>
      <c r="AD1069" s="7" t="n">
        <v>2</v>
      </c>
      <c r="AE1069" s="7" t="n">
        <v>12</v>
      </c>
      <c r="AF1069" s="7" t="n">
        <v>4</v>
      </c>
      <c r="AG1069" s="7" t="n">
        <v>56</v>
      </c>
      <c r="AH1069" s="7" t="n">
        <v>1</v>
      </c>
      <c r="AI1069" s="7" t="n">
        <v>24</v>
      </c>
      <c r="AJ1069" s="7" t="n">
        <v>1</v>
      </c>
      <c r="AK1069" s="7" t="n">
        <v>9</v>
      </c>
      <c r="AL1069" s="7" t="n">
        <v>1</v>
      </c>
      <c r="AM1069" s="7" t="n">
        <v>23</v>
      </c>
      <c r="AN1069" s="7" t="n">
        <v>1</v>
      </c>
      <c r="AO1069" s="7" t="n">
        <v>10</v>
      </c>
      <c r="AP1069" s="7" t="n">
        <v>1</v>
      </c>
      <c r="AQ1069" s="7" t="n">
        <v>1</v>
      </c>
      <c r="AR1069" s="6" t="s">
        <v>63</v>
      </c>
      <c r="AS1069" s="6" t="s">
        <v>63</v>
      </c>
      <c r="AT1069" s="28"/>
      <c r="AU1069" s="9" t="str">
        <f aca="false">HYPERLINK("https://creighton-primo.hosted.exlibrisgroup.com/primo-explore/search?tab=default_tab&amp;search_scope=EVERYTHING&amp;vid=01CRU&amp;lang=en_US&amp;offset=0&amp;query=any,contains,991005403319702656","Catalog Record")</f>
        <v>Catalog Record</v>
      </c>
      <c r="AV1069" s="9" t="str">
        <f aca="false">HYPERLINK("http://www.worldcat.org/oclc/9891924","WorldCat Record")</f>
        <v>WorldCat Record</v>
      </c>
      <c r="AW1069" s="6" t="s">
        <v>7108</v>
      </c>
      <c r="AX1069" s="6" t="s">
        <v>7109</v>
      </c>
      <c r="AY1069" s="6" t="s">
        <v>7110</v>
      </c>
      <c r="AZ1069" s="6" t="s">
        <v>7110</v>
      </c>
      <c r="BA1069" s="6" t="s">
        <v>7111</v>
      </c>
      <c r="BB1069" s="6" t="s">
        <v>7112</v>
      </c>
      <c r="BC1069" s="6" t="s">
        <v>7115</v>
      </c>
      <c r="BE1069" s="15" t="s">
        <v>2145</v>
      </c>
      <c r="BF1069" s="6" t="s">
        <v>7116</v>
      </c>
    </row>
    <row r="1070" customFormat="false" ht="186" hidden="false" customHeight="false" outlineLevel="0" collapsed="false">
      <c r="A1070" s="26" t="s">
        <v>63</v>
      </c>
      <c r="B1070" s="27" t="s">
        <v>2129</v>
      </c>
      <c r="C1070" s="27" t="s">
        <v>2130</v>
      </c>
      <c r="D1070" s="27" t="s">
        <v>7117</v>
      </c>
      <c r="E1070" s="27" t="s">
        <v>7118</v>
      </c>
      <c r="F1070" s="27" t="s">
        <v>7119</v>
      </c>
      <c r="G1070" s="6" t="s">
        <v>498</v>
      </c>
      <c r="H1070" s="6" t="s">
        <v>57</v>
      </c>
      <c r="I1070" s="6" t="s">
        <v>62</v>
      </c>
      <c r="J1070" s="6" t="s">
        <v>63</v>
      </c>
      <c r="K1070" s="6" t="s">
        <v>57</v>
      </c>
      <c r="L1070" s="6" t="s">
        <v>64</v>
      </c>
      <c r="M1070" s="27" t="s">
        <v>7103</v>
      </c>
      <c r="N1070" s="27" t="s">
        <v>7120</v>
      </c>
      <c r="O1070" s="6" t="s">
        <v>3405</v>
      </c>
      <c r="P1070" s="28"/>
      <c r="Q1070" s="6" t="s">
        <v>67</v>
      </c>
      <c r="R1070" s="6" t="s">
        <v>1108</v>
      </c>
      <c r="S1070" s="28"/>
      <c r="T1070" s="6" t="s">
        <v>6138</v>
      </c>
      <c r="U1070" s="7" t="n">
        <v>7</v>
      </c>
      <c r="V1070" s="7" t="n">
        <v>9</v>
      </c>
      <c r="W1070" s="8" t="s">
        <v>7121</v>
      </c>
      <c r="X1070" s="8" t="s">
        <v>7121</v>
      </c>
      <c r="Y1070" s="8" t="s">
        <v>7122</v>
      </c>
      <c r="Z1070" s="8" t="s">
        <v>7122</v>
      </c>
      <c r="AA1070" s="7" t="n">
        <v>1155</v>
      </c>
      <c r="AB1070" s="7" t="n">
        <v>1071</v>
      </c>
      <c r="AC1070" s="7" t="n">
        <v>1296</v>
      </c>
      <c r="AD1070" s="7" t="n">
        <v>10</v>
      </c>
      <c r="AE1070" s="7" t="n">
        <v>12</v>
      </c>
      <c r="AF1070" s="7" t="n">
        <v>50</v>
      </c>
      <c r="AG1070" s="7" t="n">
        <v>56</v>
      </c>
      <c r="AH1070" s="7" t="n">
        <v>22</v>
      </c>
      <c r="AI1070" s="7" t="n">
        <v>24</v>
      </c>
      <c r="AJ1070" s="7" t="n">
        <v>7</v>
      </c>
      <c r="AK1070" s="7" t="n">
        <v>9</v>
      </c>
      <c r="AL1070" s="7" t="n">
        <v>22</v>
      </c>
      <c r="AM1070" s="7" t="n">
        <v>23</v>
      </c>
      <c r="AN1070" s="7" t="n">
        <v>9</v>
      </c>
      <c r="AO1070" s="7" t="n">
        <v>10</v>
      </c>
      <c r="AP1070" s="7" t="n">
        <v>0</v>
      </c>
      <c r="AQ1070" s="7" t="n">
        <v>1</v>
      </c>
      <c r="AR1070" s="6" t="s">
        <v>63</v>
      </c>
      <c r="AS1070" s="6" t="s">
        <v>57</v>
      </c>
      <c r="AT1070" s="9" t="str">
        <f aca="false">HYPERLINK("http://catalog.hathitrust.org/Record/006197810","HathiTrust Record")</f>
        <v>HathiTrust Record</v>
      </c>
      <c r="AU1070" s="9" t="str">
        <f aca="false">HYPERLINK("https://creighton-primo.hosted.exlibrisgroup.com/primo-explore/search?tab=default_tab&amp;search_scope=EVERYTHING&amp;vid=01CRU&amp;lang=en_US&amp;offset=0&amp;query=any,contains,991004468369702656","Catalog Record")</f>
        <v>Catalog Record</v>
      </c>
      <c r="AV1070" s="9" t="str">
        <f aca="false">HYPERLINK("http://www.worldcat.org/oclc/3583254","WorldCat Record")</f>
        <v>WorldCat Record</v>
      </c>
      <c r="AW1070" s="6" t="s">
        <v>7108</v>
      </c>
      <c r="AX1070" s="6" t="s">
        <v>7123</v>
      </c>
      <c r="AY1070" s="6" t="s">
        <v>7124</v>
      </c>
      <c r="AZ1070" s="6" t="s">
        <v>7124</v>
      </c>
      <c r="BA1070" s="6" t="s">
        <v>7125</v>
      </c>
      <c r="BB1070" s="28"/>
      <c r="BC1070" s="6" t="s">
        <v>7126</v>
      </c>
      <c r="BE1070" s="15" t="s">
        <v>2145</v>
      </c>
      <c r="BF1070" s="6" t="s">
        <v>7127</v>
      </c>
    </row>
    <row r="1071" customFormat="false" ht="186" hidden="false" customHeight="false" outlineLevel="0" collapsed="false">
      <c r="A1071" s="26" t="s">
        <v>63</v>
      </c>
      <c r="B1071" s="27" t="s">
        <v>2129</v>
      </c>
      <c r="C1071" s="27" t="s">
        <v>2130</v>
      </c>
      <c r="D1071" s="27" t="s">
        <v>7117</v>
      </c>
      <c r="E1071" s="27" t="s">
        <v>7118</v>
      </c>
      <c r="F1071" s="27" t="s">
        <v>7119</v>
      </c>
      <c r="G1071" s="6" t="s">
        <v>502</v>
      </c>
      <c r="H1071" s="6" t="s">
        <v>57</v>
      </c>
      <c r="I1071" s="6" t="s">
        <v>62</v>
      </c>
      <c r="J1071" s="6" t="s">
        <v>63</v>
      </c>
      <c r="K1071" s="6" t="s">
        <v>57</v>
      </c>
      <c r="L1071" s="6" t="s">
        <v>64</v>
      </c>
      <c r="M1071" s="27" t="s">
        <v>7103</v>
      </c>
      <c r="N1071" s="27" t="s">
        <v>7120</v>
      </c>
      <c r="O1071" s="6" t="s">
        <v>3405</v>
      </c>
      <c r="P1071" s="28"/>
      <c r="Q1071" s="6" t="s">
        <v>67</v>
      </c>
      <c r="R1071" s="6" t="s">
        <v>1108</v>
      </c>
      <c r="S1071" s="28"/>
      <c r="T1071" s="6" t="s">
        <v>6138</v>
      </c>
      <c r="U1071" s="7" t="n">
        <v>2</v>
      </c>
      <c r="V1071" s="7" t="n">
        <v>9</v>
      </c>
      <c r="W1071" s="28"/>
      <c r="X1071" s="8" t="s">
        <v>7121</v>
      </c>
      <c r="Y1071" s="8" t="s">
        <v>7122</v>
      </c>
      <c r="Z1071" s="8" t="s">
        <v>7122</v>
      </c>
      <c r="AA1071" s="7" t="n">
        <v>1155</v>
      </c>
      <c r="AB1071" s="7" t="n">
        <v>1071</v>
      </c>
      <c r="AC1071" s="7" t="n">
        <v>1296</v>
      </c>
      <c r="AD1071" s="7" t="n">
        <v>10</v>
      </c>
      <c r="AE1071" s="7" t="n">
        <v>12</v>
      </c>
      <c r="AF1071" s="7" t="n">
        <v>50</v>
      </c>
      <c r="AG1071" s="7" t="n">
        <v>56</v>
      </c>
      <c r="AH1071" s="7" t="n">
        <v>22</v>
      </c>
      <c r="AI1071" s="7" t="n">
        <v>24</v>
      </c>
      <c r="AJ1071" s="7" t="n">
        <v>7</v>
      </c>
      <c r="AK1071" s="7" t="n">
        <v>9</v>
      </c>
      <c r="AL1071" s="7" t="n">
        <v>22</v>
      </c>
      <c r="AM1071" s="7" t="n">
        <v>23</v>
      </c>
      <c r="AN1071" s="7" t="n">
        <v>9</v>
      </c>
      <c r="AO1071" s="7" t="n">
        <v>10</v>
      </c>
      <c r="AP1071" s="7" t="n">
        <v>0</v>
      </c>
      <c r="AQ1071" s="7" t="n">
        <v>1</v>
      </c>
      <c r="AR1071" s="6" t="s">
        <v>63</v>
      </c>
      <c r="AS1071" s="6" t="s">
        <v>57</v>
      </c>
      <c r="AT1071" s="9" t="str">
        <f aca="false">HYPERLINK("http://catalog.hathitrust.org/Record/006197810","HathiTrust Record")</f>
        <v>HathiTrust Record</v>
      </c>
      <c r="AU1071" s="9" t="str">
        <f aca="false">HYPERLINK("https://creighton-primo.hosted.exlibrisgroup.com/primo-explore/search?tab=default_tab&amp;search_scope=EVERYTHING&amp;vid=01CRU&amp;lang=en_US&amp;offset=0&amp;query=any,contains,991004468369702656","Catalog Record")</f>
        <v>Catalog Record</v>
      </c>
      <c r="AV1071" s="9" t="str">
        <f aca="false">HYPERLINK("http://www.worldcat.org/oclc/3583254","WorldCat Record")</f>
        <v>WorldCat Record</v>
      </c>
      <c r="AW1071" s="6" t="s">
        <v>7108</v>
      </c>
      <c r="AX1071" s="6" t="s">
        <v>7123</v>
      </c>
      <c r="AY1071" s="6" t="s">
        <v>7124</v>
      </c>
      <c r="AZ1071" s="6" t="s">
        <v>7124</v>
      </c>
      <c r="BA1071" s="6" t="s">
        <v>7125</v>
      </c>
      <c r="BB1071" s="28"/>
      <c r="BC1071" s="6" t="s">
        <v>7128</v>
      </c>
      <c r="BE1071" s="15" t="s">
        <v>2145</v>
      </c>
      <c r="BF1071" s="6" t="s">
        <v>7129</v>
      </c>
    </row>
    <row r="1072" customFormat="false" ht="117" hidden="false" customHeight="false" outlineLevel="0" collapsed="false">
      <c r="A1072" s="26" t="s">
        <v>63</v>
      </c>
      <c r="B1072" s="27" t="s">
        <v>2129</v>
      </c>
      <c r="C1072" s="27" t="s">
        <v>2130</v>
      </c>
      <c r="D1072" s="27" t="s">
        <v>7130</v>
      </c>
      <c r="E1072" s="27" t="s">
        <v>7131</v>
      </c>
      <c r="F1072" s="27" t="s">
        <v>7132</v>
      </c>
      <c r="G1072" s="28"/>
      <c r="H1072" s="6" t="s">
        <v>63</v>
      </c>
      <c r="I1072" s="6" t="s">
        <v>62</v>
      </c>
      <c r="J1072" s="6" t="s">
        <v>63</v>
      </c>
      <c r="K1072" s="6" t="s">
        <v>63</v>
      </c>
      <c r="L1072" s="6" t="s">
        <v>64</v>
      </c>
      <c r="M1072" s="27" t="s">
        <v>7103</v>
      </c>
      <c r="N1072" s="27" t="s">
        <v>2948</v>
      </c>
      <c r="O1072" s="6" t="s">
        <v>264</v>
      </c>
      <c r="P1072" s="28"/>
      <c r="Q1072" s="6" t="s">
        <v>67</v>
      </c>
      <c r="R1072" s="6" t="s">
        <v>181</v>
      </c>
      <c r="S1072" s="28"/>
      <c r="T1072" s="6" t="s">
        <v>6138</v>
      </c>
      <c r="U1072" s="7" t="n">
        <v>3</v>
      </c>
      <c r="V1072" s="7" t="n">
        <v>3</v>
      </c>
      <c r="W1072" s="8" t="s">
        <v>7133</v>
      </c>
      <c r="X1072" s="8" t="s">
        <v>7133</v>
      </c>
      <c r="Y1072" s="8" t="s">
        <v>7122</v>
      </c>
      <c r="Z1072" s="8" t="s">
        <v>7122</v>
      </c>
      <c r="AA1072" s="7" t="n">
        <v>272</v>
      </c>
      <c r="AB1072" s="7" t="n">
        <v>247</v>
      </c>
      <c r="AC1072" s="7" t="n">
        <v>747</v>
      </c>
      <c r="AD1072" s="7" t="n">
        <v>3</v>
      </c>
      <c r="AE1072" s="7" t="n">
        <v>3</v>
      </c>
      <c r="AF1072" s="7" t="n">
        <v>14</v>
      </c>
      <c r="AG1072" s="7" t="n">
        <v>36</v>
      </c>
      <c r="AH1072" s="7" t="n">
        <v>2</v>
      </c>
      <c r="AI1072" s="7" t="n">
        <v>15</v>
      </c>
      <c r="AJ1072" s="7" t="n">
        <v>3</v>
      </c>
      <c r="AK1072" s="7" t="n">
        <v>6</v>
      </c>
      <c r="AL1072" s="7" t="n">
        <v>10</v>
      </c>
      <c r="AM1072" s="7" t="n">
        <v>20</v>
      </c>
      <c r="AN1072" s="7" t="n">
        <v>2</v>
      </c>
      <c r="AO1072" s="7" t="n">
        <v>2</v>
      </c>
      <c r="AP1072" s="7" t="n">
        <v>0</v>
      </c>
      <c r="AQ1072" s="7" t="n">
        <v>1</v>
      </c>
      <c r="AR1072" s="6" t="s">
        <v>63</v>
      </c>
      <c r="AS1072" s="6" t="s">
        <v>57</v>
      </c>
      <c r="AT1072" s="9" t="str">
        <f aca="false">HYPERLINK("http://catalog.hathitrust.org/Record/004452159","HathiTrust Record")</f>
        <v>HathiTrust Record</v>
      </c>
      <c r="AU1072" s="9" t="str">
        <f aca="false">HYPERLINK("https://creighton-primo.hosted.exlibrisgroup.com/primo-explore/search?tab=default_tab&amp;search_scope=EVERYTHING&amp;vid=01CRU&amp;lang=en_US&amp;offset=0&amp;query=any,contains,991002207339702656","Catalog Record")</f>
        <v>Catalog Record</v>
      </c>
      <c r="AV1072" s="9" t="str">
        <f aca="false">HYPERLINK("http://www.worldcat.org/oclc/286229","WorldCat Record")</f>
        <v>WorldCat Record</v>
      </c>
      <c r="AW1072" s="6" t="s">
        <v>7134</v>
      </c>
      <c r="AX1072" s="6" t="s">
        <v>7135</v>
      </c>
      <c r="AY1072" s="6" t="s">
        <v>7136</v>
      </c>
      <c r="AZ1072" s="6" t="s">
        <v>7136</v>
      </c>
      <c r="BA1072" s="6" t="s">
        <v>7137</v>
      </c>
      <c r="BB1072" s="6" t="s">
        <v>7138</v>
      </c>
      <c r="BC1072" s="6" t="s">
        <v>7139</v>
      </c>
      <c r="BE1072" s="15" t="s">
        <v>2145</v>
      </c>
      <c r="BF1072" s="6" t="s">
        <v>7140</v>
      </c>
    </row>
    <row r="1073" customFormat="false" ht="128.5" hidden="false" customHeight="false" outlineLevel="0" collapsed="false">
      <c r="A1073" s="26" t="s">
        <v>63</v>
      </c>
      <c r="B1073" s="27" t="s">
        <v>2129</v>
      </c>
      <c r="C1073" s="27" t="s">
        <v>2130</v>
      </c>
      <c r="D1073" s="27" t="s">
        <v>7141</v>
      </c>
      <c r="E1073" s="27" t="s">
        <v>7142</v>
      </c>
      <c r="F1073" s="27" t="s">
        <v>7143</v>
      </c>
      <c r="G1073" s="28"/>
      <c r="H1073" s="6" t="s">
        <v>63</v>
      </c>
      <c r="I1073" s="6" t="s">
        <v>62</v>
      </c>
      <c r="J1073" s="6" t="s">
        <v>63</v>
      </c>
      <c r="K1073" s="6" t="s">
        <v>63</v>
      </c>
      <c r="L1073" s="6" t="s">
        <v>64</v>
      </c>
      <c r="M1073" s="27" t="s">
        <v>7144</v>
      </c>
      <c r="N1073" s="27" t="s">
        <v>7145</v>
      </c>
      <c r="O1073" s="6" t="s">
        <v>2665</v>
      </c>
      <c r="P1073" s="28"/>
      <c r="Q1073" s="6" t="s">
        <v>67</v>
      </c>
      <c r="R1073" s="6" t="s">
        <v>7146</v>
      </c>
      <c r="S1073" s="27" t="s">
        <v>7147</v>
      </c>
      <c r="T1073" s="6" t="s">
        <v>6138</v>
      </c>
      <c r="U1073" s="7" t="n">
        <v>3</v>
      </c>
      <c r="V1073" s="7" t="n">
        <v>3</v>
      </c>
      <c r="W1073" s="8" t="s">
        <v>7148</v>
      </c>
      <c r="X1073" s="8" t="s">
        <v>7148</v>
      </c>
      <c r="Y1073" s="8" t="s">
        <v>7122</v>
      </c>
      <c r="Z1073" s="8" t="s">
        <v>7122</v>
      </c>
      <c r="AA1073" s="7" t="n">
        <v>257</v>
      </c>
      <c r="AB1073" s="7" t="n">
        <v>180</v>
      </c>
      <c r="AC1073" s="7" t="n">
        <v>182</v>
      </c>
      <c r="AD1073" s="7" t="n">
        <v>2</v>
      </c>
      <c r="AE1073" s="7" t="n">
        <v>2</v>
      </c>
      <c r="AF1073" s="7" t="n">
        <v>10</v>
      </c>
      <c r="AG1073" s="7" t="n">
        <v>10</v>
      </c>
      <c r="AH1073" s="7" t="n">
        <v>2</v>
      </c>
      <c r="AI1073" s="7" t="n">
        <v>2</v>
      </c>
      <c r="AJ1073" s="7" t="n">
        <v>4</v>
      </c>
      <c r="AK1073" s="7" t="n">
        <v>4</v>
      </c>
      <c r="AL1073" s="7" t="n">
        <v>5</v>
      </c>
      <c r="AM1073" s="7" t="n">
        <v>5</v>
      </c>
      <c r="AN1073" s="7" t="n">
        <v>1</v>
      </c>
      <c r="AO1073" s="7" t="n">
        <v>1</v>
      </c>
      <c r="AP1073" s="7" t="n">
        <v>0</v>
      </c>
      <c r="AQ1073" s="7" t="n">
        <v>0</v>
      </c>
      <c r="AR1073" s="6" t="s">
        <v>63</v>
      </c>
      <c r="AS1073" s="6" t="s">
        <v>57</v>
      </c>
      <c r="AT1073" s="9" t="str">
        <f aca="false">HYPERLINK("http://catalog.hathitrust.org/Record/007111893","HathiTrust Record")</f>
        <v>HathiTrust Record</v>
      </c>
      <c r="AU1073" s="9" t="str">
        <f aca="false">HYPERLINK("https://creighton-primo.hosted.exlibrisgroup.com/primo-explore/search?tab=default_tab&amp;search_scope=EVERYTHING&amp;vid=01CRU&amp;lang=en_US&amp;offset=0&amp;query=any,contains,991003013749702656","Catalog Record")</f>
        <v>Catalog Record</v>
      </c>
      <c r="AV1073" s="9" t="str">
        <f aca="false">HYPERLINK("http://www.worldcat.org/oclc/579399","WorldCat Record")</f>
        <v>WorldCat Record</v>
      </c>
      <c r="AW1073" s="6" t="s">
        <v>7149</v>
      </c>
      <c r="AX1073" s="6" t="s">
        <v>7150</v>
      </c>
      <c r="AY1073" s="6" t="s">
        <v>7151</v>
      </c>
      <c r="AZ1073" s="6" t="s">
        <v>7151</v>
      </c>
      <c r="BA1073" s="6" t="s">
        <v>7152</v>
      </c>
      <c r="BB1073" s="6" t="s">
        <v>7153</v>
      </c>
      <c r="BC1073" s="6" t="s">
        <v>7154</v>
      </c>
      <c r="BE1073" s="15" t="s">
        <v>2145</v>
      </c>
      <c r="BF1073" s="6" t="s">
        <v>7155</v>
      </c>
    </row>
    <row r="1074" customFormat="false" ht="186" hidden="false" customHeight="false" outlineLevel="0" collapsed="false">
      <c r="A1074" s="26" t="s">
        <v>63</v>
      </c>
      <c r="B1074" s="27" t="s">
        <v>2129</v>
      </c>
      <c r="C1074" s="27" t="s">
        <v>2130</v>
      </c>
      <c r="D1074" s="27" t="s">
        <v>7156</v>
      </c>
      <c r="E1074" s="27" t="s">
        <v>7157</v>
      </c>
      <c r="F1074" s="27" t="s">
        <v>7158</v>
      </c>
      <c r="G1074" s="28"/>
      <c r="H1074" s="6" t="s">
        <v>63</v>
      </c>
      <c r="I1074" s="6" t="s">
        <v>62</v>
      </c>
      <c r="J1074" s="6" t="s">
        <v>63</v>
      </c>
      <c r="K1074" s="6" t="s">
        <v>63</v>
      </c>
      <c r="L1074" s="6" t="s">
        <v>64</v>
      </c>
      <c r="M1074" s="28"/>
      <c r="N1074" s="27" t="s">
        <v>7159</v>
      </c>
      <c r="O1074" s="6" t="s">
        <v>2411</v>
      </c>
      <c r="P1074" s="28"/>
      <c r="Q1074" s="6" t="s">
        <v>67</v>
      </c>
      <c r="R1074" s="6" t="s">
        <v>7160</v>
      </c>
      <c r="S1074" s="28"/>
      <c r="T1074" s="6" t="s">
        <v>6138</v>
      </c>
      <c r="U1074" s="7" t="n">
        <v>2</v>
      </c>
      <c r="V1074" s="7" t="n">
        <v>2</v>
      </c>
      <c r="W1074" s="8" t="s">
        <v>7133</v>
      </c>
      <c r="X1074" s="8" t="s">
        <v>7133</v>
      </c>
      <c r="Y1074" s="8" t="s">
        <v>6974</v>
      </c>
      <c r="Z1074" s="8" t="s">
        <v>6974</v>
      </c>
      <c r="AA1074" s="7" t="n">
        <v>606</v>
      </c>
      <c r="AB1074" s="7" t="n">
        <v>472</v>
      </c>
      <c r="AC1074" s="7" t="n">
        <v>479</v>
      </c>
      <c r="AD1074" s="7" t="n">
        <v>5</v>
      </c>
      <c r="AE1074" s="7" t="n">
        <v>5</v>
      </c>
      <c r="AF1074" s="7" t="n">
        <v>27</v>
      </c>
      <c r="AG1074" s="7" t="n">
        <v>27</v>
      </c>
      <c r="AH1074" s="7" t="n">
        <v>12</v>
      </c>
      <c r="AI1074" s="7" t="n">
        <v>12</v>
      </c>
      <c r="AJ1074" s="7" t="n">
        <v>5</v>
      </c>
      <c r="AK1074" s="7" t="n">
        <v>5</v>
      </c>
      <c r="AL1074" s="7" t="n">
        <v>14</v>
      </c>
      <c r="AM1074" s="7" t="n">
        <v>14</v>
      </c>
      <c r="AN1074" s="7" t="n">
        <v>4</v>
      </c>
      <c r="AO1074" s="7" t="n">
        <v>4</v>
      </c>
      <c r="AP1074" s="7" t="n">
        <v>0</v>
      </c>
      <c r="AQ1074" s="7" t="n">
        <v>0</v>
      </c>
      <c r="AR1074" s="6" t="s">
        <v>63</v>
      </c>
      <c r="AS1074" s="6" t="s">
        <v>57</v>
      </c>
      <c r="AT1074" s="9" t="str">
        <f aca="false">HYPERLINK("http://catalog.hathitrust.org/Record/001837793","HathiTrust Record")</f>
        <v>HathiTrust Record</v>
      </c>
      <c r="AU1074" s="9" t="str">
        <f aca="false">HYPERLINK("https://creighton-primo.hosted.exlibrisgroup.com/primo-explore/search?tab=default_tab&amp;search_scope=EVERYTHING&amp;vid=01CRU&amp;lang=en_US&amp;offset=0&amp;query=any,contains,991001477659702656","Catalog Record")</f>
        <v>Catalog Record</v>
      </c>
      <c r="AV1074" s="9" t="str">
        <f aca="false">HYPERLINK("http://www.worldcat.org/oclc/19589420","WorldCat Record")</f>
        <v>WorldCat Record</v>
      </c>
      <c r="AW1074" s="6" t="s">
        <v>7161</v>
      </c>
      <c r="AX1074" s="6" t="s">
        <v>7162</v>
      </c>
      <c r="AY1074" s="6" t="s">
        <v>7163</v>
      </c>
      <c r="AZ1074" s="6" t="s">
        <v>7163</v>
      </c>
      <c r="BA1074" s="6" t="s">
        <v>7164</v>
      </c>
      <c r="BB1074" s="6" t="s">
        <v>7165</v>
      </c>
      <c r="BC1074" s="6" t="s">
        <v>7166</v>
      </c>
      <c r="BE1074" s="15" t="s">
        <v>2145</v>
      </c>
      <c r="BF1074" s="6" t="s">
        <v>7167</v>
      </c>
    </row>
    <row r="1075" customFormat="false" ht="117" hidden="false" customHeight="false" outlineLevel="0" collapsed="false">
      <c r="A1075" s="26" t="s">
        <v>63</v>
      </c>
      <c r="B1075" s="27" t="s">
        <v>2129</v>
      </c>
      <c r="C1075" s="27" t="s">
        <v>2130</v>
      </c>
      <c r="D1075" s="27" t="s">
        <v>7168</v>
      </c>
      <c r="E1075" s="27" t="s">
        <v>7169</v>
      </c>
      <c r="F1075" s="27" t="s">
        <v>7170</v>
      </c>
      <c r="G1075" s="28"/>
      <c r="H1075" s="6" t="s">
        <v>63</v>
      </c>
      <c r="I1075" s="6" t="s">
        <v>62</v>
      </c>
      <c r="J1075" s="6" t="s">
        <v>63</v>
      </c>
      <c r="K1075" s="6" t="s">
        <v>63</v>
      </c>
      <c r="L1075" s="6" t="s">
        <v>64</v>
      </c>
      <c r="M1075" s="27" t="s">
        <v>7171</v>
      </c>
      <c r="N1075" s="27" t="s">
        <v>7172</v>
      </c>
      <c r="O1075" s="6" t="s">
        <v>3068</v>
      </c>
      <c r="P1075" s="28"/>
      <c r="Q1075" s="6" t="s">
        <v>67</v>
      </c>
      <c r="R1075" s="6" t="s">
        <v>1059</v>
      </c>
      <c r="S1075" s="27" t="s">
        <v>7173</v>
      </c>
      <c r="T1075" s="6" t="s">
        <v>6138</v>
      </c>
      <c r="U1075" s="7" t="n">
        <v>12</v>
      </c>
      <c r="V1075" s="7" t="n">
        <v>12</v>
      </c>
      <c r="W1075" s="8" t="s">
        <v>4881</v>
      </c>
      <c r="X1075" s="8" t="s">
        <v>4881</v>
      </c>
      <c r="Y1075" s="8" t="s">
        <v>7122</v>
      </c>
      <c r="Z1075" s="8" t="s">
        <v>7122</v>
      </c>
      <c r="AA1075" s="7" t="n">
        <v>905</v>
      </c>
      <c r="AB1075" s="7" t="n">
        <v>781</v>
      </c>
      <c r="AC1075" s="7" t="n">
        <v>928</v>
      </c>
      <c r="AD1075" s="7" t="n">
        <v>4</v>
      </c>
      <c r="AE1075" s="7" t="n">
        <v>5</v>
      </c>
      <c r="AF1075" s="7" t="n">
        <v>33</v>
      </c>
      <c r="AG1075" s="7" t="n">
        <v>37</v>
      </c>
      <c r="AH1075" s="7" t="n">
        <v>15</v>
      </c>
      <c r="AI1075" s="7" t="n">
        <v>18</v>
      </c>
      <c r="AJ1075" s="7" t="n">
        <v>7</v>
      </c>
      <c r="AK1075" s="7" t="n">
        <v>8</v>
      </c>
      <c r="AL1075" s="7" t="n">
        <v>19</v>
      </c>
      <c r="AM1075" s="7" t="n">
        <v>21</v>
      </c>
      <c r="AN1075" s="7" t="n">
        <v>2</v>
      </c>
      <c r="AO1075" s="7" t="n">
        <v>2</v>
      </c>
      <c r="AP1075" s="7" t="n">
        <v>0</v>
      </c>
      <c r="AQ1075" s="7" t="n">
        <v>0</v>
      </c>
      <c r="AR1075" s="6" t="s">
        <v>63</v>
      </c>
      <c r="AS1075" s="6" t="s">
        <v>57</v>
      </c>
      <c r="AT1075" s="9" t="str">
        <f aca="false">HYPERLINK("http://catalog.hathitrust.org/Record/001379719","HathiTrust Record")</f>
        <v>HathiTrust Record</v>
      </c>
      <c r="AU1075" s="9" t="str">
        <f aca="false">HYPERLINK("https://creighton-primo.hosted.exlibrisgroup.com/primo-explore/search?tab=default_tab&amp;search_scope=EVERYTHING&amp;vid=01CRU&amp;lang=en_US&amp;offset=0&amp;query=any,contains,991001947979702656","Catalog Record")</f>
        <v>Catalog Record</v>
      </c>
      <c r="AV1075" s="9" t="str">
        <f aca="false">HYPERLINK("http://www.worldcat.org/oclc/251041","WorldCat Record")</f>
        <v>WorldCat Record</v>
      </c>
      <c r="AW1075" s="6" t="s">
        <v>7174</v>
      </c>
      <c r="AX1075" s="6" t="s">
        <v>7175</v>
      </c>
      <c r="AY1075" s="6" t="s">
        <v>7176</v>
      </c>
      <c r="AZ1075" s="6" t="s">
        <v>7176</v>
      </c>
      <c r="BA1075" s="6" t="s">
        <v>7177</v>
      </c>
      <c r="BB1075" s="28"/>
      <c r="BC1075" s="6" t="s">
        <v>7178</v>
      </c>
      <c r="BE1075" s="15" t="s">
        <v>2145</v>
      </c>
      <c r="BF1075" s="6" t="s">
        <v>7179</v>
      </c>
    </row>
    <row r="1076" customFormat="false" ht="140" hidden="false" customHeight="false" outlineLevel="0" collapsed="false">
      <c r="A1076" s="26" t="s">
        <v>63</v>
      </c>
      <c r="B1076" s="27" t="s">
        <v>2129</v>
      </c>
      <c r="C1076" s="27" t="s">
        <v>2130</v>
      </c>
      <c r="D1076" s="27" t="s">
        <v>7180</v>
      </c>
      <c r="E1076" s="27" t="s">
        <v>7181</v>
      </c>
      <c r="F1076" s="27" t="s">
        <v>7182</v>
      </c>
      <c r="G1076" s="28"/>
      <c r="H1076" s="6" t="s">
        <v>63</v>
      </c>
      <c r="I1076" s="6" t="s">
        <v>62</v>
      </c>
      <c r="J1076" s="6" t="s">
        <v>63</v>
      </c>
      <c r="K1076" s="6" t="s">
        <v>63</v>
      </c>
      <c r="L1076" s="6" t="s">
        <v>64</v>
      </c>
      <c r="M1076" s="27" t="s">
        <v>7183</v>
      </c>
      <c r="N1076" s="27" t="s">
        <v>7184</v>
      </c>
      <c r="O1076" s="6" t="s">
        <v>2262</v>
      </c>
      <c r="P1076" s="28"/>
      <c r="Q1076" s="6" t="s">
        <v>67</v>
      </c>
      <c r="R1076" s="6" t="s">
        <v>68</v>
      </c>
      <c r="S1076" s="27" t="s">
        <v>7185</v>
      </c>
      <c r="T1076" s="6" t="s">
        <v>6138</v>
      </c>
      <c r="U1076" s="7" t="n">
        <v>2</v>
      </c>
      <c r="V1076" s="7" t="n">
        <v>2</v>
      </c>
      <c r="W1076" s="8" t="s">
        <v>7186</v>
      </c>
      <c r="X1076" s="8" t="s">
        <v>7186</v>
      </c>
      <c r="Y1076" s="8" t="s">
        <v>7187</v>
      </c>
      <c r="Z1076" s="8" t="s">
        <v>7187</v>
      </c>
      <c r="AA1076" s="7" t="n">
        <v>331</v>
      </c>
      <c r="AB1076" s="7" t="n">
        <v>260</v>
      </c>
      <c r="AC1076" s="7" t="n">
        <v>264</v>
      </c>
      <c r="AD1076" s="7" t="n">
        <v>3</v>
      </c>
      <c r="AE1076" s="7" t="n">
        <v>3</v>
      </c>
      <c r="AF1076" s="7" t="n">
        <v>12</v>
      </c>
      <c r="AG1076" s="7" t="n">
        <v>12</v>
      </c>
      <c r="AH1076" s="7" t="n">
        <v>3</v>
      </c>
      <c r="AI1076" s="7" t="n">
        <v>3</v>
      </c>
      <c r="AJ1076" s="7" t="n">
        <v>3</v>
      </c>
      <c r="AK1076" s="7" t="n">
        <v>3</v>
      </c>
      <c r="AL1076" s="7" t="n">
        <v>8</v>
      </c>
      <c r="AM1076" s="7" t="n">
        <v>8</v>
      </c>
      <c r="AN1076" s="7" t="n">
        <v>2</v>
      </c>
      <c r="AO1076" s="7" t="n">
        <v>2</v>
      </c>
      <c r="AP1076" s="7" t="n">
        <v>0</v>
      </c>
      <c r="AQ1076" s="7" t="n">
        <v>0</v>
      </c>
      <c r="AR1076" s="6" t="s">
        <v>63</v>
      </c>
      <c r="AS1076" s="6" t="s">
        <v>57</v>
      </c>
      <c r="AT1076" s="9" t="str">
        <f aca="false">HYPERLINK("http://catalog.hathitrust.org/Record/000427377","HathiTrust Record")</f>
        <v>HathiTrust Record</v>
      </c>
      <c r="AU1076" s="9" t="str">
        <f aca="false">HYPERLINK("https://creighton-primo.hosted.exlibrisgroup.com/primo-explore/search?tab=default_tab&amp;search_scope=EVERYTHING&amp;vid=01CRU&amp;lang=en_US&amp;offset=0&amp;query=any,contains,991000610789702656","Catalog Record")</f>
        <v>Catalog Record</v>
      </c>
      <c r="AV1076" s="9" t="str">
        <f aca="false">HYPERLINK("http://www.worldcat.org/oclc/11915269","WorldCat Record")</f>
        <v>WorldCat Record</v>
      </c>
      <c r="AW1076" s="6" t="s">
        <v>7188</v>
      </c>
      <c r="AX1076" s="6" t="s">
        <v>7189</v>
      </c>
      <c r="AY1076" s="6" t="s">
        <v>7190</v>
      </c>
      <c r="AZ1076" s="6" t="s">
        <v>7190</v>
      </c>
      <c r="BA1076" s="6" t="s">
        <v>7191</v>
      </c>
      <c r="BB1076" s="6" t="s">
        <v>7192</v>
      </c>
      <c r="BC1076" s="6" t="s">
        <v>7193</v>
      </c>
      <c r="BE1076" s="15" t="s">
        <v>2145</v>
      </c>
      <c r="BF1076" s="6" t="s">
        <v>7194</v>
      </c>
    </row>
    <row r="1077" customFormat="false" ht="105.5" hidden="false" customHeight="false" outlineLevel="0" collapsed="false">
      <c r="A1077" s="26" t="s">
        <v>63</v>
      </c>
      <c r="B1077" s="27" t="s">
        <v>2129</v>
      </c>
      <c r="C1077" s="27" t="s">
        <v>2130</v>
      </c>
      <c r="D1077" s="27" t="s">
        <v>7195</v>
      </c>
      <c r="E1077" s="27" t="s">
        <v>7196</v>
      </c>
      <c r="F1077" s="27" t="s">
        <v>7197</v>
      </c>
      <c r="G1077" s="28"/>
      <c r="H1077" s="6" t="s">
        <v>63</v>
      </c>
      <c r="I1077" s="6" t="s">
        <v>62</v>
      </c>
      <c r="J1077" s="6" t="s">
        <v>63</v>
      </c>
      <c r="K1077" s="6" t="s">
        <v>63</v>
      </c>
      <c r="L1077" s="6" t="s">
        <v>64</v>
      </c>
      <c r="M1077" s="27" t="s">
        <v>7198</v>
      </c>
      <c r="N1077" s="27" t="s">
        <v>7199</v>
      </c>
      <c r="O1077" s="6" t="s">
        <v>7200</v>
      </c>
      <c r="P1077" s="28"/>
      <c r="Q1077" s="6" t="s">
        <v>67</v>
      </c>
      <c r="R1077" s="6" t="s">
        <v>384</v>
      </c>
      <c r="S1077" s="27" t="s">
        <v>7201</v>
      </c>
      <c r="T1077" s="6" t="s">
        <v>6138</v>
      </c>
      <c r="U1077" s="7" t="n">
        <v>2</v>
      </c>
      <c r="V1077" s="7" t="n">
        <v>2</v>
      </c>
      <c r="W1077" s="8" t="s">
        <v>7202</v>
      </c>
      <c r="X1077" s="8" t="s">
        <v>7202</v>
      </c>
      <c r="Y1077" s="8" t="s">
        <v>7122</v>
      </c>
      <c r="Z1077" s="8" t="s">
        <v>7122</v>
      </c>
      <c r="AA1077" s="7" t="n">
        <v>208</v>
      </c>
      <c r="AB1077" s="7" t="n">
        <v>158</v>
      </c>
      <c r="AC1077" s="7" t="n">
        <v>413</v>
      </c>
      <c r="AD1077" s="7" t="n">
        <v>1</v>
      </c>
      <c r="AE1077" s="7" t="n">
        <v>3</v>
      </c>
      <c r="AF1077" s="7" t="n">
        <v>8</v>
      </c>
      <c r="AG1077" s="7" t="n">
        <v>29</v>
      </c>
      <c r="AH1077" s="7" t="n">
        <v>2</v>
      </c>
      <c r="AI1077" s="7" t="n">
        <v>12</v>
      </c>
      <c r="AJ1077" s="7" t="n">
        <v>2</v>
      </c>
      <c r="AK1077" s="7" t="n">
        <v>7</v>
      </c>
      <c r="AL1077" s="7" t="n">
        <v>8</v>
      </c>
      <c r="AM1077" s="7" t="n">
        <v>19</v>
      </c>
      <c r="AN1077" s="7" t="n">
        <v>0</v>
      </c>
      <c r="AO1077" s="7" t="n">
        <v>2</v>
      </c>
      <c r="AP1077" s="7" t="n">
        <v>0</v>
      </c>
      <c r="AQ1077" s="7" t="n">
        <v>0</v>
      </c>
      <c r="AR1077" s="6" t="s">
        <v>63</v>
      </c>
      <c r="AS1077" s="6" t="s">
        <v>57</v>
      </c>
      <c r="AT1077" s="9" t="str">
        <f aca="false">HYPERLINK("http://catalog.hathitrust.org/Record/001379760","HathiTrust Record")</f>
        <v>HathiTrust Record</v>
      </c>
      <c r="AU1077" s="9" t="str">
        <f aca="false">HYPERLINK("https://creighton-primo.hosted.exlibrisgroup.com/primo-explore/search?tab=default_tab&amp;search_scope=EVERYTHING&amp;vid=01CRU&amp;lang=en_US&amp;offset=0&amp;query=any,contains,991004316809702656","Catalog Record")</f>
        <v>Catalog Record</v>
      </c>
      <c r="AV1077" s="9" t="str">
        <f aca="false">HYPERLINK("http://www.worldcat.org/oclc/3006578","WorldCat Record")</f>
        <v>WorldCat Record</v>
      </c>
      <c r="AW1077" s="6" t="s">
        <v>7203</v>
      </c>
      <c r="AX1077" s="6" t="s">
        <v>7204</v>
      </c>
      <c r="AY1077" s="6" t="s">
        <v>7205</v>
      </c>
      <c r="AZ1077" s="6" t="s">
        <v>7205</v>
      </c>
      <c r="BA1077" s="6" t="s">
        <v>7206</v>
      </c>
      <c r="BB1077" s="28"/>
      <c r="BC1077" s="6" t="s">
        <v>7207</v>
      </c>
      <c r="BE1077" s="15" t="s">
        <v>2145</v>
      </c>
      <c r="BF1077" s="6" t="s">
        <v>7208</v>
      </c>
    </row>
    <row r="1078" customFormat="false" ht="71" hidden="false" customHeight="false" outlineLevel="0" collapsed="false">
      <c r="A1078" s="26" t="s">
        <v>63</v>
      </c>
      <c r="B1078" s="27" t="s">
        <v>2129</v>
      </c>
      <c r="C1078" s="27" t="s">
        <v>2130</v>
      </c>
      <c r="D1078" s="27" t="s">
        <v>7209</v>
      </c>
      <c r="E1078" s="27" t="s">
        <v>7210</v>
      </c>
      <c r="F1078" s="27" t="s">
        <v>7211</v>
      </c>
      <c r="G1078" s="28"/>
      <c r="H1078" s="6" t="s">
        <v>63</v>
      </c>
      <c r="I1078" s="6" t="s">
        <v>62</v>
      </c>
      <c r="J1078" s="6" t="s">
        <v>63</v>
      </c>
      <c r="K1078" s="6" t="s">
        <v>63</v>
      </c>
      <c r="L1078" s="6" t="s">
        <v>64</v>
      </c>
      <c r="M1078" s="27" t="s">
        <v>7212</v>
      </c>
      <c r="N1078" s="27" t="s">
        <v>7213</v>
      </c>
      <c r="O1078" s="6" t="s">
        <v>2467</v>
      </c>
      <c r="P1078" s="28"/>
      <c r="Q1078" s="6" t="s">
        <v>67</v>
      </c>
      <c r="R1078" s="6" t="s">
        <v>68</v>
      </c>
      <c r="S1078" s="27" t="s">
        <v>7214</v>
      </c>
      <c r="T1078" s="6" t="s">
        <v>6138</v>
      </c>
      <c r="U1078" s="7" t="n">
        <v>3</v>
      </c>
      <c r="V1078" s="7" t="n">
        <v>3</v>
      </c>
      <c r="W1078" s="8" t="s">
        <v>7215</v>
      </c>
      <c r="X1078" s="8" t="s">
        <v>7215</v>
      </c>
      <c r="Y1078" s="8" t="s">
        <v>7122</v>
      </c>
      <c r="Z1078" s="8" t="s">
        <v>7122</v>
      </c>
      <c r="AA1078" s="7" t="n">
        <v>288</v>
      </c>
      <c r="AB1078" s="7" t="n">
        <v>242</v>
      </c>
      <c r="AC1078" s="7" t="n">
        <v>250</v>
      </c>
      <c r="AD1078" s="7" t="n">
        <v>3</v>
      </c>
      <c r="AE1078" s="7" t="n">
        <v>3</v>
      </c>
      <c r="AF1078" s="7" t="n">
        <v>16</v>
      </c>
      <c r="AG1078" s="7" t="n">
        <v>16</v>
      </c>
      <c r="AH1078" s="7" t="n">
        <v>4</v>
      </c>
      <c r="AI1078" s="7" t="n">
        <v>4</v>
      </c>
      <c r="AJ1078" s="7" t="n">
        <v>2</v>
      </c>
      <c r="AK1078" s="7" t="n">
        <v>2</v>
      </c>
      <c r="AL1078" s="7" t="n">
        <v>10</v>
      </c>
      <c r="AM1078" s="7" t="n">
        <v>10</v>
      </c>
      <c r="AN1078" s="7" t="n">
        <v>2</v>
      </c>
      <c r="AO1078" s="7" t="n">
        <v>2</v>
      </c>
      <c r="AP1078" s="7" t="n">
        <v>0</v>
      </c>
      <c r="AQ1078" s="7" t="n">
        <v>0</v>
      </c>
      <c r="AR1078" s="6" t="s">
        <v>63</v>
      </c>
      <c r="AS1078" s="6" t="s">
        <v>57</v>
      </c>
      <c r="AT1078" s="9" t="str">
        <f aca="false">HYPERLINK("http://catalog.hathitrust.org/Record/001379762","HathiTrust Record")</f>
        <v>HathiTrust Record</v>
      </c>
      <c r="AU1078" s="9" t="str">
        <f aca="false">HYPERLINK("https://creighton-primo.hosted.exlibrisgroup.com/primo-explore/search?tab=default_tab&amp;search_scope=EVERYTHING&amp;vid=01CRU&amp;lang=en_US&amp;offset=0&amp;query=any,contains,991002523649702656","Catalog Record")</f>
        <v>Catalog Record</v>
      </c>
      <c r="AV1078" s="9" t="str">
        <f aca="false">HYPERLINK("http://www.worldcat.org/oclc/366413","WorldCat Record")</f>
        <v>WorldCat Record</v>
      </c>
      <c r="AW1078" s="6" t="s">
        <v>7216</v>
      </c>
      <c r="AX1078" s="6" t="s">
        <v>7217</v>
      </c>
      <c r="AY1078" s="6" t="s">
        <v>7218</v>
      </c>
      <c r="AZ1078" s="6" t="s">
        <v>7218</v>
      </c>
      <c r="BA1078" s="6" t="s">
        <v>7219</v>
      </c>
      <c r="BB1078" s="28"/>
      <c r="BC1078" s="6" t="s">
        <v>7220</v>
      </c>
      <c r="BE1078" s="15" t="s">
        <v>2145</v>
      </c>
      <c r="BF1078" s="6" t="s">
        <v>7221</v>
      </c>
    </row>
    <row r="1079" customFormat="false" ht="94" hidden="false" customHeight="false" outlineLevel="0" collapsed="false">
      <c r="A1079" s="26" t="s">
        <v>63</v>
      </c>
      <c r="B1079" s="27" t="s">
        <v>2129</v>
      </c>
      <c r="C1079" s="27" t="s">
        <v>2130</v>
      </c>
      <c r="D1079" s="27" t="s">
        <v>7222</v>
      </c>
      <c r="E1079" s="27" t="s">
        <v>7223</v>
      </c>
      <c r="F1079" s="27" t="s">
        <v>7224</v>
      </c>
      <c r="G1079" s="28"/>
      <c r="H1079" s="6" t="s">
        <v>63</v>
      </c>
      <c r="I1079" s="6" t="s">
        <v>62</v>
      </c>
      <c r="J1079" s="6" t="s">
        <v>63</v>
      </c>
      <c r="K1079" s="6" t="s">
        <v>63</v>
      </c>
      <c r="L1079" s="6" t="s">
        <v>64</v>
      </c>
      <c r="M1079" s="27" t="s">
        <v>7225</v>
      </c>
      <c r="N1079" s="27" t="s">
        <v>7226</v>
      </c>
      <c r="O1079" s="6" t="s">
        <v>167</v>
      </c>
      <c r="P1079" s="28"/>
      <c r="Q1079" s="6" t="s">
        <v>67</v>
      </c>
      <c r="R1079" s="6" t="s">
        <v>7227</v>
      </c>
      <c r="S1079" s="28"/>
      <c r="T1079" s="6" t="s">
        <v>6138</v>
      </c>
      <c r="U1079" s="7" t="n">
        <v>2</v>
      </c>
      <c r="V1079" s="7" t="n">
        <v>2</v>
      </c>
      <c r="W1079" s="8" t="s">
        <v>7228</v>
      </c>
      <c r="X1079" s="8" t="s">
        <v>7228</v>
      </c>
      <c r="Y1079" s="8" t="s">
        <v>7122</v>
      </c>
      <c r="Z1079" s="8" t="s">
        <v>7122</v>
      </c>
      <c r="AA1079" s="7" t="n">
        <v>736</v>
      </c>
      <c r="AB1079" s="7" t="n">
        <v>639</v>
      </c>
      <c r="AC1079" s="7" t="n">
        <v>646</v>
      </c>
      <c r="AD1079" s="7" t="n">
        <v>10</v>
      </c>
      <c r="AE1079" s="7" t="n">
        <v>10</v>
      </c>
      <c r="AF1079" s="7" t="n">
        <v>48</v>
      </c>
      <c r="AG1079" s="7" t="n">
        <v>48</v>
      </c>
      <c r="AH1079" s="7" t="n">
        <v>18</v>
      </c>
      <c r="AI1079" s="7" t="n">
        <v>18</v>
      </c>
      <c r="AJ1079" s="7" t="n">
        <v>10</v>
      </c>
      <c r="AK1079" s="7" t="n">
        <v>10</v>
      </c>
      <c r="AL1079" s="7" t="n">
        <v>25</v>
      </c>
      <c r="AM1079" s="7" t="n">
        <v>25</v>
      </c>
      <c r="AN1079" s="7" t="n">
        <v>8</v>
      </c>
      <c r="AO1079" s="7" t="n">
        <v>8</v>
      </c>
      <c r="AP1079" s="7" t="n">
        <v>0</v>
      </c>
      <c r="AQ1079" s="7" t="n">
        <v>0</v>
      </c>
      <c r="AR1079" s="6" t="s">
        <v>63</v>
      </c>
      <c r="AS1079" s="6" t="s">
        <v>63</v>
      </c>
      <c r="AT1079" s="28"/>
      <c r="AU1079" s="9" t="str">
        <f aca="false">HYPERLINK("https://creighton-primo.hosted.exlibrisgroup.com/primo-explore/search?tab=default_tab&amp;search_scope=EVERYTHING&amp;vid=01CRU&amp;lang=en_US&amp;offset=0&amp;query=any,contains,991001948019702656","Catalog Record")</f>
        <v>Catalog Record</v>
      </c>
      <c r="AV1079" s="9" t="str">
        <f aca="false">HYPERLINK("http://www.worldcat.org/oclc/251042","WorldCat Record")</f>
        <v>WorldCat Record</v>
      </c>
      <c r="AW1079" s="6" t="s">
        <v>7229</v>
      </c>
      <c r="AX1079" s="6" t="s">
        <v>7230</v>
      </c>
      <c r="AY1079" s="6" t="s">
        <v>7231</v>
      </c>
      <c r="AZ1079" s="6" t="s">
        <v>7231</v>
      </c>
      <c r="BA1079" s="6" t="s">
        <v>7232</v>
      </c>
      <c r="BB1079" s="28"/>
      <c r="BC1079" s="6" t="s">
        <v>7233</v>
      </c>
      <c r="BE1079" s="15" t="s">
        <v>2145</v>
      </c>
      <c r="BF1079" s="6" t="s">
        <v>7234</v>
      </c>
    </row>
    <row r="1080" customFormat="false" ht="105.5" hidden="false" customHeight="false" outlineLevel="0" collapsed="false">
      <c r="A1080" s="26" t="s">
        <v>63</v>
      </c>
      <c r="B1080" s="27" t="s">
        <v>2129</v>
      </c>
      <c r="C1080" s="27" t="s">
        <v>2130</v>
      </c>
      <c r="D1080" s="27" t="s">
        <v>7235</v>
      </c>
      <c r="E1080" s="27" t="s">
        <v>7236</v>
      </c>
      <c r="F1080" s="27" t="s">
        <v>7237</v>
      </c>
      <c r="G1080" s="28"/>
      <c r="H1080" s="6" t="s">
        <v>63</v>
      </c>
      <c r="I1080" s="6" t="s">
        <v>62</v>
      </c>
      <c r="J1080" s="6" t="s">
        <v>63</v>
      </c>
      <c r="K1080" s="6" t="s">
        <v>63</v>
      </c>
      <c r="L1080" s="6" t="s">
        <v>64</v>
      </c>
      <c r="M1080" s="27" t="s">
        <v>7238</v>
      </c>
      <c r="N1080" s="27" t="s">
        <v>7239</v>
      </c>
      <c r="O1080" s="6" t="s">
        <v>2329</v>
      </c>
      <c r="P1080" s="28"/>
      <c r="Q1080" s="6" t="s">
        <v>67</v>
      </c>
      <c r="R1080" s="6" t="s">
        <v>68</v>
      </c>
      <c r="S1080" s="28"/>
      <c r="T1080" s="6" t="s">
        <v>6138</v>
      </c>
      <c r="U1080" s="7" t="n">
        <v>4</v>
      </c>
      <c r="V1080" s="7" t="n">
        <v>4</v>
      </c>
      <c r="W1080" s="8" t="s">
        <v>7240</v>
      </c>
      <c r="X1080" s="8" t="s">
        <v>7240</v>
      </c>
      <c r="Y1080" s="8" t="s">
        <v>6974</v>
      </c>
      <c r="Z1080" s="8" t="s">
        <v>6974</v>
      </c>
      <c r="AA1080" s="7" t="n">
        <v>579</v>
      </c>
      <c r="AB1080" s="7" t="n">
        <v>493</v>
      </c>
      <c r="AC1080" s="7" t="n">
        <v>653</v>
      </c>
      <c r="AD1080" s="7" t="n">
        <v>2</v>
      </c>
      <c r="AE1080" s="7" t="n">
        <v>5</v>
      </c>
      <c r="AF1080" s="7" t="n">
        <v>25</v>
      </c>
      <c r="AG1080" s="7" t="n">
        <v>35</v>
      </c>
      <c r="AH1080" s="7" t="n">
        <v>15</v>
      </c>
      <c r="AI1080" s="7" t="n">
        <v>16</v>
      </c>
      <c r="AJ1080" s="7" t="n">
        <v>4</v>
      </c>
      <c r="AK1080" s="7" t="n">
        <v>6</v>
      </c>
      <c r="AL1080" s="7" t="n">
        <v>16</v>
      </c>
      <c r="AM1080" s="7" t="n">
        <v>21</v>
      </c>
      <c r="AN1080" s="7" t="n">
        <v>1</v>
      </c>
      <c r="AO1080" s="7" t="n">
        <v>4</v>
      </c>
      <c r="AP1080" s="7" t="n">
        <v>0</v>
      </c>
      <c r="AQ1080" s="7" t="n">
        <v>0</v>
      </c>
      <c r="AR1080" s="6" t="s">
        <v>63</v>
      </c>
      <c r="AS1080" s="6" t="s">
        <v>57</v>
      </c>
      <c r="AT1080" s="9" t="str">
        <f aca="false">HYPERLINK("http://catalog.hathitrust.org/Record/001370999","HathiTrust Record")</f>
        <v>HathiTrust Record</v>
      </c>
      <c r="AU1080" s="9" t="str">
        <f aca="false">HYPERLINK("https://creighton-primo.hosted.exlibrisgroup.com/primo-explore/search?tab=default_tab&amp;search_scope=EVERYTHING&amp;vid=01CRU&amp;lang=en_US&amp;offset=0&amp;query=any,contains,991004815269702656","Catalog Record")</f>
        <v>Catalog Record</v>
      </c>
      <c r="AV1080" s="9" t="str">
        <f aca="false">HYPERLINK("http://www.worldcat.org/oclc/5307523","WorldCat Record")</f>
        <v>WorldCat Record</v>
      </c>
      <c r="AW1080" s="6" t="s">
        <v>7241</v>
      </c>
      <c r="AX1080" s="6" t="s">
        <v>7242</v>
      </c>
      <c r="AY1080" s="6" t="s">
        <v>7243</v>
      </c>
      <c r="AZ1080" s="6" t="s">
        <v>7243</v>
      </c>
      <c r="BA1080" s="6" t="s">
        <v>7244</v>
      </c>
      <c r="BB1080" s="28"/>
      <c r="BC1080" s="6" t="s">
        <v>7245</v>
      </c>
      <c r="BE1080" s="15" t="s">
        <v>2145</v>
      </c>
      <c r="BF1080" s="6" t="s">
        <v>7246</v>
      </c>
    </row>
    <row r="1081" customFormat="false" ht="71" hidden="false" customHeight="false" outlineLevel="0" collapsed="false">
      <c r="A1081" s="26" t="s">
        <v>63</v>
      </c>
      <c r="B1081" s="27" t="s">
        <v>2129</v>
      </c>
      <c r="C1081" s="27" t="s">
        <v>2130</v>
      </c>
      <c r="D1081" s="27" t="s">
        <v>7247</v>
      </c>
      <c r="E1081" s="27" t="s">
        <v>7248</v>
      </c>
      <c r="F1081" s="27" t="s">
        <v>7249</v>
      </c>
      <c r="G1081" s="28"/>
      <c r="H1081" s="6" t="s">
        <v>63</v>
      </c>
      <c r="I1081" s="6" t="s">
        <v>62</v>
      </c>
      <c r="J1081" s="6" t="s">
        <v>63</v>
      </c>
      <c r="K1081" s="6" t="s">
        <v>57</v>
      </c>
      <c r="L1081" s="6" t="s">
        <v>64</v>
      </c>
      <c r="M1081" s="27" t="s">
        <v>6637</v>
      </c>
      <c r="N1081" s="27" t="s">
        <v>7250</v>
      </c>
      <c r="O1081" s="6" t="s">
        <v>167</v>
      </c>
      <c r="P1081" s="27" t="s">
        <v>4146</v>
      </c>
      <c r="Q1081" s="6" t="s">
        <v>67</v>
      </c>
      <c r="R1081" s="6" t="s">
        <v>384</v>
      </c>
      <c r="S1081" s="27" t="s">
        <v>7251</v>
      </c>
      <c r="T1081" s="6" t="s">
        <v>6138</v>
      </c>
      <c r="U1081" s="7" t="n">
        <v>1</v>
      </c>
      <c r="V1081" s="7" t="n">
        <v>1</v>
      </c>
      <c r="W1081" s="8" t="s">
        <v>7252</v>
      </c>
      <c r="X1081" s="8" t="s">
        <v>7252</v>
      </c>
      <c r="Y1081" s="8" t="s">
        <v>6959</v>
      </c>
      <c r="Z1081" s="8" t="s">
        <v>6959</v>
      </c>
      <c r="AA1081" s="7" t="n">
        <v>218</v>
      </c>
      <c r="AB1081" s="7" t="n">
        <v>152</v>
      </c>
      <c r="AC1081" s="7" t="n">
        <v>1161</v>
      </c>
      <c r="AD1081" s="7" t="n">
        <v>2</v>
      </c>
      <c r="AE1081" s="7" t="n">
        <v>12</v>
      </c>
      <c r="AF1081" s="7" t="n">
        <v>8</v>
      </c>
      <c r="AG1081" s="7" t="n">
        <v>50</v>
      </c>
      <c r="AH1081" s="7" t="n">
        <v>3</v>
      </c>
      <c r="AI1081" s="7" t="n">
        <v>19</v>
      </c>
      <c r="AJ1081" s="7" t="n">
        <v>1</v>
      </c>
      <c r="AK1081" s="7" t="n">
        <v>10</v>
      </c>
      <c r="AL1081" s="7" t="n">
        <v>5</v>
      </c>
      <c r="AM1081" s="7" t="n">
        <v>22</v>
      </c>
      <c r="AN1081" s="7" t="n">
        <v>0</v>
      </c>
      <c r="AO1081" s="7" t="n">
        <v>10</v>
      </c>
      <c r="AP1081" s="7" t="n">
        <v>0</v>
      </c>
      <c r="AQ1081" s="7" t="n">
        <v>0</v>
      </c>
      <c r="AR1081" s="6" t="s">
        <v>63</v>
      </c>
      <c r="AS1081" s="6" t="s">
        <v>57</v>
      </c>
      <c r="AT1081" s="9" t="str">
        <f aca="false">HYPERLINK("http://catalog.hathitrust.org/Record/001915479","HathiTrust Record")</f>
        <v>HathiTrust Record</v>
      </c>
      <c r="AU1081" s="9" t="str">
        <f aca="false">HYPERLINK("https://creighton-primo.hosted.exlibrisgroup.com/primo-explore/search?tab=default_tab&amp;search_scope=EVERYTHING&amp;vid=01CRU&amp;lang=en_US&amp;offset=0&amp;query=any,contains,991003710999702656","Catalog Record")</f>
        <v>Catalog Record</v>
      </c>
      <c r="AV1081" s="9" t="str">
        <f aca="false">HYPERLINK("http://www.worldcat.org/oclc/372298","WorldCat Record")</f>
        <v>WorldCat Record</v>
      </c>
      <c r="AW1081" s="6" t="s">
        <v>7253</v>
      </c>
      <c r="AX1081" s="6" t="s">
        <v>7254</v>
      </c>
      <c r="AY1081" s="6" t="s">
        <v>7255</v>
      </c>
      <c r="AZ1081" s="6" t="s">
        <v>7255</v>
      </c>
      <c r="BA1081" s="6" t="s">
        <v>7256</v>
      </c>
      <c r="BB1081" s="28"/>
      <c r="BC1081" s="6" t="s">
        <v>7257</v>
      </c>
      <c r="BE1081" s="15" t="s">
        <v>2145</v>
      </c>
      <c r="BF1081" s="6" t="s">
        <v>7258</v>
      </c>
    </row>
    <row r="1082" customFormat="false" ht="48" hidden="false" customHeight="false" outlineLevel="0" collapsed="false">
      <c r="A1082" s="26" t="s">
        <v>63</v>
      </c>
      <c r="B1082" s="27" t="s">
        <v>2129</v>
      </c>
      <c r="C1082" s="27" t="s">
        <v>2130</v>
      </c>
      <c r="D1082" s="27" t="s">
        <v>7259</v>
      </c>
      <c r="E1082" s="27" t="s">
        <v>7260</v>
      </c>
      <c r="F1082" s="27" t="s">
        <v>7261</v>
      </c>
      <c r="G1082" s="28"/>
      <c r="H1082" s="6" t="s">
        <v>63</v>
      </c>
      <c r="I1082" s="6" t="s">
        <v>62</v>
      </c>
      <c r="J1082" s="6" t="s">
        <v>63</v>
      </c>
      <c r="K1082" s="6" t="s">
        <v>63</v>
      </c>
      <c r="L1082" s="6" t="s">
        <v>64</v>
      </c>
      <c r="M1082" s="27" t="s">
        <v>7262</v>
      </c>
      <c r="N1082" s="27" t="s">
        <v>7263</v>
      </c>
      <c r="O1082" s="6" t="s">
        <v>4833</v>
      </c>
      <c r="P1082" s="28"/>
      <c r="Q1082" s="6" t="s">
        <v>67</v>
      </c>
      <c r="R1082" s="6" t="s">
        <v>123</v>
      </c>
      <c r="S1082" s="28"/>
      <c r="T1082" s="6" t="s">
        <v>6138</v>
      </c>
      <c r="U1082" s="7" t="n">
        <v>4</v>
      </c>
      <c r="V1082" s="7" t="n">
        <v>4</v>
      </c>
      <c r="W1082" s="8" t="s">
        <v>7264</v>
      </c>
      <c r="X1082" s="8" t="s">
        <v>7264</v>
      </c>
      <c r="Y1082" s="8" t="s">
        <v>7062</v>
      </c>
      <c r="Z1082" s="8" t="s">
        <v>7062</v>
      </c>
      <c r="AA1082" s="7" t="n">
        <v>429</v>
      </c>
      <c r="AB1082" s="7" t="n">
        <v>418</v>
      </c>
      <c r="AC1082" s="7" t="n">
        <v>1150</v>
      </c>
      <c r="AD1082" s="7" t="n">
        <v>2</v>
      </c>
      <c r="AE1082" s="7" t="n">
        <v>8</v>
      </c>
      <c r="AF1082" s="7" t="n">
        <v>17</v>
      </c>
      <c r="AG1082" s="7" t="n">
        <v>44</v>
      </c>
      <c r="AH1082" s="7" t="n">
        <v>7</v>
      </c>
      <c r="AI1082" s="7" t="n">
        <v>17</v>
      </c>
      <c r="AJ1082" s="7" t="n">
        <v>3</v>
      </c>
      <c r="AK1082" s="7" t="n">
        <v>10</v>
      </c>
      <c r="AL1082" s="7" t="n">
        <v>12</v>
      </c>
      <c r="AM1082" s="7" t="n">
        <v>22</v>
      </c>
      <c r="AN1082" s="7" t="n">
        <v>1</v>
      </c>
      <c r="AO1082" s="7" t="n">
        <v>7</v>
      </c>
      <c r="AP1082" s="7" t="n">
        <v>0</v>
      </c>
      <c r="AQ1082" s="7" t="n">
        <v>0</v>
      </c>
      <c r="AR1082" s="6" t="s">
        <v>63</v>
      </c>
      <c r="AS1082" s="6" t="s">
        <v>57</v>
      </c>
      <c r="AT1082" s="9" t="str">
        <f aca="false">HYPERLINK("http://catalog.hathitrust.org/Record/001915487","HathiTrust Record")</f>
        <v>HathiTrust Record</v>
      </c>
      <c r="AU1082" s="9" t="str">
        <f aca="false">HYPERLINK("https://creighton-primo.hosted.exlibrisgroup.com/primo-explore/search?tab=default_tab&amp;search_scope=EVERYTHING&amp;vid=01CRU&amp;lang=en_US&amp;offset=0&amp;query=any,contains,991003223579702656","Catalog Record")</f>
        <v>Catalog Record</v>
      </c>
      <c r="AV1082" s="9" t="str">
        <f aca="false">HYPERLINK("http://www.worldcat.org/oclc/748791","WorldCat Record")</f>
        <v>WorldCat Record</v>
      </c>
      <c r="AW1082" s="6" t="s">
        <v>7265</v>
      </c>
      <c r="AX1082" s="6" t="s">
        <v>7266</v>
      </c>
      <c r="AY1082" s="6" t="s">
        <v>7267</v>
      </c>
      <c r="AZ1082" s="6" t="s">
        <v>7267</v>
      </c>
      <c r="BA1082" s="6" t="s">
        <v>7268</v>
      </c>
      <c r="BB1082" s="28"/>
      <c r="BC1082" s="6" t="s">
        <v>7269</v>
      </c>
      <c r="BE1082" s="15" t="s">
        <v>2145</v>
      </c>
      <c r="BF1082" s="6" t="s">
        <v>7270</v>
      </c>
    </row>
    <row r="1083" customFormat="false" ht="94" hidden="false" customHeight="false" outlineLevel="0" collapsed="false">
      <c r="A1083" s="26" t="s">
        <v>63</v>
      </c>
      <c r="B1083" s="27" t="s">
        <v>2129</v>
      </c>
      <c r="C1083" s="27" t="s">
        <v>2130</v>
      </c>
      <c r="D1083" s="27" t="s">
        <v>7271</v>
      </c>
      <c r="E1083" s="27" t="s">
        <v>7272</v>
      </c>
      <c r="F1083" s="27" t="s">
        <v>7273</v>
      </c>
      <c r="G1083" s="28"/>
      <c r="H1083" s="6" t="s">
        <v>63</v>
      </c>
      <c r="I1083" s="6" t="s">
        <v>62</v>
      </c>
      <c r="J1083" s="6" t="s">
        <v>63</v>
      </c>
      <c r="K1083" s="6" t="s">
        <v>63</v>
      </c>
      <c r="L1083" s="6" t="s">
        <v>64</v>
      </c>
      <c r="M1083" s="27" t="s">
        <v>7274</v>
      </c>
      <c r="N1083" s="27" t="s">
        <v>7275</v>
      </c>
      <c r="O1083" s="6" t="s">
        <v>2329</v>
      </c>
      <c r="P1083" s="28"/>
      <c r="Q1083" s="6" t="s">
        <v>67</v>
      </c>
      <c r="R1083" s="6" t="s">
        <v>68</v>
      </c>
      <c r="S1083" s="28"/>
      <c r="T1083" s="6" t="s">
        <v>6138</v>
      </c>
      <c r="U1083" s="7" t="n">
        <v>2</v>
      </c>
      <c r="V1083" s="7" t="n">
        <v>2</v>
      </c>
      <c r="W1083" s="8" t="s">
        <v>7276</v>
      </c>
      <c r="X1083" s="8" t="s">
        <v>7276</v>
      </c>
      <c r="Y1083" s="8" t="s">
        <v>2223</v>
      </c>
      <c r="Z1083" s="8" t="s">
        <v>2223</v>
      </c>
      <c r="AA1083" s="7" t="n">
        <v>538</v>
      </c>
      <c r="AB1083" s="7" t="n">
        <v>456</v>
      </c>
      <c r="AC1083" s="7" t="n">
        <v>524</v>
      </c>
      <c r="AD1083" s="7" t="n">
        <v>4</v>
      </c>
      <c r="AE1083" s="7" t="n">
        <v>5</v>
      </c>
      <c r="AF1083" s="7" t="n">
        <v>24</v>
      </c>
      <c r="AG1083" s="7" t="n">
        <v>29</v>
      </c>
      <c r="AH1083" s="7" t="n">
        <v>9</v>
      </c>
      <c r="AI1083" s="7" t="n">
        <v>10</v>
      </c>
      <c r="AJ1083" s="7" t="n">
        <v>5</v>
      </c>
      <c r="AK1083" s="7" t="n">
        <v>7</v>
      </c>
      <c r="AL1083" s="7" t="n">
        <v>12</v>
      </c>
      <c r="AM1083" s="7" t="n">
        <v>14</v>
      </c>
      <c r="AN1083" s="7" t="n">
        <v>3</v>
      </c>
      <c r="AO1083" s="7" t="n">
        <v>4</v>
      </c>
      <c r="AP1083" s="7" t="n">
        <v>0</v>
      </c>
      <c r="AQ1083" s="7" t="n">
        <v>0</v>
      </c>
      <c r="AR1083" s="6" t="s">
        <v>63</v>
      </c>
      <c r="AS1083" s="6" t="s">
        <v>57</v>
      </c>
      <c r="AT1083" s="9" t="str">
        <f aca="false">HYPERLINK("http://catalog.hathitrust.org/Record/001383729","HathiTrust Record")</f>
        <v>HathiTrust Record</v>
      </c>
      <c r="AU1083" s="9" t="str">
        <f aca="false">HYPERLINK("https://creighton-primo.hosted.exlibrisgroup.com/primo-explore/search?tab=default_tab&amp;search_scope=EVERYTHING&amp;vid=01CRU&amp;lang=en_US&amp;offset=0&amp;query=any,contains,991002559019702656","Catalog Record")</f>
        <v>Catalog Record</v>
      </c>
      <c r="AV1083" s="9" t="str">
        <f aca="false">HYPERLINK("http://www.worldcat.org/oclc/371384","WorldCat Record")</f>
        <v>WorldCat Record</v>
      </c>
      <c r="AW1083" s="6" t="s">
        <v>7277</v>
      </c>
      <c r="AX1083" s="6" t="s">
        <v>7278</v>
      </c>
      <c r="AY1083" s="6" t="s">
        <v>7279</v>
      </c>
      <c r="AZ1083" s="6" t="s">
        <v>7279</v>
      </c>
      <c r="BA1083" s="6" t="s">
        <v>7280</v>
      </c>
      <c r="BB1083" s="28"/>
      <c r="BC1083" s="6" t="s">
        <v>7281</v>
      </c>
      <c r="BE1083" s="15" t="s">
        <v>2145</v>
      </c>
      <c r="BF1083" s="6" t="s">
        <v>7282</v>
      </c>
    </row>
    <row r="1084" customFormat="false" ht="105.5" hidden="false" customHeight="false" outlineLevel="0" collapsed="false">
      <c r="A1084" s="26" t="s">
        <v>63</v>
      </c>
      <c r="B1084" s="27" t="s">
        <v>2129</v>
      </c>
      <c r="C1084" s="27" t="s">
        <v>2130</v>
      </c>
      <c r="D1084" s="27" t="s">
        <v>7283</v>
      </c>
      <c r="E1084" s="27" t="s">
        <v>7284</v>
      </c>
      <c r="F1084" s="27" t="s">
        <v>7285</v>
      </c>
      <c r="G1084" s="28"/>
      <c r="H1084" s="6" t="s">
        <v>63</v>
      </c>
      <c r="I1084" s="6" t="s">
        <v>62</v>
      </c>
      <c r="J1084" s="6" t="s">
        <v>63</v>
      </c>
      <c r="K1084" s="6" t="s">
        <v>63</v>
      </c>
      <c r="L1084" s="6" t="s">
        <v>64</v>
      </c>
      <c r="M1084" s="28"/>
      <c r="N1084" s="27" t="s">
        <v>7286</v>
      </c>
      <c r="O1084" s="6" t="s">
        <v>3340</v>
      </c>
      <c r="P1084" s="28"/>
      <c r="Q1084" s="6" t="s">
        <v>67</v>
      </c>
      <c r="R1084" s="6" t="s">
        <v>384</v>
      </c>
      <c r="S1084" s="27" t="s">
        <v>5820</v>
      </c>
      <c r="T1084" s="6" t="s">
        <v>6138</v>
      </c>
      <c r="U1084" s="7" t="n">
        <v>4</v>
      </c>
      <c r="V1084" s="7" t="n">
        <v>4</v>
      </c>
      <c r="W1084" s="8" t="s">
        <v>7287</v>
      </c>
      <c r="X1084" s="8" t="s">
        <v>7287</v>
      </c>
      <c r="Y1084" s="8" t="s">
        <v>4528</v>
      </c>
      <c r="Z1084" s="8" t="s">
        <v>4528</v>
      </c>
      <c r="AA1084" s="7" t="n">
        <v>533</v>
      </c>
      <c r="AB1084" s="7" t="n">
        <v>357</v>
      </c>
      <c r="AC1084" s="7" t="n">
        <v>359</v>
      </c>
      <c r="AD1084" s="7" t="n">
        <v>3</v>
      </c>
      <c r="AE1084" s="7" t="n">
        <v>3</v>
      </c>
      <c r="AF1084" s="7" t="n">
        <v>22</v>
      </c>
      <c r="AG1084" s="7" t="n">
        <v>22</v>
      </c>
      <c r="AH1084" s="7" t="n">
        <v>7</v>
      </c>
      <c r="AI1084" s="7" t="n">
        <v>7</v>
      </c>
      <c r="AJ1084" s="7" t="n">
        <v>6</v>
      </c>
      <c r="AK1084" s="7" t="n">
        <v>6</v>
      </c>
      <c r="AL1084" s="7" t="n">
        <v>14</v>
      </c>
      <c r="AM1084" s="7" t="n">
        <v>14</v>
      </c>
      <c r="AN1084" s="7" t="n">
        <v>2</v>
      </c>
      <c r="AO1084" s="7" t="n">
        <v>2</v>
      </c>
      <c r="AP1084" s="7" t="n">
        <v>0</v>
      </c>
      <c r="AQ1084" s="7" t="n">
        <v>0</v>
      </c>
      <c r="AR1084" s="6" t="s">
        <v>63</v>
      </c>
      <c r="AS1084" s="6" t="s">
        <v>57</v>
      </c>
      <c r="AT1084" s="9" t="str">
        <f aca="false">HYPERLINK("http://catalog.hathitrust.org/Record/002791266","HathiTrust Record")</f>
        <v>HathiTrust Record</v>
      </c>
      <c r="AU1084" s="9" t="str">
        <f aca="false">HYPERLINK("https://creighton-primo.hosted.exlibrisgroup.com/primo-explore/search?tab=default_tab&amp;search_scope=EVERYTHING&amp;vid=01CRU&amp;lang=en_US&amp;offset=0&amp;query=any,contains,991004539389702656","Catalog Record")</f>
        <v>Catalog Record</v>
      </c>
      <c r="AV1084" s="9" t="str">
        <f aca="false">HYPERLINK("http://www.worldcat.org/oclc/3891784","WorldCat Record")</f>
        <v>WorldCat Record</v>
      </c>
      <c r="AW1084" s="6" t="s">
        <v>7288</v>
      </c>
      <c r="AX1084" s="6" t="s">
        <v>7289</v>
      </c>
      <c r="AY1084" s="6" t="s">
        <v>7290</v>
      </c>
      <c r="AZ1084" s="6" t="s">
        <v>7290</v>
      </c>
      <c r="BA1084" s="6" t="s">
        <v>7291</v>
      </c>
      <c r="BB1084" s="6" t="s">
        <v>7292</v>
      </c>
      <c r="BC1084" s="6" t="s">
        <v>7293</v>
      </c>
      <c r="BE1084" s="15" t="s">
        <v>2145</v>
      </c>
      <c r="BF1084" s="6" t="s">
        <v>7294</v>
      </c>
    </row>
    <row r="1085" customFormat="false" ht="163" hidden="false" customHeight="false" outlineLevel="0" collapsed="false">
      <c r="A1085" s="26" t="s">
        <v>63</v>
      </c>
      <c r="B1085" s="27" t="s">
        <v>2129</v>
      </c>
      <c r="C1085" s="27" t="s">
        <v>2130</v>
      </c>
      <c r="D1085" s="27" t="s">
        <v>7295</v>
      </c>
      <c r="E1085" s="27" t="s">
        <v>7296</v>
      </c>
      <c r="F1085" s="27" t="s">
        <v>7297</v>
      </c>
      <c r="G1085" s="28"/>
      <c r="H1085" s="6" t="s">
        <v>63</v>
      </c>
      <c r="I1085" s="6" t="s">
        <v>62</v>
      </c>
      <c r="J1085" s="6" t="s">
        <v>63</v>
      </c>
      <c r="K1085" s="6" t="s">
        <v>57</v>
      </c>
      <c r="L1085" s="6" t="s">
        <v>64</v>
      </c>
      <c r="M1085" s="27" t="s">
        <v>7298</v>
      </c>
      <c r="N1085" s="27" t="s">
        <v>7299</v>
      </c>
      <c r="O1085" s="6" t="s">
        <v>2693</v>
      </c>
      <c r="P1085" s="27" t="s">
        <v>255</v>
      </c>
      <c r="Q1085" s="6" t="s">
        <v>67</v>
      </c>
      <c r="R1085" s="6" t="s">
        <v>68</v>
      </c>
      <c r="S1085" s="27" t="s">
        <v>7300</v>
      </c>
      <c r="T1085" s="6" t="s">
        <v>6138</v>
      </c>
      <c r="U1085" s="7" t="n">
        <v>5</v>
      </c>
      <c r="V1085" s="7" t="n">
        <v>5</v>
      </c>
      <c r="W1085" s="8" t="s">
        <v>7301</v>
      </c>
      <c r="X1085" s="8" t="s">
        <v>7301</v>
      </c>
      <c r="Y1085" s="8" t="s">
        <v>2223</v>
      </c>
      <c r="Z1085" s="8" t="s">
        <v>2223</v>
      </c>
      <c r="AA1085" s="7" t="n">
        <v>539</v>
      </c>
      <c r="AB1085" s="7" t="n">
        <v>472</v>
      </c>
      <c r="AC1085" s="7" t="n">
        <v>850</v>
      </c>
      <c r="AD1085" s="7" t="n">
        <v>5</v>
      </c>
      <c r="AE1085" s="7" t="n">
        <v>10</v>
      </c>
      <c r="AF1085" s="7" t="n">
        <v>23</v>
      </c>
      <c r="AG1085" s="7" t="n">
        <v>44</v>
      </c>
      <c r="AH1085" s="7" t="n">
        <v>8</v>
      </c>
      <c r="AI1085" s="7" t="n">
        <v>16</v>
      </c>
      <c r="AJ1085" s="7" t="n">
        <v>4</v>
      </c>
      <c r="AK1085" s="7" t="n">
        <v>8</v>
      </c>
      <c r="AL1085" s="7" t="n">
        <v>13</v>
      </c>
      <c r="AM1085" s="7" t="n">
        <v>23</v>
      </c>
      <c r="AN1085" s="7" t="n">
        <v>3</v>
      </c>
      <c r="AO1085" s="7" t="n">
        <v>8</v>
      </c>
      <c r="AP1085" s="7" t="n">
        <v>0</v>
      </c>
      <c r="AQ1085" s="7" t="n">
        <v>0</v>
      </c>
      <c r="AR1085" s="6" t="s">
        <v>63</v>
      </c>
      <c r="AS1085" s="6" t="s">
        <v>63</v>
      </c>
      <c r="AT1085" s="28"/>
      <c r="AU1085" s="9" t="str">
        <f aca="false">HYPERLINK("https://creighton-primo.hosted.exlibrisgroup.com/primo-explore/search?tab=default_tab&amp;search_scope=EVERYTHING&amp;vid=01CRU&amp;lang=en_US&amp;offset=0&amp;query=any,contains,991002769049702656","Catalog Record")</f>
        <v>Catalog Record</v>
      </c>
      <c r="AV1085" s="9" t="str">
        <f aca="false">HYPERLINK("http://www.worldcat.org/oclc/436155","WorldCat Record")</f>
        <v>WorldCat Record</v>
      </c>
      <c r="AW1085" s="6" t="s">
        <v>7302</v>
      </c>
      <c r="AX1085" s="6" t="s">
        <v>7303</v>
      </c>
      <c r="AY1085" s="6" t="s">
        <v>7304</v>
      </c>
      <c r="AZ1085" s="6" t="s">
        <v>7304</v>
      </c>
      <c r="BA1085" s="6" t="s">
        <v>7305</v>
      </c>
      <c r="BB1085" s="28"/>
      <c r="BC1085" s="6" t="s">
        <v>7306</v>
      </c>
      <c r="BE1085" s="15" t="s">
        <v>2145</v>
      </c>
      <c r="BF1085" s="6" t="s">
        <v>7307</v>
      </c>
    </row>
    <row r="1086" customFormat="false" ht="82.5" hidden="false" customHeight="false" outlineLevel="0" collapsed="false">
      <c r="A1086" s="26" t="s">
        <v>63</v>
      </c>
      <c r="B1086" s="27" t="s">
        <v>2129</v>
      </c>
      <c r="C1086" s="27" t="s">
        <v>2130</v>
      </c>
      <c r="D1086" s="27" t="s">
        <v>7308</v>
      </c>
      <c r="E1086" s="27" t="s">
        <v>7309</v>
      </c>
      <c r="F1086" s="27" t="s">
        <v>7310</v>
      </c>
      <c r="G1086" s="28"/>
      <c r="H1086" s="6" t="s">
        <v>63</v>
      </c>
      <c r="I1086" s="6" t="s">
        <v>62</v>
      </c>
      <c r="J1086" s="6" t="s">
        <v>63</v>
      </c>
      <c r="K1086" s="6" t="s">
        <v>63</v>
      </c>
      <c r="L1086" s="6" t="s">
        <v>64</v>
      </c>
      <c r="M1086" s="27" t="s">
        <v>7311</v>
      </c>
      <c r="N1086" s="27" t="s">
        <v>7312</v>
      </c>
      <c r="O1086" s="6" t="s">
        <v>221</v>
      </c>
      <c r="P1086" s="28"/>
      <c r="Q1086" s="6" t="s">
        <v>67</v>
      </c>
      <c r="R1086" s="6" t="s">
        <v>300</v>
      </c>
      <c r="S1086" s="27" t="s">
        <v>7313</v>
      </c>
      <c r="T1086" s="6" t="s">
        <v>6138</v>
      </c>
      <c r="U1086" s="7" t="n">
        <v>5</v>
      </c>
      <c r="V1086" s="7" t="n">
        <v>5</v>
      </c>
      <c r="W1086" s="8" t="s">
        <v>7314</v>
      </c>
      <c r="X1086" s="8" t="s">
        <v>7314</v>
      </c>
      <c r="Y1086" s="8" t="s">
        <v>2223</v>
      </c>
      <c r="Z1086" s="8" t="s">
        <v>2223</v>
      </c>
      <c r="AA1086" s="7" t="n">
        <v>465</v>
      </c>
      <c r="AB1086" s="7" t="n">
        <v>421</v>
      </c>
      <c r="AC1086" s="7" t="n">
        <v>1155</v>
      </c>
      <c r="AD1086" s="7" t="n">
        <v>2</v>
      </c>
      <c r="AE1086" s="7" t="n">
        <v>10</v>
      </c>
      <c r="AF1086" s="7" t="n">
        <v>27</v>
      </c>
      <c r="AG1086" s="7" t="n">
        <v>49</v>
      </c>
      <c r="AH1086" s="7" t="n">
        <v>15</v>
      </c>
      <c r="AI1086" s="7" t="n">
        <v>23</v>
      </c>
      <c r="AJ1086" s="7" t="n">
        <v>7</v>
      </c>
      <c r="AK1086" s="7" t="n">
        <v>9</v>
      </c>
      <c r="AL1086" s="7" t="n">
        <v>16</v>
      </c>
      <c r="AM1086" s="7" t="n">
        <v>22</v>
      </c>
      <c r="AN1086" s="7" t="n">
        <v>0</v>
      </c>
      <c r="AO1086" s="7" t="n">
        <v>6</v>
      </c>
      <c r="AP1086" s="7" t="n">
        <v>0</v>
      </c>
      <c r="AQ1086" s="7" t="n">
        <v>2</v>
      </c>
      <c r="AR1086" s="6" t="s">
        <v>63</v>
      </c>
      <c r="AS1086" s="6" t="s">
        <v>63</v>
      </c>
      <c r="AT1086" s="28"/>
      <c r="AU1086" s="9" t="str">
        <f aca="false">HYPERLINK("https://creighton-primo.hosted.exlibrisgroup.com/primo-explore/search?tab=default_tab&amp;search_scope=EVERYTHING&amp;vid=01CRU&amp;lang=en_US&amp;offset=0&amp;query=any,contains,991000289789702656","Catalog Record")</f>
        <v>Catalog Record</v>
      </c>
      <c r="AV1086" s="9" t="str">
        <f aca="false">HYPERLINK("http://www.worldcat.org/oclc/9952138","WorldCat Record")</f>
        <v>WorldCat Record</v>
      </c>
      <c r="AW1086" s="6" t="s">
        <v>7315</v>
      </c>
      <c r="AX1086" s="6" t="s">
        <v>7316</v>
      </c>
      <c r="AY1086" s="6" t="s">
        <v>7317</v>
      </c>
      <c r="AZ1086" s="6" t="s">
        <v>7317</v>
      </c>
      <c r="BA1086" s="6" t="s">
        <v>7318</v>
      </c>
      <c r="BB1086" s="6" t="s">
        <v>7319</v>
      </c>
      <c r="BC1086" s="6" t="s">
        <v>7320</v>
      </c>
      <c r="BE1086" s="15" t="s">
        <v>2145</v>
      </c>
      <c r="BF1086" s="6" t="s">
        <v>7321</v>
      </c>
    </row>
    <row r="1087" customFormat="false" ht="105.5" hidden="false" customHeight="false" outlineLevel="0" collapsed="false">
      <c r="A1087" s="26" t="s">
        <v>63</v>
      </c>
      <c r="B1087" s="27" t="s">
        <v>2129</v>
      </c>
      <c r="C1087" s="27" t="s">
        <v>2130</v>
      </c>
      <c r="D1087" s="27" t="s">
        <v>7322</v>
      </c>
      <c r="E1087" s="27" t="s">
        <v>7323</v>
      </c>
      <c r="F1087" s="27" t="s">
        <v>7324</v>
      </c>
      <c r="G1087" s="28"/>
      <c r="H1087" s="6" t="s">
        <v>63</v>
      </c>
      <c r="I1087" s="6" t="s">
        <v>62</v>
      </c>
      <c r="J1087" s="6" t="s">
        <v>63</v>
      </c>
      <c r="K1087" s="6" t="s">
        <v>63</v>
      </c>
      <c r="L1087" s="6" t="s">
        <v>64</v>
      </c>
      <c r="M1087" s="27" t="s">
        <v>7325</v>
      </c>
      <c r="N1087" s="27" t="s">
        <v>7326</v>
      </c>
      <c r="O1087" s="6" t="s">
        <v>108</v>
      </c>
      <c r="P1087" s="28"/>
      <c r="Q1087" s="6" t="s">
        <v>67</v>
      </c>
      <c r="R1087" s="6" t="s">
        <v>2288</v>
      </c>
      <c r="S1087" s="28"/>
      <c r="T1087" s="6" t="s">
        <v>6138</v>
      </c>
      <c r="U1087" s="7" t="n">
        <v>1</v>
      </c>
      <c r="V1087" s="7" t="n">
        <v>1</v>
      </c>
      <c r="W1087" s="8" t="s">
        <v>7327</v>
      </c>
      <c r="X1087" s="8" t="s">
        <v>7327</v>
      </c>
      <c r="Y1087" s="8" t="s">
        <v>2223</v>
      </c>
      <c r="Z1087" s="8" t="s">
        <v>2223</v>
      </c>
      <c r="AA1087" s="7" t="n">
        <v>172</v>
      </c>
      <c r="AB1087" s="7" t="n">
        <v>151</v>
      </c>
      <c r="AC1087" s="7" t="n">
        <v>151</v>
      </c>
      <c r="AD1087" s="7" t="n">
        <v>2</v>
      </c>
      <c r="AE1087" s="7" t="n">
        <v>2</v>
      </c>
      <c r="AF1087" s="7" t="n">
        <v>8</v>
      </c>
      <c r="AG1087" s="7" t="n">
        <v>8</v>
      </c>
      <c r="AH1087" s="7" t="n">
        <v>2</v>
      </c>
      <c r="AI1087" s="7" t="n">
        <v>2</v>
      </c>
      <c r="AJ1087" s="7" t="n">
        <v>3</v>
      </c>
      <c r="AK1087" s="7" t="n">
        <v>3</v>
      </c>
      <c r="AL1087" s="7" t="n">
        <v>6</v>
      </c>
      <c r="AM1087" s="7" t="n">
        <v>6</v>
      </c>
      <c r="AN1087" s="7" t="n">
        <v>1</v>
      </c>
      <c r="AO1087" s="7" t="n">
        <v>1</v>
      </c>
      <c r="AP1087" s="7" t="n">
        <v>0</v>
      </c>
      <c r="AQ1087" s="7" t="n">
        <v>0</v>
      </c>
      <c r="AR1087" s="6" t="s">
        <v>63</v>
      </c>
      <c r="AS1087" s="6" t="s">
        <v>63</v>
      </c>
      <c r="AT1087" s="28"/>
      <c r="AU1087" s="9" t="str">
        <f aca="false">HYPERLINK("https://creighton-primo.hosted.exlibrisgroup.com/primo-explore/search?tab=default_tab&amp;search_scope=EVERYTHING&amp;vid=01CRU&amp;lang=en_US&amp;offset=0&amp;query=any,contains,991004760509702656","Catalog Record")</f>
        <v>Catalog Record</v>
      </c>
      <c r="AV1087" s="9" t="str">
        <f aca="false">HYPERLINK("http://www.worldcat.org/oclc/4995635","WorldCat Record")</f>
        <v>WorldCat Record</v>
      </c>
      <c r="AW1087" s="6" t="s">
        <v>7328</v>
      </c>
      <c r="AX1087" s="6" t="s">
        <v>7329</v>
      </c>
      <c r="AY1087" s="6" t="s">
        <v>7330</v>
      </c>
      <c r="AZ1087" s="6" t="s">
        <v>7330</v>
      </c>
      <c r="BA1087" s="6" t="s">
        <v>7331</v>
      </c>
      <c r="BB1087" s="6" t="s">
        <v>7332</v>
      </c>
      <c r="BC1087" s="6" t="s">
        <v>7333</v>
      </c>
      <c r="BE1087" s="15" t="s">
        <v>2145</v>
      </c>
      <c r="BF1087" s="6" t="s">
        <v>7334</v>
      </c>
    </row>
    <row r="1088" customFormat="false" ht="117" hidden="false" customHeight="false" outlineLevel="0" collapsed="false">
      <c r="A1088" s="26" t="s">
        <v>63</v>
      </c>
      <c r="B1088" s="27" t="s">
        <v>2129</v>
      </c>
      <c r="C1088" s="27" t="s">
        <v>2130</v>
      </c>
      <c r="D1088" s="27" t="s">
        <v>7335</v>
      </c>
      <c r="E1088" s="27" t="s">
        <v>7336</v>
      </c>
      <c r="F1088" s="27" t="s">
        <v>7337</v>
      </c>
      <c r="G1088" s="28"/>
      <c r="H1088" s="6" t="s">
        <v>63</v>
      </c>
      <c r="I1088" s="6" t="s">
        <v>62</v>
      </c>
      <c r="J1088" s="6" t="s">
        <v>63</v>
      </c>
      <c r="K1088" s="6" t="s">
        <v>63</v>
      </c>
      <c r="L1088" s="6" t="s">
        <v>64</v>
      </c>
      <c r="M1088" s="27" t="s">
        <v>7338</v>
      </c>
      <c r="N1088" s="27" t="s">
        <v>7339</v>
      </c>
      <c r="O1088" s="6" t="s">
        <v>2221</v>
      </c>
      <c r="P1088" s="28"/>
      <c r="Q1088" s="6" t="s">
        <v>67</v>
      </c>
      <c r="R1088" s="6" t="s">
        <v>384</v>
      </c>
      <c r="S1088" s="28"/>
      <c r="T1088" s="6" t="s">
        <v>6138</v>
      </c>
      <c r="U1088" s="7" t="n">
        <v>3</v>
      </c>
      <c r="V1088" s="7" t="n">
        <v>3</v>
      </c>
      <c r="W1088" s="8" t="s">
        <v>7314</v>
      </c>
      <c r="X1088" s="8" t="s">
        <v>7314</v>
      </c>
      <c r="Y1088" s="8" t="s">
        <v>6024</v>
      </c>
      <c r="Z1088" s="8" t="s">
        <v>6024</v>
      </c>
      <c r="AA1088" s="7" t="n">
        <v>418</v>
      </c>
      <c r="AB1088" s="7" t="n">
        <v>305</v>
      </c>
      <c r="AC1088" s="7" t="n">
        <v>311</v>
      </c>
      <c r="AD1088" s="7" t="n">
        <v>2</v>
      </c>
      <c r="AE1088" s="7" t="n">
        <v>2</v>
      </c>
      <c r="AF1088" s="7" t="n">
        <v>19</v>
      </c>
      <c r="AG1088" s="7" t="n">
        <v>19</v>
      </c>
      <c r="AH1088" s="7" t="n">
        <v>7</v>
      </c>
      <c r="AI1088" s="7" t="n">
        <v>7</v>
      </c>
      <c r="AJ1088" s="7" t="n">
        <v>7</v>
      </c>
      <c r="AK1088" s="7" t="n">
        <v>7</v>
      </c>
      <c r="AL1088" s="7" t="n">
        <v>13</v>
      </c>
      <c r="AM1088" s="7" t="n">
        <v>13</v>
      </c>
      <c r="AN1088" s="7" t="n">
        <v>1</v>
      </c>
      <c r="AO1088" s="7" t="n">
        <v>1</v>
      </c>
      <c r="AP1088" s="7" t="n">
        <v>0</v>
      </c>
      <c r="AQ1088" s="7" t="n">
        <v>0</v>
      </c>
      <c r="AR1088" s="6" t="s">
        <v>63</v>
      </c>
      <c r="AS1088" s="6" t="s">
        <v>57</v>
      </c>
      <c r="AT1088" s="9" t="str">
        <f aca="false">HYPERLINK("http://catalog.hathitrust.org/Record/000911593","HathiTrust Record")</f>
        <v>HathiTrust Record</v>
      </c>
      <c r="AU1088" s="9" t="str">
        <f aca="false">HYPERLINK("https://creighton-primo.hosted.exlibrisgroup.com/primo-explore/search?tab=default_tab&amp;search_scope=EVERYTHING&amp;vid=01CRU&amp;lang=en_US&amp;offset=0&amp;query=any,contains,991001161289702656","Catalog Record")</f>
        <v>Catalog Record</v>
      </c>
      <c r="AV1088" s="9" t="str">
        <f aca="false">HYPERLINK("http://www.worldcat.org/oclc/16900620","WorldCat Record")</f>
        <v>WorldCat Record</v>
      </c>
      <c r="AW1088" s="6" t="s">
        <v>7340</v>
      </c>
      <c r="AX1088" s="6" t="s">
        <v>7341</v>
      </c>
      <c r="AY1088" s="6" t="s">
        <v>7342</v>
      </c>
      <c r="AZ1088" s="6" t="s">
        <v>7342</v>
      </c>
      <c r="BA1088" s="6" t="s">
        <v>7343</v>
      </c>
      <c r="BB1088" s="6" t="s">
        <v>7344</v>
      </c>
      <c r="BC1088" s="6" t="s">
        <v>7345</v>
      </c>
      <c r="BE1088" s="15" t="s">
        <v>2145</v>
      </c>
      <c r="BF1088" s="6" t="s">
        <v>7346</v>
      </c>
    </row>
    <row r="1089" customFormat="false" ht="243.5" hidden="false" customHeight="false" outlineLevel="0" collapsed="false">
      <c r="A1089" s="26" t="s">
        <v>63</v>
      </c>
      <c r="B1089" s="27" t="s">
        <v>2129</v>
      </c>
      <c r="C1089" s="27" t="s">
        <v>2130</v>
      </c>
      <c r="D1089" s="27" t="s">
        <v>7347</v>
      </c>
      <c r="E1089" s="27" t="s">
        <v>7348</v>
      </c>
      <c r="F1089" s="27" t="s">
        <v>7349</v>
      </c>
      <c r="G1089" s="28"/>
      <c r="H1089" s="6" t="s">
        <v>63</v>
      </c>
      <c r="I1089" s="6" t="s">
        <v>62</v>
      </c>
      <c r="J1089" s="6" t="s">
        <v>63</v>
      </c>
      <c r="K1089" s="6" t="s">
        <v>63</v>
      </c>
      <c r="L1089" s="6" t="s">
        <v>64</v>
      </c>
      <c r="M1089" s="27" t="s">
        <v>7311</v>
      </c>
      <c r="N1089" s="27" t="s">
        <v>7350</v>
      </c>
      <c r="O1089" s="6" t="s">
        <v>2811</v>
      </c>
      <c r="P1089" s="28"/>
      <c r="Q1089" s="6" t="s">
        <v>67</v>
      </c>
      <c r="R1089" s="6" t="s">
        <v>384</v>
      </c>
      <c r="S1089" s="28"/>
      <c r="T1089" s="6" t="s">
        <v>6138</v>
      </c>
      <c r="U1089" s="7" t="n">
        <v>3</v>
      </c>
      <c r="V1089" s="7" t="n">
        <v>3</v>
      </c>
      <c r="W1089" s="8" t="s">
        <v>7351</v>
      </c>
      <c r="X1089" s="8" t="s">
        <v>7351</v>
      </c>
      <c r="Y1089" s="8" t="s">
        <v>2223</v>
      </c>
      <c r="Z1089" s="8" t="s">
        <v>2223</v>
      </c>
      <c r="AA1089" s="7" t="n">
        <v>213</v>
      </c>
      <c r="AB1089" s="7" t="n">
        <v>71</v>
      </c>
      <c r="AC1089" s="7" t="n">
        <v>367</v>
      </c>
      <c r="AD1089" s="7" t="n">
        <v>1</v>
      </c>
      <c r="AE1089" s="7" t="n">
        <v>3</v>
      </c>
      <c r="AF1089" s="7" t="n">
        <v>7</v>
      </c>
      <c r="AG1089" s="7" t="n">
        <v>21</v>
      </c>
      <c r="AH1089" s="7" t="n">
        <v>3</v>
      </c>
      <c r="AI1089" s="7" t="n">
        <v>7</v>
      </c>
      <c r="AJ1089" s="7" t="n">
        <v>3</v>
      </c>
      <c r="AK1089" s="7" t="n">
        <v>7</v>
      </c>
      <c r="AL1089" s="7" t="n">
        <v>5</v>
      </c>
      <c r="AM1089" s="7" t="n">
        <v>12</v>
      </c>
      <c r="AN1089" s="7" t="n">
        <v>0</v>
      </c>
      <c r="AO1089" s="7" t="n">
        <v>2</v>
      </c>
      <c r="AP1089" s="7" t="n">
        <v>0</v>
      </c>
      <c r="AQ1089" s="7" t="n">
        <v>0</v>
      </c>
      <c r="AR1089" s="6" t="s">
        <v>63</v>
      </c>
      <c r="AS1089" s="6" t="s">
        <v>63</v>
      </c>
      <c r="AT1089" s="28"/>
      <c r="AU1089" s="9" t="str">
        <f aca="false">HYPERLINK("https://creighton-primo.hosted.exlibrisgroup.com/primo-explore/search?tab=default_tab&amp;search_scope=EVERYTHING&amp;vid=01CRU&amp;lang=en_US&amp;offset=0&amp;query=any,contains,991003013989702656","Catalog Record")</f>
        <v>Catalog Record</v>
      </c>
      <c r="AV1089" s="9" t="str">
        <f aca="false">HYPERLINK("http://www.worldcat.org/oclc/579684","WorldCat Record")</f>
        <v>WorldCat Record</v>
      </c>
      <c r="AW1089" s="6" t="s">
        <v>7352</v>
      </c>
      <c r="AX1089" s="6" t="s">
        <v>7353</v>
      </c>
      <c r="AY1089" s="6" t="s">
        <v>7354</v>
      </c>
      <c r="AZ1089" s="6" t="s">
        <v>7354</v>
      </c>
      <c r="BA1089" s="6" t="s">
        <v>7355</v>
      </c>
      <c r="BB1089" s="6" t="s">
        <v>7356</v>
      </c>
      <c r="BC1089" s="6" t="s">
        <v>7357</v>
      </c>
      <c r="BE1089" s="15" t="s">
        <v>2145</v>
      </c>
      <c r="BF1089" s="6" t="s">
        <v>7358</v>
      </c>
    </row>
    <row r="1090" customFormat="false" ht="105.5" hidden="false" customHeight="false" outlineLevel="0" collapsed="false">
      <c r="A1090" s="26" t="s">
        <v>63</v>
      </c>
      <c r="B1090" s="27" t="s">
        <v>2129</v>
      </c>
      <c r="C1090" s="27" t="s">
        <v>2130</v>
      </c>
      <c r="D1090" s="27" t="s">
        <v>7359</v>
      </c>
      <c r="E1090" s="27" t="s">
        <v>7360</v>
      </c>
      <c r="F1090" s="27" t="s">
        <v>7361</v>
      </c>
      <c r="G1090" s="28"/>
      <c r="H1090" s="6" t="s">
        <v>63</v>
      </c>
      <c r="I1090" s="6" t="s">
        <v>62</v>
      </c>
      <c r="J1090" s="6" t="s">
        <v>63</v>
      </c>
      <c r="K1090" s="6" t="s">
        <v>63</v>
      </c>
      <c r="L1090" s="6" t="s">
        <v>64</v>
      </c>
      <c r="M1090" s="27" t="s">
        <v>7362</v>
      </c>
      <c r="N1090" s="27" t="s">
        <v>7363</v>
      </c>
      <c r="O1090" s="6" t="s">
        <v>2369</v>
      </c>
      <c r="P1090" s="28"/>
      <c r="Q1090" s="6" t="s">
        <v>67</v>
      </c>
      <c r="R1090" s="6" t="s">
        <v>384</v>
      </c>
      <c r="S1090" s="28"/>
      <c r="T1090" s="6" t="s">
        <v>6138</v>
      </c>
      <c r="U1090" s="7" t="n">
        <v>4</v>
      </c>
      <c r="V1090" s="7" t="n">
        <v>4</v>
      </c>
      <c r="W1090" s="8" t="s">
        <v>7364</v>
      </c>
      <c r="X1090" s="8" t="s">
        <v>7364</v>
      </c>
      <c r="Y1090" s="8" t="s">
        <v>2223</v>
      </c>
      <c r="Z1090" s="8" t="s">
        <v>2223</v>
      </c>
      <c r="AA1090" s="7" t="n">
        <v>815</v>
      </c>
      <c r="AB1090" s="7" t="n">
        <v>661</v>
      </c>
      <c r="AC1090" s="7" t="n">
        <v>670</v>
      </c>
      <c r="AD1090" s="7" t="n">
        <v>3</v>
      </c>
      <c r="AE1090" s="7" t="n">
        <v>3</v>
      </c>
      <c r="AF1090" s="7" t="n">
        <v>32</v>
      </c>
      <c r="AG1090" s="7" t="n">
        <v>32</v>
      </c>
      <c r="AH1090" s="7" t="n">
        <v>14</v>
      </c>
      <c r="AI1090" s="7" t="n">
        <v>14</v>
      </c>
      <c r="AJ1090" s="7" t="n">
        <v>7</v>
      </c>
      <c r="AK1090" s="7" t="n">
        <v>7</v>
      </c>
      <c r="AL1090" s="7" t="n">
        <v>19</v>
      </c>
      <c r="AM1090" s="7" t="n">
        <v>19</v>
      </c>
      <c r="AN1090" s="7" t="n">
        <v>2</v>
      </c>
      <c r="AO1090" s="7" t="n">
        <v>2</v>
      </c>
      <c r="AP1090" s="7" t="n">
        <v>0</v>
      </c>
      <c r="AQ1090" s="7" t="n">
        <v>0</v>
      </c>
      <c r="AR1090" s="6" t="s">
        <v>63</v>
      </c>
      <c r="AS1090" s="6" t="s">
        <v>57</v>
      </c>
      <c r="AT1090" s="9" t="str">
        <f aca="false">HYPERLINK("http://catalog.hathitrust.org/Record/001383751","HathiTrust Record")</f>
        <v>HathiTrust Record</v>
      </c>
      <c r="AU1090" s="9" t="str">
        <f aca="false">HYPERLINK("https://creighton-primo.hosted.exlibrisgroup.com/primo-explore/search?tab=default_tab&amp;search_scope=EVERYTHING&amp;vid=01CRU&amp;lang=en_US&amp;offset=0&amp;query=any,contains,991002565929702656","Catalog Record")</f>
        <v>Catalog Record</v>
      </c>
      <c r="AV1090" s="9" t="str">
        <f aca="false">HYPERLINK("http://www.worldcat.org/oclc/372629","WorldCat Record")</f>
        <v>WorldCat Record</v>
      </c>
      <c r="AW1090" s="6" t="s">
        <v>7365</v>
      </c>
      <c r="AX1090" s="6" t="s">
        <v>7366</v>
      </c>
      <c r="AY1090" s="6" t="s">
        <v>7367</v>
      </c>
      <c r="AZ1090" s="6" t="s">
        <v>7367</v>
      </c>
      <c r="BA1090" s="6" t="s">
        <v>7368</v>
      </c>
      <c r="BB1090" s="28"/>
      <c r="BC1090" s="6" t="s">
        <v>7369</v>
      </c>
      <c r="BE1090" s="15" t="s">
        <v>2145</v>
      </c>
      <c r="BF1090" s="6" t="s">
        <v>7370</v>
      </c>
    </row>
    <row r="1091" customFormat="false" ht="105.5" hidden="false" customHeight="false" outlineLevel="0" collapsed="false">
      <c r="A1091" s="26" t="s">
        <v>63</v>
      </c>
      <c r="B1091" s="27" t="s">
        <v>2129</v>
      </c>
      <c r="C1091" s="27" t="s">
        <v>2130</v>
      </c>
      <c r="D1091" s="27" t="s">
        <v>7371</v>
      </c>
      <c r="E1091" s="27" t="s">
        <v>7372</v>
      </c>
      <c r="F1091" s="27" t="s">
        <v>7373</v>
      </c>
      <c r="G1091" s="28"/>
      <c r="H1091" s="6" t="s">
        <v>63</v>
      </c>
      <c r="I1091" s="6" t="s">
        <v>62</v>
      </c>
      <c r="J1091" s="6" t="s">
        <v>63</v>
      </c>
      <c r="K1091" s="6" t="s">
        <v>63</v>
      </c>
      <c r="L1091" s="6" t="s">
        <v>64</v>
      </c>
      <c r="M1091" s="27" t="s">
        <v>7374</v>
      </c>
      <c r="N1091" s="27" t="s">
        <v>7375</v>
      </c>
      <c r="O1091" s="6" t="s">
        <v>2975</v>
      </c>
      <c r="P1091" s="28"/>
      <c r="Q1091" s="6" t="s">
        <v>67</v>
      </c>
      <c r="R1091" s="6" t="s">
        <v>68</v>
      </c>
      <c r="S1091" s="27" t="s">
        <v>7376</v>
      </c>
      <c r="T1091" s="6" t="s">
        <v>6138</v>
      </c>
      <c r="U1091" s="7" t="n">
        <v>6</v>
      </c>
      <c r="V1091" s="7" t="n">
        <v>6</v>
      </c>
      <c r="W1091" s="8" t="s">
        <v>7364</v>
      </c>
      <c r="X1091" s="8" t="s">
        <v>7364</v>
      </c>
      <c r="Y1091" s="8" t="s">
        <v>2223</v>
      </c>
      <c r="Z1091" s="8" t="s">
        <v>2223</v>
      </c>
      <c r="AA1091" s="7" t="n">
        <v>467</v>
      </c>
      <c r="AB1091" s="7" t="n">
        <v>458</v>
      </c>
      <c r="AC1091" s="7" t="n">
        <v>638</v>
      </c>
      <c r="AD1091" s="7" t="n">
        <v>4</v>
      </c>
      <c r="AE1091" s="7" t="n">
        <v>5</v>
      </c>
      <c r="AF1091" s="7" t="n">
        <v>25</v>
      </c>
      <c r="AG1091" s="7" t="n">
        <v>33</v>
      </c>
      <c r="AH1091" s="7" t="n">
        <v>10</v>
      </c>
      <c r="AI1091" s="7" t="n">
        <v>13</v>
      </c>
      <c r="AJ1091" s="7" t="n">
        <v>7</v>
      </c>
      <c r="AK1091" s="7" t="n">
        <v>9</v>
      </c>
      <c r="AL1091" s="7" t="n">
        <v>14</v>
      </c>
      <c r="AM1091" s="7" t="n">
        <v>18</v>
      </c>
      <c r="AN1091" s="7" t="n">
        <v>3</v>
      </c>
      <c r="AO1091" s="7" t="n">
        <v>4</v>
      </c>
      <c r="AP1091" s="7" t="n">
        <v>0</v>
      </c>
      <c r="AQ1091" s="7" t="n">
        <v>0</v>
      </c>
      <c r="AR1091" s="6" t="s">
        <v>63</v>
      </c>
      <c r="AS1091" s="6" t="s">
        <v>57</v>
      </c>
      <c r="AT1091" s="9" t="str">
        <f aca="false">HYPERLINK("http://catalog.hathitrust.org/Record/102214399","HathiTrust Record")</f>
        <v>HathiTrust Record</v>
      </c>
      <c r="AU1091" s="9" t="str">
        <f aca="false">HYPERLINK("https://creighton-primo.hosted.exlibrisgroup.com/primo-explore/search?tab=default_tab&amp;search_scope=EVERYTHING&amp;vid=01CRU&amp;lang=en_US&amp;offset=0&amp;query=any,contains,991000087789702656","Catalog Record")</f>
        <v>Catalog Record</v>
      </c>
      <c r="AV1091" s="9" t="str">
        <f aca="false">HYPERLINK("http://www.worldcat.org/oclc/34354","WorldCat Record")</f>
        <v>WorldCat Record</v>
      </c>
      <c r="AW1091" s="6" t="s">
        <v>7377</v>
      </c>
      <c r="AX1091" s="6" t="s">
        <v>7378</v>
      </c>
      <c r="AY1091" s="6" t="s">
        <v>7379</v>
      </c>
      <c r="AZ1091" s="6" t="s">
        <v>7379</v>
      </c>
      <c r="BA1091" s="6" t="s">
        <v>7380</v>
      </c>
      <c r="BB1091" s="6" t="s">
        <v>7381</v>
      </c>
      <c r="BC1091" s="6" t="s">
        <v>7382</v>
      </c>
      <c r="BE1091" s="15" t="s">
        <v>2145</v>
      </c>
      <c r="BF1091" s="6" t="s">
        <v>7383</v>
      </c>
    </row>
    <row r="1092" customFormat="false" ht="174.5" hidden="false" customHeight="false" outlineLevel="0" collapsed="false">
      <c r="A1092" s="26" t="s">
        <v>63</v>
      </c>
      <c r="B1092" s="27" t="s">
        <v>2129</v>
      </c>
      <c r="C1092" s="27" t="s">
        <v>2130</v>
      </c>
      <c r="D1092" s="27" t="s">
        <v>7384</v>
      </c>
      <c r="E1092" s="27" t="s">
        <v>7385</v>
      </c>
      <c r="F1092" s="27" t="s">
        <v>7386</v>
      </c>
      <c r="G1092" s="28"/>
      <c r="H1092" s="6" t="s">
        <v>63</v>
      </c>
      <c r="I1092" s="6" t="s">
        <v>62</v>
      </c>
      <c r="J1092" s="6" t="s">
        <v>63</v>
      </c>
      <c r="K1092" s="6" t="s">
        <v>63</v>
      </c>
      <c r="L1092" s="6" t="s">
        <v>64</v>
      </c>
      <c r="M1092" s="27" t="s">
        <v>7387</v>
      </c>
      <c r="N1092" s="27" t="s">
        <v>7388</v>
      </c>
      <c r="O1092" s="6" t="s">
        <v>3094</v>
      </c>
      <c r="P1092" s="28"/>
      <c r="Q1092" s="6" t="s">
        <v>67</v>
      </c>
      <c r="R1092" s="6" t="s">
        <v>222</v>
      </c>
      <c r="S1092" s="28"/>
      <c r="T1092" s="6" t="s">
        <v>6138</v>
      </c>
      <c r="U1092" s="7" t="n">
        <v>1</v>
      </c>
      <c r="V1092" s="7" t="n">
        <v>1</v>
      </c>
      <c r="W1092" s="8" t="s">
        <v>7389</v>
      </c>
      <c r="X1092" s="8" t="s">
        <v>7389</v>
      </c>
      <c r="Y1092" s="8" t="s">
        <v>7389</v>
      </c>
      <c r="Z1092" s="8" t="s">
        <v>7389</v>
      </c>
      <c r="AA1092" s="7" t="n">
        <v>324</v>
      </c>
      <c r="AB1092" s="7" t="n">
        <v>295</v>
      </c>
      <c r="AC1092" s="7" t="n">
        <v>1441</v>
      </c>
      <c r="AD1092" s="7" t="n">
        <v>3</v>
      </c>
      <c r="AE1092" s="7" t="n">
        <v>12</v>
      </c>
      <c r="AF1092" s="7" t="n">
        <v>9</v>
      </c>
      <c r="AG1092" s="7" t="n">
        <v>61</v>
      </c>
      <c r="AH1092" s="7" t="n">
        <v>3</v>
      </c>
      <c r="AI1092" s="7" t="n">
        <v>23</v>
      </c>
      <c r="AJ1092" s="7" t="n">
        <v>1</v>
      </c>
      <c r="AK1092" s="7" t="n">
        <v>10</v>
      </c>
      <c r="AL1092" s="7" t="n">
        <v>5</v>
      </c>
      <c r="AM1092" s="7" t="n">
        <v>26</v>
      </c>
      <c r="AN1092" s="7" t="n">
        <v>2</v>
      </c>
      <c r="AO1092" s="7" t="n">
        <v>9</v>
      </c>
      <c r="AP1092" s="7" t="n">
        <v>0</v>
      </c>
      <c r="AQ1092" s="7" t="n">
        <v>6</v>
      </c>
      <c r="AR1092" s="6" t="s">
        <v>63</v>
      </c>
      <c r="AS1092" s="6" t="s">
        <v>63</v>
      </c>
      <c r="AT1092" s="28"/>
      <c r="AU1092" s="9" t="str">
        <f aca="false">HYPERLINK("https://creighton-primo.hosted.exlibrisgroup.com/primo-explore/search?tab=default_tab&amp;search_scope=EVERYTHING&amp;vid=01CRU&amp;lang=en_US&amp;offset=0&amp;query=any,contains,991004437979702656","Catalog Record")</f>
        <v>Catalog Record</v>
      </c>
      <c r="AV1092" s="9" t="str">
        <f aca="false">HYPERLINK("http://www.worldcat.org/oclc/594494","WorldCat Record")</f>
        <v>WorldCat Record</v>
      </c>
      <c r="AW1092" s="6" t="s">
        <v>7390</v>
      </c>
      <c r="AX1092" s="6" t="s">
        <v>7391</v>
      </c>
      <c r="AY1092" s="6" t="s">
        <v>7392</v>
      </c>
      <c r="AZ1092" s="6" t="s">
        <v>7392</v>
      </c>
      <c r="BA1092" s="6" t="s">
        <v>7393</v>
      </c>
      <c r="BB1092" s="28"/>
      <c r="BC1092" s="6" t="s">
        <v>7394</v>
      </c>
      <c r="BE1092" s="15" t="s">
        <v>2145</v>
      </c>
      <c r="BF1092" s="6" t="s">
        <v>7395</v>
      </c>
    </row>
    <row r="1093" customFormat="false" ht="71" hidden="false" customHeight="false" outlineLevel="0" collapsed="false">
      <c r="A1093" s="26" t="s">
        <v>63</v>
      </c>
      <c r="B1093" s="27" t="s">
        <v>2129</v>
      </c>
      <c r="C1093" s="27" t="s">
        <v>2130</v>
      </c>
      <c r="D1093" s="27" t="s">
        <v>7396</v>
      </c>
      <c r="E1093" s="27" t="s">
        <v>7397</v>
      </c>
      <c r="F1093" s="27" t="s">
        <v>7398</v>
      </c>
      <c r="G1093" s="28"/>
      <c r="H1093" s="6" t="s">
        <v>63</v>
      </c>
      <c r="I1093" s="6" t="s">
        <v>62</v>
      </c>
      <c r="J1093" s="6" t="s">
        <v>63</v>
      </c>
      <c r="K1093" s="6" t="s">
        <v>57</v>
      </c>
      <c r="L1093" s="6" t="s">
        <v>64</v>
      </c>
      <c r="M1093" s="27" t="s">
        <v>7399</v>
      </c>
      <c r="N1093" s="27" t="s">
        <v>7400</v>
      </c>
      <c r="O1093" s="6" t="s">
        <v>7401</v>
      </c>
      <c r="P1093" s="28"/>
      <c r="Q1093" s="6" t="s">
        <v>67</v>
      </c>
      <c r="R1093" s="6" t="s">
        <v>123</v>
      </c>
      <c r="S1093" s="28"/>
      <c r="T1093" s="6" t="s">
        <v>6138</v>
      </c>
      <c r="U1093" s="7" t="n">
        <v>7</v>
      </c>
      <c r="V1093" s="7" t="n">
        <v>7</v>
      </c>
      <c r="W1093" s="8" t="s">
        <v>7402</v>
      </c>
      <c r="X1093" s="8" t="s">
        <v>7402</v>
      </c>
      <c r="Y1093" s="8" t="s">
        <v>7403</v>
      </c>
      <c r="Z1093" s="8" t="s">
        <v>7403</v>
      </c>
      <c r="AA1093" s="7" t="n">
        <v>556</v>
      </c>
      <c r="AB1093" s="7" t="n">
        <v>505</v>
      </c>
      <c r="AC1093" s="7" t="n">
        <v>819</v>
      </c>
      <c r="AD1093" s="7" t="n">
        <v>5</v>
      </c>
      <c r="AE1093" s="7" t="n">
        <v>7</v>
      </c>
      <c r="AF1093" s="7" t="n">
        <v>24</v>
      </c>
      <c r="AG1093" s="7" t="n">
        <v>37</v>
      </c>
      <c r="AH1093" s="7" t="n">
        <v>8</v>
      </c>
      <c r="AI1093" s="7" t="n">
        <v>15</v>
      </c>
      <c r="AJ1093" s="7" t="n">
        <v>5</v>
      </c>
      <c r="AK1093" s="7" t="n">
        <v>7</v>
      </c>
      <c r="AL1093" s="7" t="n">
        <v>13</v>
      </c>
      <c r="AM1093" s="7" t="n">
        <v>18</v>
      </c>
      <c r="AN1093" s="7" t="n">
        <v>3</v>
      </c>
      <c r="AO1093" s="7" t="n">
        <v>5</v>
      </c>
      <c r="AP1093" s="7" t="n">
        <v>0</v>
      </c>
      <c r="AQ1093" s="7" t="n">
        <v>0</v>
      </c>
      <c r="AR1093" s="6" t="s">
        <v>63</v>
      </c>
      <c r="AS1093" s="6" t="s">
        <v>57</v>
      </c>
      <c r="AT1093" s="9" t="str">
        <f aca="false">HYPERLINK("http://catalog.hathitrust.org/Record/001379787","HathiTrust Record")</f>
        <v>HathiTrust Record</v>
      </c>
      <c r="AU1093" s="9" t="str">
        <f aca="false">HYPERLINK("https://creighton-primo.hosted.exlibrisgroup.com/primo-explore/search?tab=default_tab&amp;search_scope=EVERYTHING&amp;vid=01CRU&amp;lang=en_US&amp;offset=0&amp;query=any,contains,991003845119702656","Catalog Record")</f>
        <v>Catalog Record</v>
      </c>
      <c r="AV1093" s="9" t="str">
        <f aca="false">HYPERLINK("http://www.worldcat.org/oclc/1628122","WorldCat Record")</f>
        <v>WorldCat Record</v>
      </c>
      <c r="AW1093" s="6" t="s">
        <v>7404</v>
      </c>
      <c r="AX1093" s="6" t="s">
        <v>7405</v>
      </c>
      <c r="AY1093" s="6" t="s">
        <v>7406</v>
      </c>
      <c r="AZ1093" s="6" t="s">
        <v>7406</v>
      </c>
      <c r="BA1093" s="6" t="s">
        <v>7407</v>
      </c>
      <c r="BB1093" s="28"/>
      <c r="BC1093" s="6" t="s">
        <v>7408</v>
      </c>
      <c r="BE1093" s="15" t="s">
        <v>2145</v>
      </c>
      <c r="BF1093" s="6" t="s">
        <v>7409</v>
      </c>
    </row>
    <row r="1094" customFormat="false" ht="209" hidden="false" customHeight="false" outlineLevel="0" collapsed="false">
      <c r="A1094" s="26" t="s">
        <v>63</v>
      </c>
      <c r="B1094" s="27" t="s">
        <v>2129</v>
      </c>
      <c r="C1094" s="27" t="s">
        <v>2130</v>
      </c>
      <c r="D1094" s="27" t="s">
        <v>7410</v>
      </c>
      <c r="E1094" s="27" t="s">
        <v>7411</v>
      </c>
      <c r="F1094" s="27" t="s">
        <v>7412</v>
      </c>
      <c r="G1094" s="6" t="s">
        <v>1586</v>
      </c>
      <c r="H1094" s="6" t="s">
        <v>57</v>
      </c>
      <c r="I1094" s="6" t="s">
        <v>62</v>
      </c>
      <c r="J1094" s="6" t="s">
        <v>63</v>
      </c>
      <c r="K1094" s="6" t="s">
        <v>63</v>
      </c>
      <c r="L1094" s="6" t="s">
        <v>64</v>
      </c>
      <c r="M1094" s="27" t="s">
        <v>7413</v>
      </c>
      <c r="N1094" s="27" t="s">
        <v>7414</v>
      </c>
      <c r="O1094" s="6" t="s">
        <v>254</v>
      </c>
      <c r="P1094" s="27" t="s">
        <v>255</v>
      </c>
      <c r="Q1094" s="6" t="s">
        <v>67</v>
      </c>
      <c r="R1094" s="6" t="s">
        <v>810</v>
      </c>
      <c r="S1094" s="28"/>
      <c r="T1094" s="6" t="s">
        <v>6138</v>
      </c>
      <c r="U1094" s="7" t="n">
        <v>4</v>
      </c>
      <c r="V1094" s="7" t="n">
        <v>10</v>
      </c>
      <c r="W1094" s="8" t="s">
        <v>2543</v>
      </c>
      <c r="X1094" s="8" t="s">
        <v>2543</v>
      </c>
      <c r="Y1094" s="8" t="s">
        <v>7403</v>
      </c>
      <c r="Z1094" s="8" t="s">
        <v>7403</v>
      </c>
      <c r="AA1094" s="7" t="n">
        <v>247</v>
      </c>
      <c r="AB1094" s="7" t="n">
        <v>182</v>
      </c>
      <c r="AC1094" s="7" t="n">
        <v>318</v>
      </c>
      <c r="AD1094" s="7" t="n">
        <v>2</v>
      </c>
      <c r="AE1094" s="7" t="n">
        <v>2</v>
      </c>
      <c r="AF1094" s="7" t="n">
        <v>8</v>
      </c>
      <c r="AG1094" s="7" t="n">
        <v>15</v>
      </c>
      <c r="AH1094" s="7" t="n">
        <v>2</v>
      </c>
      <c r="AI1094" s="7" t="n">
        <v>4</v>
      </c>
      <c r="AJ1094" s="7" t="n">
        <v>3</v>
      </c>
      <c r="AK1094" s="7" t="n">
        <v>5</v>
      </c>
      <c r="AL1094" s="7" t="n">
        <v>6</v>
      </c>
      <c r="AM1094" s="7" t="n">
        <v>11</v>
      </c>
      <c r="AN1094" s="7" t="n">
        <v>1</v>
      </c>
      <c r="AO1094" s="7" t="n">
        <v>1</v>
      </c>
      <c r="AP1094" s="7" t="n">
        <v>0</v>
      </c>
      <c r="AQ1094" s="7" t="n">
        <v>0</v>
      </c>
      <c r="AR1094" s="6" t="s">
        <v>63</v>
      </c>
      <c r="AS1094" s="6" t="s">
        <v>57</v>
      </c>
      <c r="AT1094" s="9" t="str">
        <f aca="false">HYPERLINK("http://catalog.hathitrust.org/Record/001379800","HathiTrust Record")</f>
        <v>HathiTrust Record</v>
      </c>
      <c r="AU1094" s="9" t="str">
        <f aca="false">HYPERLINK("https://creighton-primo.hosted.exlibrisgroup.com/primo-explore/search?tab=default_tab&amp;search_scope=EVERYTHING&amp;vid=01CRU&amp;lang=en_US&amp;offset=0&amp;query=any,contains,991003289099702656","Catalog Record")</f>
        <v>Catalog Record</v>
      </c>
      <c r="AV1094" s="9" t="str">
        <f aca="false">HYPERLINK("http://www.worldcat.org/oclc/810938","WorldCat Record")</f>
        <v>WorldCat Record</v>
      </c>
      <c r="AW1094" s="6" t="s">
        <v>7415</v>
      </c>
      <c r="AX1094" s="6" t="s">
        <v>7416</v>
      </c>
      <c r="AY1094" s="6" t="s">
        <v>7417</v>
      </c>
      <c r="AZ1094" s="6" t="s">
        <v>7417</v>
      </c>
      <c r="BA1094" s="6" t="s">
        <v>7418</v>
      </c>
      <c r="BB1094" s="28"/>
      <c r="BC1094" s="6" t="s">
        <v>7419</v>
      </c>
      <c r="BE1094" s="15" t="s">
        <v>2145</v>
      </c>
      <c r="BF1094" s="6" t="s">
        <v>7420</v>
      </c>
    </row>
    <row r="1095" customFormat="false" ht="209" hidden="false" customHeight="false" outlineLevel="0" collapsed="false">
      <c r="A1095" s="26" t="s">
        <v>63</v>
      </c>
      <c r="B1095" s="27" t="s">
        <v>2129</v>
      </c>
      <c r="C1095" s="27" t="s">
        <v>2130</v>
      </c>
      <c r="D1095" s="27" t="s">
        <v>7410</v>
      </c>
      <c r="E1095" s="27" t="s">
        <v>7411</v>
      </c>
      <c r="F1095" s="27" t="s">
        <v>7412</v>
      </c>
      <c r="G1095" s="6" t="s">
        <v>517</v>
      </c>
      <c r="H1095" s="6" t="s">
        <v>57</v>
      </c>
      <c r="I1095" s="6" t="s">
        <v>62</v>
      </c>
      <c r="J1095" s="6" t="s">
        <v>63</v>
      </c>
      <c r="K1095" s="6" t="s">
        <v>63</v>
      </c>
      <c r="L1095" s="6" t="s">
        <v>64</v>
      </c>
      <c r="M1095" s="27" t="s">
        <v>7413</v>
      </c>
      <c r="N1095" s="27" t="s">
        <v>7414</v>
      </c>
      <c r="O1095" s="6" t="s">
        <v>254</v>
      </c>
      <c r="P1095" s="27" t="s">
        <v>255</v>
      </c>
      <c r="Q1095" s="6" t="s">
        <v>67</v>
      </c>
      <c r="R1095" s="6" t="s">
        <v>810</v>
      </c>
      <c r="S1095" s="28"/>
      <c r="T1095" s="6" t="s">
        <v>6138</v>
      </c>
      <c r="U1095" s="7" t="n">
        <v>6</v>
      </c>
      <c r="V1095" s="7" t="n">
        <v>10</v>
      </c>
      <c r="W1095" s="8" t="s">
        <v>2543</v>
      </c>
      <c r="X1095" s="8" t="s">
        <v>2543</v>
      </c>
      <c r="Y1095" s="8" t="s">
        <v>7403</v>
      </c>
      <c r="Z1095" s="8" t="s">
        <v>7403</v>
      </c>
      <c r="AA1095" s="7" t="n">
        <v>247</v>
      </c>
      <c r="AB1095" s="7" t="n">
        <v>182</v>
      </c>
      <c r="AC1095" s="7" t="n">
        <v>318</v>
      </c>
      <c r="AD1095" s="7" t="n">
        <v>2</v>
      </c>
      <c r="AE1095" s="7" t="n">
        <v>2</v>
      </c>
      <c r="AF1095" s="7" t="n">
        <v>8</v>
      </c>
      <c r="AG1095" s="7" t="n">
        <v>15</v>
      </c>
      <c r="AH1095" s="7" t="n">
        <v>2</v>
      </c>
      <c r="AI1095" s="7" t="n">
        <v>4</v>
      </c>
      <c r="AJ1095" s="7" t="n">
        <v>3</v>
      </c>
      <c r="AK1095" s="7" t="n">
        <v>5</v>
      </c>
      <c r="AL1095" s="7" t="n">
        <v>6</v>
      </c>
      <c r="AM1095" s="7" t="n">
        <v>11</v>
      </c>
      <c r="AN1095" s="7" t="n">
        <v>1</v>
      </c>
      <c r="AO1095" s="7" t="n">
        <v>1</v>
      </c>
      <c r="AP1095" s="7" t="n">
        <v>0</v>
      </c>
      <c r="AQ1095" s="7" t="n">
        <v>0</v>
      </c>
      <c r="AR1095" s="6" t="s">
        <v>63</v>
      </c>
      <c r="AS1095" s="6" t="s">
        <v>57</v>
      </c>
      <c r="AT1095" s="9" t="str">
        <f aca="false">HYPERLINK("http://catalog.hathitrust.org/Record/001379800","HathiTrust Record")</f>
        <v>HathiTrust Record</v>
      </c>
      <c r="AU1095" s="9" t="str">
        <f aca="false">HYPERLINK("https://creighton-primo.hosted.exlibrisgroup.com/primo-explore/search?tab=default_tab&amp;search_scope=EVERYTHING&amp;vid=01CRU&amp;lang=en_US&amp;offset=0&amp;query=any,contains,991003289099702656","Catalog Record")</f>
        <v>Catalog Record</v>
      </c>
      <c r="AV1095" s="9" t="str">
        <f aca="false">HYPERLINK("http://www.worldcat.org/oclc/810938","WorldCat Record")</f>
        <v>WorldCat Record</v>
      </c>
      <c r="AW1095" s="6" t="s">
        <v>7415</v>
      </c>
      <c r="AX1095" s="6" t="s">
        <v>7416</v>
      </c>
      <c r="AY1095" s="6" t="s">
        <v>7417</v>
      </c>
      <c r="AZ1095" s="6" t="s">
        <v>7417</v>
      </c>
      <c r="BA1095" s="6" t="s">
        <v>7418</v>
      </c>
      <c r="BB1095" s="28"/>
      <c r="BC1095" s="6" t="s">
        <v>7421</v>
      </c>
      <c r="BE1095" s="15" t="s">
        <v>2145</v>
      </c>
      <c r="BF1095" s="6" t="s">
        <v>7422</v>
      </c>
    </row>
    <row r="1096" customFormat="false" ht="82.5" hidden="false" customHeight="false" outlineLevel="0" collapsed="false">
      <c r="A1096" s="26" t="s">
        <v>63</v>
      </c>
      <c r="B1096" s="27" t="s">
        <v>2129</v>
      </c>
      <c r="C1096" s="27" t="s">
        <v>2130</v>
      </c>
      <c r="D1096" s="27" t="s">
        <v>7423</v>
      </c>
      <c r="E1096" s="27" t="s">
        <v>7424</v>
      </c>
      <c r="F1096" s="27" t="s">
        <v>7425</v>
      </c>
      <c r="G1096" s="28"/>
      <c r="H1096" s="6" t="s">
        <v>63</v>
      </c>
      <c r="I1096" s="6" t="s">
        <v>62</v>
      </c>
      <c r="J1096" s="6" t="s">
        <v>63</v>
      </c>
      <c r="K1096" s="6" t="s">
        <v>63</v>
      </c>
      <c r="L1096" s="6" t="s">
        <v>64</v>
      </c>
      <c r="M1096" s="27" t="s">
        <v>7426</v>
      </c>
      <c r="N1096" s="27" t="s">
        <v>7427</v>
      </c>
      <c r="O1096" s="6" t="s">
        <v>7428</v>
      </c>
      <c r="P1096" s="28"/>
      <c r="Q1096" s="6" t="s">
        <v>67</v>
      </c>
      <c r="R1096" s="6" t="s">
        <v>1108</v>
      </c>
      <c r="S1096" s="28"/>
      <c r="T1096" s="6" t="s">
        <v>6138</v>
      </c>
      <c r="U1096" s="7" t="n">
        <v>7</v>
      </c>
      <c r="V1096" s="7" t="n">
        <v>7</v>
      </c>
      <c r="W1096" s="8" t="s">
        <v>7429</v>
      </c>
      <c r="X1096" s="8" t="s">
        <v>7429</v>
      </c>
      <c r="Y1096" s="8" t="s">
        <v>7403</v>
      </c>
      <c r="Z1096" s="8" t="s">
        <v>7403</v>
      </c>
      <c r="AA1096" s="7" t="n">
        <v>297</v>
      </c>
      <c r="AB1096" s="7" t="n">
        <v>228</v>
      </c>
      <c r="AC1096" s="7" t="n">
        <v>234</v>
      </c>
      <c r="AD1096" s="7" t="n">
        <v>2</v>
      </c>
      <c r="AE1096" s="7" t="n">
        <v>2</v>
      </c>
      <c r="AF1096" s="7" t="n">
        <v>13</v>
      </c>
      <c r="AG1096" s="7" t="n">
        <v>13</v>
      </c>
      <c r="AH1096" s="7" t="n">
        <v>5</v>
      </c>
      <c r="AI1096" s="7" t="n">
        <v>5</v>
      </c>
      <c r="AJ1096" s="7" t="n">
        <v>3</v>
      </c>
      <c r="AK1096" s="7" t="n">
        <v>3</v>
      </c>
      <c r="AL1096" s="7" t="n">
        <v>6</v>
      </c>
      <c r="AM1096" s="7" t="n">
        <v>6</v>
      </c>
      <c r="AN1096" s="7" t="n">
        <v>1</v>
      </c>
      <c r="AO1096" s="7" t="n">
        <v>1</v>
      </c>
      <c r="AP1096" s="7" t="n">
        <v>0</v>
      </c>
      <c r="AQ1096" s="7" t="n">
        <v>0</v>
      </c>
      <c r="AR1096" s="6" t="s">
        <v>63</v>
      </c>
      <c r="AS1096" s="6" t="s">
        <v>57</v>
      </c>
      <c r="AT1096" s="9" t="str">
        <f aca="false">HYPERLINK("http://catalog.hathitrust.org/Record/000025845","HathiTrust Record")</f>
        <v>HathiTrust Record</v>
      </c>
      <c r="AU1096" s="9" t="str">
        <f aca="false">HYPERLINK("https://creighton-primo.hosted.exlibrisgroup.com/primo-explore/search?tab=default_tab&amp;search_scope=EVERYTHING&amp;vid=01CRU&amp;lang=en_US&amp;offset=0&amp;query=any,contains,991003872159702656","Catalog Record")</f>
        <v>Catalog Record</v>
      </c>
      <c r="AV1096" s="9" t="str">
        <f aca="false">HYPERLINK("http://www.worldcat.org/oclc/1694152","WorldCat Record")</f>
        <v>WorldCat Record</v>
      </c>
      <c r="AW1096" s="6" t="s">
        <v>7430</v>
      </c>
      <c r="AX1096" s="6" t="s">
        <v>7431</v>
      </c>
      <c r="AY1096" s="6" t="s">
        <v>7432</v>
      </c>
      <c r="AZ1096" s="6" t="s">
        <v>7432</v>
      </c>
      <c r="BA1096" s="6" t="s">
        <v>7433</v>
      </c>
      <c r="BB1096" s="6" t="s">
        <v>7434</v>
      </c>
      <c r="BC1096" s="6" t="s">
        <v>7435</v>
      </c>
      <c r="BE1096" s="15" t="s">
        <v>2145</v>
      </c>
      <c r="BF1096" s="6" t="s">
        <v>7436</v>
      </c>
    </row>
    <row r="1097" customFormat="false" ht="105.5" hidden="false" customHeight="false" outlineLevel="0" collapsed="false">
      <c r="A1097" s="26" t="s">
        <v>63</v>
      </c>
      <c r="B1097" s="27" t="s">
        <v>2129</v>
      </c>
      <c r="C1097" s="27" t="s">
        <v>2130</v>
      </c>
      <c r="D1097" s="27" t="s">
        <v>7437</v>
      </c>
      <c r="E1097" s="27" t="s">
        <v>7438</v>
      </c>
      <c r="F1097" s="27" t="s">
        <v>7439</v>
      </c>
      <c r="G1097" s="28"/>
      <c r="H1097" s="6" t="s">
        <v>63</v>
      </c>
      <c r="I1097" s="6" t="s">
        <v>62</v>
      </c>
      <c r="J1097" s="6" t="s">
        <v>63</v>
      </c>
      <c r="K1097" s="6" t="s">
        <v>63</v>
      </c>
      <c r="L1097" s="6" t="s">
        <v>64</v>
      </c>
      <c r="M1097" s="27" t="s">
        <v>7440</v>
      </c>
      <c r="N1097" s="27" t="s">
        <v>7441</v>
      </c>
      <c r="O1097" s="6" t="s">
        <v>7442</v>
      </c>
      <c r="P1097" s="28"/>
      <c r="Q1097" s="6" t="s">
        <v>67</v>
      </c>
      <c r="R1097" s="6" t="s">
        <v>123</v>
      </c>
      <c r="S1097" s="28"/>
      <c r="T1097" s="6" t="s">
        <v>6138</v>
      </c>
      <c r="U1097" s="7" t="n">
        <v>2</v>
      </c>
      <c r="V1097" s="7" t="n">
        <v>2</v>
      </c>
      <c r="W1097" s="8" t="s">
        <v>2455</v>
      </c>
      <c r="X1097" s="8" t="s">
        <v>2455</v>
      </c>
      <c r="Y1097" s="8" t="s">
        <v>7403</v>
      </c>
      <c r="Z1097" s="8" t="s">
        <v>7403</v>
      </c>
      <c r="AA1097" s="7" t="n">
        <v>121</v>
      </c>
      <c r="AB1097" s="7" t="n">
        <v>93</v>
      </c>
      <c r="AC1097" s="7" t="n">
        <v>384</v>
      </c>
      <c r="AD1097" s="7" t="n">
        <v>2</v>
      </c>
      <c r="AE1097" s="7" t="n">
        <v>4</v>
      </c>
      <c r="AF1097" s="7" t="n">
        <v>4</v>
      </c>
      <c r="AG1097" s="7" t="n">
        <v>22</v>
      </c>
      <c r="AH1097" s="7" t="n">
        <v>1</v>
      </c>
      <c r="AI1097" s="7" t="n">
        <v>8</v>
      </c>
      <c r="AJ1097" s="7" t="n">
        <v>2</v>
      </c>
      <c r="AK1097" s="7" t="n">
        <v>6</v>
      </c>
      <c r="AL1097" s="7" t="n">
        <v>1</v>
      </c>
      <c r="AM1097" s="7" t="n">
        <v>9</v>
      </c>
      <c r="AN1097" s="7" t="n">
        <v>1</v>
      </c>
      <c r="AO1097" s="7" t="n">
        <v>3</v>
      </c>
      <c r="AP1097" s="7" t="n">
        <v>0</v>
      </c>
      <c r="AQ1097" s="7" t="n">
        <v>1</v>
      </c>
      <c r="AR1097" s="6" t="s">
        <v>57</v>
      </c>
      <c r="AS1097" s="6" t="s">
        <v>63</v>
      </c>
      <c r="AT1097" s="9" t="str">
        <f aca="false">HYPERLINK("http://catalog.hathitrust.org/Record/001379827","HathiTrust Record")</f>
        <v>HathiTrust Record</v>
      </c>
      <c r="AU1097" s="9" t="str">
        <f aca="false">HYPERLINK("https://creighton-primo.hosted.exlibrisgroup.com/primo-explore/search?tab=default_tab&amp;search_scope=EVERYTHING&amp;vid=01CRU&amp;lang=en_US&amp;offset=0&amp;query=any,contains,991003809839702656","Catalog Record")</f>
        <v>Catalog Record</v>
      </c>
      <c r="AV1097" s="9" t="str">
        <f aca="false">HYPERLINK("http://www.worldcat.org/oclc/1534990","WorldCat Record")</f>
        <v>WorldCat Record</v>
      </c>
      <c r="AW1097" s="6" t="s">
        <v>7443</v>
      </c>
      <c r="AX1097" s="6" t="s">
        <v>7444</v>
      </c>
      <c r="AY1097" s="6" t="s">
        <v>7445</v>
      </c>
      <c r="AZ1097" s="6" t="s">
        <v>7445</v>
      </c>
      <c r="BA1097" s="6" t="s">
        <v>7446</v>
      </c>
      <c r="BB1097" s="28"/>
      <c r="BC1097" s="6" t="s">
        <v>7447</v>
      </c>
      <c r="BE1097" s="15" t="s">
        <v>2145</v>
      </c>
      <c r="BF1097" s="6" t="s">
        <v>7448</v>
      </c>
    </row>
    <row r="1098" customFormat="false" ht="48" hidden="false" customHeight="false" outlineLevel="0" collapsed="false">
      <c r="A1098" s="26" t="s">
        <v>63</v>
      </c>
      <c r="B1098" s="27" t="s">
        <v>2129</v>
      </c>
      <c r="C1098" s="27" t="s">
        <v>2130</v>
      </c>
      <c r="D1098" s="27" t="s">
        <v>7449</v>
      </c>
      <c r="E1098" s="27" t="s">
        <v>7450</v>
      </c>
      <c r="F1098" s="27" t="s">
        <v>7451</v>
      </c>
      <c r="G1098" s="28"/>
      <c r="H1098" s="6" t="s">
        <v>63</v>
      </c>
      <c r="I1098" s="6" t="s">
        <v>62</v>
      </c>
      <c r="J1098" s="6" t="s">
        <v>63</v>
      </c>
      <c r="K1098" s="6" t="s">
        <v>63</v>
      </c>
      <c r="L1098" s="6" t="s">
        <v>64</v>
      </c>
      <c r="M1098" s="27" t="s">
        <v>7452</v>
      </c>
      <c r="N1098" s="27" t="s">
        <v>7453</v>
      </c>
      <c r="O1098" s="6" t="s">
        <v>2369</v>
      </c>
      <c r="P1098" s="28"/>
      <c r="Q1098" s="6" t="s">
        <v>67</v>
      </c>
      <c r="R1098" s="6" t="s">
        <v>802</v>
      </c>
      <c r="S1098" s="27" t="s">
        <v>7454</v>
      </c>
      <c r="T1098" s="6" t="s">
        <v>6138</v>
      </c>
      <c r="U1098" s="7" t="n">
        <v>3</v>
      </c>
      <c r="V1098" s="7" t="n">
        <v>3</v>
      </c>
      <c r="W1098" s="8" t="s">
        <v>7429</v>
      </c>
      <c r="X1098" s="8" t="s">
        <v>7429</v>
      </c>
      <c r="Y1098" s="8" t="s">
        <v>7403</v>
      </c>
      <c r="Z1098" s="8" t="s">
        <v>7403</v>
      </c>
      <c r="AA1098" s="7" t="n">
        <v>185</v>
      </c>
      <c r="AB1098" s="7" t="n">
        <v>158</v>
      </c>
      <c r="AC1098" s="7" t="n">
        <v>255</v>
      </c>
      <c r="AD1098" s="7" t="n">
        <v>3</v>
      </c>
      <c r="AE1098" s="7" t="n">
        <v>3</v>
      </c>
      <c r="AF1098" s="7" t="n">
        <v>9</v>
      </c>
      <c r="AG1098" s="7" t="n">
        <v>22</v>
      </c>
      <c r="AH1098" s="7" t="n">
        <v>1</v>
      </c>
      <c r="AI1098" s="7" t="n">
        <v>5</v>
      </c>
      <c r="AJ1098" s="7" t="n">
        <v>2</v>
      </c>
      <c r="AK1098" s="7" t="n">
        <v>8</v>
      </c>
      <c r="AL1098" s="7" t="n">
        <v>7</v>
      </c>
      <c r="AM1098" s="7" t="n">
        <v>13</v>
      </c>
      <c r="AN1098" s="7" t="n">
        <v>2</v>
      </c>
      <c r="AO1098" s="7" t="n">
        <v>2</v>
      </c>
      <c r="AP1098" s="7" t="n">
        <v>0</v>
      </c>
      <c r="AQ1098" s="7" t="n">
        <v>0</v>
      </c>
      <c r="AR1098" s="6" t="s">
        <v>63</v>
      </c>
      <c r="AS1098" s="6" t="s">
        <v>57</v>
      </c>
      <c r="AT1098" s="9" t="str">
        <f aca="false">HYPERLINK("http://catalog.hathitrust.org/Record/007107966","HathiTrust Record")</f>
        <v>HathiTrust Record</v>
      </c>
      <c r="AU1098" s="9" t="str">
        <f aca="false">HYPERLINK("https://creighton-primo.hosted.exlibrisgroup.com/primo-explore/search?tab=default_tab&amp;search_scope=EVERYTHING&amp;vid=01CRU&amp;lang=en_US&amp;offset=0&amp;query=any,contains,991005057659702656","Catalog Record")</f>
        <v>Catalog Record</v>
      </c>
      <c r="AV1098" s="9" t="str">
        <f aca="false">HYPERLINK("http://www.worldcat.org/oclc/6913829","WorldCat Record")</f>
        <v>WorldCat Record</v>
      </c>
      <c r="AW1098" s="6" t="s">
        <v>7455</v>
      </c>
      <c r="AX1098" s="6" t="s">
        <v>7456</v>
      </c>
      <c r="AY1098" s="6" t="s">
        <v>7457</v>
      </c>
      <c r="AZ1098" s="6" t="s">
        <v>7457</v>
      </c>
      <c r="BA1098" s="6" t="s">
        <v>7458</v>
      </c>
      <c r="BB1098" s="28"/>
      <c r="BC1098" s="6" t="s">
        <v>7459</v>
      </c>
      <c r="BE1098" s="15" t="s">
        <v>2145</v>
      </c>
      <c r="BF1098" s="6" t="s">
        <v>7460</v>
      </c>
    </row>
    <row r="1099" customFormat="false" ht="82.5" hidden="false" customHeight="false" outlineLevel="0" collapsed="false">
      <c r="A1099" s="26" t="s">
        <v>63</v>
      </c>
      <c r="B1099" s="27" t="s">
        <v>2129</v>
      </c>
      <c r="C1099" s="27" t="s">
        <v>2130</v>
      </c>
      <c r="D1099" s="27" t="s">
        <v>7461</v>
      </c>
      <c r="E1099" s="27" t="s">
        <v>7462</v>
      </c>
      <c r="F1099" s="27" t="s">
        <v>7463</v>
      </c>
      <c r="G1099" s="28"/>
      <c r="H1099" s="6" t="s">
        <v>63</v>
      </c>
      <c r="I1099" s="6" t="s">
        <v>62</v>
      </c>
      <c r="J1099" s="6" t="s">
        <v>63</v>
      </c>
      <c r="K1099" s="6" t="s">
        <v>63</v>
      </c>
      <c r="L1099" s="6" t="s">
        <v>64</v>
      </c>
      <c r="M1099" s="27" t="s">
        <v>7464</v>
      </c>
      <c r="N1099" s="27" t="s">
        <v>7465</v>
      </c>
      <c r="O1099" s="6" t="s">
        <v>2665</v>
      </c>
      <c r="P1099" s="28"/>
      <c r="Q1099" s="6" t="s">
        <v>67</v>
      </c>
      <c r="R1099" s="6" t="s">
        <v>401</v>
      </c>
      <c r="S1099" s="28"/>
      <c r="T1099" s="6" t="s">
        <v>6138</v>
      </c>
      <c r="U1099" s="7" t="n">
        <v>5</v>
      </c>
      <c r="V1099" s="7" t="n">
        <v>5</v>
      </c>
      <c r="W1099" s="8" t="s">
        <v>7466</v>
      </c>
      <c r="X1099" s="8" t="s">
        <v>7466</v>
      </c>
      <c r="Y1099" s="8" t="s">
        <v>7403</v>
      </c>
      <c r="Z1099" s="8" t="s">
        <v>7403</v>
      </c>
      <c r="AA1099" s="7" t="n">
        <v>426</v>
      </c>
      <c r="AB1099" s="7" t="n">
        <v>409</v>
      </c>
      <c r="AC1099" s="7" t="n">
        <v>700</v>
      </c>
      <c r="AD1099" s="7" t="n">
        <v>5</v>
      </c>
      <c r="AE1099" s="7" t="n">
        <v>7</v>
      </c>
      <c r="AF1099" s="7" t="n">
        <v>23</v>
      </c>
      <c r="AG1099" s="7" t="n">
        <v>42</v>
      </c>
      <c r="AH1099" s="7" t="n">
        <v>8</v>
      </c>
      <c r="AI1099" s="7" t="n">
        <v>17</v>
      </c>
      <c r="AJ1099" s="7" t="n">
        <v>7</v>
      </c>
      <c r="AK1099" s="7" t="n">
        <v>10</v>
      </c>
      <c r="AL1099" s="7" t="n">
        <v>12</v>
      </c>
      <c r="AM1099" s="7" t="n">
        <v>22</v>
      </c>
      <c r="AN1099" s="7" t="n">
        <v>3</v>
      </c>
      <c r="AO1099" s="7" t="n">
        <v>5</v>
      </c>
      <c r="AP1099" s="7" t="n">
        <v>0</v>
      </c>
      <c r="AQ1099" s="7" t="n">
        <v>0</v>
      </c>
      <c r="AR1099" s="6" t="s">
        <v>63</v>
      </c>
      <c r="AS1099" s="6" t="s">
        <v>57</v>
      </c>
      <c r="AT1099" s="9" t="str">
        <f aca="false">HYPERLINK("http://catalog.hathitrust.org/Record/006197870","HathiTrust Record")</f>
        <v>HathiTrust Record</v>
      </c>
      <c r="AU1099" s="9" t="str">
        <f aca="false">HYPERLINK("https://creighton-primo.hosted.exlibrisgroup.com/primo-explore/search?tab=default_tab&amp;search_scope=EVERYTHING&amp;vid=01CRU&amp;lang=en_US&amp;offset=0&amp;query=any,contains,991002840979702656","Catalog Record")</f>
        <v>Catalog Record</v>
      </c>
      <c r="AV1099" s="9" t="str">
        <f aca="false">HYPERLINK("http://www.worldcat.org/oclc/482322","WorldCat Record")</f>
        <v>WorldCat Record</v>
      </c>
      <c r="AW1099" s="6" t="s">
        <v>7467</v>
      </c>
      <c r="AX1099" s="6" t="s">
        <v>7468</v>
      </c>
      <c r="AY1099" s="6" t="s">
        <v>7469</v>
      </c>
      <c r="AZ1099" s="6" t="s">
        <v>7469</v>
      </c>
      <c r="BA1099" s="6" t="s">
        <v>7470</v>
      </c>
      <c r="BB1099" s="6" t="s">
        <v>7471</v>
      </c>
      <c r="BC1099" s="6" t="s">
        <v>7472</v>
      </c>
      <c r="BE1099" s="15" t="s">
        <v>2145</v>
      </c>
      <c r="BF1099" s="6" t="s">
        <v>7473</v>
      </c>
    </row>
    <row r="1100" customFormat="false" ht="59.5" hidden="false" customHeight="false" outlineLevel="0" collapsed="false">
      <c r="A1100" s="26" t="s">
        <v>63</v>
      </c>
      <c r="B1100" s="27" t="s">
        <v>2129</v>
      </c>
      <c r="C1100" s="27" t="s">
        <v>2130</v>
      </c>
      <c r="D1100" s="27" t="s">
        <v>7474</v>
      </c>
      <c r="E1100" s="27" t="s">
        <v>7475</v>
      </c>
      <c r="F1100" s="27" t="s">
        <v>7476</v>
      </c>
      <c r="G1100" s="28"/>
      <c r="H1100" s="6" t="s">
        <v>63</v>
      </c>
      <c r="I1100" s="6" t="s">
        <v>62</v>
      </c>
      <c r="J1100" s="6" t="s">
        <v>63</v>
      </c>
      <c r="K1100" s="6" t="s">
        <v>63</v>
      </c>
      <c r="L1100" s="6" t="s">
        <v>64</v>
      </c>
      <c r="M1100" s="27" t="s">
        <v>7477</v>
      </c>
      <c r="N1100" s="27" t="s">
        <v>7478</v>
      </c>
      <c r="O1100" s="6" t="s">
        <v>2329</v>
      </c>
      <c r="P1100" s="28"/>
      <c r="Q1100" s="6" t="s">
        <v>67</v>
      </c>
      <c r="R1100" s="6" t="s">
        <v>123</v>
      </c>
      <c r="S1100" s="27" t="s">
        <v>7479</v>
      </c>
      <c r="T1100" s="6" t="s">
        <v>6138</v>
      </c>
      <c r="U1100" s="7" t="n">
        <v>11</v>
      </c>
      <c r="V1100" s="7" t="n">
        <v>11</v>
      </c>
      <c r="W1100" s="8" t="s">
        <v>7480</v>
      </c>
      <c r="X1100" s="8" t="s">
        <v>7480</v>
      </c>
      <c r="Y1100" s="8" t="s">
        <v>7403</v>
      </c>
      <c r="Z1100" s="8" t="s">
        <v>7403</v>
      </c>
      <c r="AA1100" s="7" t="n">
        <v>186</v>
      </c>
      <c r="AB1100" s="7" t="n">
        <v>170</v>
      </c>
      <c r="AC1100" s="7" t="n">
        <v>193</v>
      </c>
      <c r="AD1100" s="7" t="n">
        <v>3</v>
      </c>
      <c r="AE1100" s="7" t="n">
        <v>3</v>
      </c>
      <c r="AF1100" s="7" t="n">
        <v>11</v>
      </c>
      <c r="AG1100" s="7" t="n">
        <v>11</v>
      </c>
      <c r="AH1100" s="7" t="n">
        <v>5</v>
      </c>
      <c r="AI1100" s="7" t="n">
        <v>5</v>
      </c>
      <c r="AJ1100" s="7" t="n">
        <v>1</v>
      </c>
      <c r="AK1100" s="7" t="n">
        <v>1</v>
      </c>
      <c r="AL1100" s="7" t="n">
        <v>6</v>
      </c>
      <c r="AM1100" s="7" t="n">
        <v>6</v>
      </c>
      <c r="AN1100" s="7" t="n">
        <v>2</v>
      </c>
      <c r="AO1100" s="7" t="n">
        <v>2</v>
      </c>
      <c r="AP1100" s="7" t="n">
        <v>0</v>
      </c>
      <c r="AQ1100" s="7" t="n">
        <v>0</v>
      </c>
      <c r="AR1100" s="6" t="s">
        <v>63</v>
      </c>
      <c r="AS1100" s="6" t="s">
        <v>57</v>
      </c>
      <c r="AT1100" s="9" t="str">
        <f aca="false">HYPERLINK("http://catalog.hathitrust.org/Record/001912744","HathiTrust Record")</f>
        <v>HathiTrust Record</v>
      </c>
      <c r="AU1100" s="9" t="str">
        <f aca="false">HYPERLINK("https://creighton-primo.hosted.exlibrisgroup.com/primo-explore/search?tab=default_tab&amp;search_scope=EVERYTHING&amp;vid=01CRU&amp;lang=en_US&amp;offset=0&amp;query=any,contains,991003779309702656","Catalog Record")</f>
        <v>Catalog Record</v>
      </c>
      <c r="AV1100" s="9" t="str">
        <f aca="false">HYPERLINK("http://www.worldcat.org/oclc/1491018","WorldCat Record")</f>
        <v>WorldCat Record</v>
      </c>
      <c r="AW1100" s="6" t="s">
        <v>7481</v>
      </c>
      <c r="AX1100" s="6" t="s">
        <v>7482</v>
      </c>
      <c r="AY1100" s="6" t="s">
        <v>7483</v>
      </c>
      <c r="AZ1100" s="6" t="s">
        <v>7483</v>
      </c>
      <c r="BA1100" s="6" t="s">
        <v>7484</v>
      </c>
      <c r="BB1100" s="28"/>
      <c r="BC1100" s="6" t="s">
        <v>7485</v>
      </c>
      <c r="BE1100" s="15" t="s">
        <v>2145</v>
      </c>
      <c r="BF1100" s="6" t="s">
        <v>7486</v>
      </c>
    </row>
    <row r="1101" customFormat="false" ht="71" hidden="false" customHeight="false" outlineLevel="0" collapsed="false">
      <c r="A1101" s="26" t="s">
        <v>63</v>
      </c>
      <c r="B1101" s="27" t="s">
        <v>2129</v>
      </c>
      <c r="C1101" s="27" t="s">
        <v>2130</v>
      </c>
      <c r="D1101" s="27" t="s">
        <v>7487</v>
      </c>
      <c r="E1101" s="27" t="s">
        <v>7488</v>
      </c>
      <c r="F1101" s="27" t="s">
        <v>7489</v>
      </c>
      <c r="G1101" s="28"/>
      <c r="H1101" s="6" t="s">
        <v>63</v>
      </c>
      <c r="I1101" s="6" t="s">
        <v>62</v>
      </c>
      <c r="J1101" s="6" t="s">
        <v>63</v>
      </c>
      <c r="K1101" s="6" t="s">
        <v>63</v>
      </c>
      <c r="L1101" s="6" t="s">
        <v>64</v>
      </c>
      <c r="M1101" s="27" t="s">
        <v>7490</v>
      </c>
      <c r="N1101" s="27" t="s">
        <v>7491</v>
      </c>
      <c r="O1101" s="6" t="s">
        <v>2975</v>
      </c>
      <c r="P1101" s="28"/>
      <c r="Q1101" s="6" t="s">
        <v>67</v>
      </c>
      <c r="R1101" s="6" t="s">
        <v>123</v>
      </c>
      <c r="S1101" s="28"/>
      <c r="T1101" s="6" t="s">
        <v>6138</v>
      </c>
      <c r="U1101" s="7" t="n">
        <v>4</v>
      </c>
      <c r="V1101" s="7" t="n">
        <v>4</v>
      </c>
      <c r="W1101" s="8" t="s">
        <v>5403</v>
      </c>
      <c r="X1101" s="8" t="s">
        <v>5403</v>
      </c>
      <c r="Y1101" s="8" t="s">
        <v>7403</v>
      </c>
      <c r="Z1101" s="8" t="s">
        <v>7403</v>
      </c>
      <c r="AA1101" s="7" t="n">
        <v>41</v>
      </c>
      <c r="AB1101" s="7" t="n">
        <v>34</v>
      </c>
      <c r="AC1101" s="7" t="n">
        <v>383</v>
      </c>
      <c r="AD1101" s="7" t="n">
        <v>1</v>
      </c>
      <c r="AE1101" s="7" t="n">
        <v>1</v>
      </c>
      <c r="AF1101" s="7" t="n">
        <v>0</v>
      </c>
      <c r="AG1101" s="7" t="n">
        <v>17</v>
      </c>
      <c r="AH1101" s="7" t="n">
        <v>0</v>
      </c>
      <c r="AI1101" s="7" t="n">
        <v>7</v>
      </c>
      <c r="AJ1101" s="7" t="n">
        <v>0</v>
      </c>
      <c r="AK1101" s="7" t="n">
        <v>4</v>
      </c>
      <c r="AL1101" s="7" t="n">
        <v>0</v>
      </c>
      <c r="AM1101" s="7" t="n">
        <v>13</v>
      </c>
      <c r="AN1101" s="7" t="n">
        <v>0</v>
      </c>
      <c r="AO1101" s="7" t="n">
        <v>0</v>
      </c>
      <c r="AP1101" s="7" t="n">
        <v>0</v>
      </c>
      <c r="AQ1101" s="7" t="n">
        <v>0</v>
      </c>
      <c r="AR1101" s="6" t="s">
        <v>63</v>
      </c>
      <c r="AS1101" s="6" t="s">
        <v>63</v>
      </c>
      <c r="AT1101" s="28"/>
      <c r="AU1101" s="9" t="str">
        <f aca="false">HYPERLINK("https://creighton-primo.hosted.exlibrisgroup.com/primo-explore/search?tab=default_tab&amp;search_scope=EVERYTHING&amp;vid=01CRU&amp;lang=en_US&amp;offset=0&amp;query=any,contains,991002982809702656","Catalog Record")</f>
        <v>Catalog Record</v>
      </c>
      <c r="AV1101" s="9" t="str">
        <f aca="false">HYPERLINK("http://www.worldcat.org/oclc/555803","WorldCat Record")</f>
        <v>WorldCat Record</v>
      </c>
      <c r="AW1101" s="6" t="s">
        <v>7492</v>
      </c>
      <c r="AX1101" s="6" t="s">
        <v>7493</v>
      </c>
      <c r="AY1101" s="6" t="s">
        <v>7494</v>
      </c>
      <c r="AZ1101" s="6" t="s">
        <v>7494</v>
      </c>
      <c r="BA1101" s="6" t="s">
        <v>7495</v>
      </c>
      <c r="BB1101" s="28"/>
      <c r="BC1101" s="6" t="s">
        <v>7496</v>
      </c>
      <c r="BE1101" s="15" t="s">
        <v>2145</v>
      </c>
      <c r="BF1101" s="6" t="s">
        <v>7497</v>
      </c>
    </row>
    <row r="1102" customFormat="false" ht="117" hidden="false" customHeight="false" outlineLevel="0" collapsed="false">
      <c r="A1102" s="26" t="s">
        <v>63</v>
      </c>
      <c r="B1102" s="27" t="s">
        <v>2129</v>
      </c>
      <c r="C1102" s="27" t="s">
        <v>2130</v>
      </c>
      <c r="D1102" s="27" t="s">
        <v>7498</v>
      </c>
      <c r="E1102" s="27" t="s">
        <v>7499</v>
      </c>
      <c r="F1102" s="27" t="s">
        <v>7500</v>
      </c>
      <c r="G1102" s="28"/>
      <c r="H1102" s="6" t="s">
        <v>63</v>
      </c>
      <c r="I1102" s="6" t="s">
        <v>62</v>
      </c>
      <c r="J1102" s="6" t="s">
        <v>63</v>
      </c>
      <c r="K1102" s="6" t="s">
        <v>63</v>
      </c>
      <c r="L1102" s="6" t="s">
        <v>64</v>
      </c>
      <c r="M1102" s="27" t="s">
        <v>7501</v>
      </c>
      <c r="N1102" s="27" t="s">
        <v>7502</v>
      </c>
      <c r="O1102" s="6" t="s">
        <v>2975</v>
      </c>
      <c r="P1102" s="28"/>
      <c r="Q1102" s="6" t="s">
        <v>67</v>
      </c>
      <c r="R1102" s="6" t="s">
        <v>68</v>
      </c>
      <c r="S1102" s="28"/>
      <c r="T1102" s="6" t="s">
        <v>6138</v>
      </c>
      <c r="U1102" s="7" t="n">
        <v>8</v>
      </c>
      <c r="V1102" s="7" t="n">
        <v>8</v>
      </c>
      <c r="W1102" s="8" t="s">
        <v>7503</v>
      </c>
      <c r="X1102" s="8" t="s">
        <v>7503</v>
      </c>
      <c r="Y1102" s="8" t="s">
        <v>7403</v>
      </c>
      <c r="Z1102" s="8" t="s">
        <v>7403</v>
      </c>
      <c r="AA1102" s="7" t="n">
        <v>301</v>
      </c>
      <c r="AB1102" s="7" t="n">
        <v>271</v>
      </c>
      <c r="AC1102" s="7" t="n">
        <v>412</v>
      </c>
      <c r="AD1102" s="7" t="n">
        <v>2</v>
      </c>
      <c r="AE1102" s="7" t="n">
        <v>2</v>
      </c>
      <c r="AF1102" s="7" t="n">
        <v>18</v>
      </c>
      <c r="AG1102" s="7" t="n">
        <v>18</v>
      </c>
      <c r="AH1102" s="7" t="n">
        <v>5</v>
      </c>
      <c r="AI1102" s="7" t="n">
        <v>5</v>
      </c>
      <c r="AJ1102" s="7" t="n">
        <v>7</v>
      </c>
      <c r="AK1102" s="7" t="n">
        <v>7</v>
      </c>
      <c r="AL1102" s="7" t="n">
        <v>10</v>
      </c>
      <c r="AM1102" s="7" t="n">
        <v>10</v>
      </c>
      <c r="AN1102" s="7" t="n">
        <v>1</v>
      </c>
      <c r="AO1102" s="7" t="n">
        <v>1</v>
      </c>
      <c r="AP1102" s="7" t="n">
        <v>0</v>
      </c>
      <c r="AQ1102" s="7" t="n">
        <v>0</v>
      </c>
      <c r="AR1102" s="6" t="s">
        <v>63</v>
      </c>
      <c r="AS1102" s="6" t="s">
        <v>57</v>
      </c>
      <c r="AT1102" s="9" t="str">
        <f aca="false">HYPERLINK("http://catalog.hathitrust.org/Record/001380104","HathiTrust Record")</f>
        <v>HathiTrust Record</v>
      </c>
      <c r="AU1102" s="9" t="str">
        <f aca="false">HYPERLINK("https://creighton-primo.hosted.exlibrisgroup.com/primo-explore/search?tab=default_tab&amp;search_scope=EVERYTHING&amp;vid=01CRU&amp;lang=en_US&amp;offset=0&amp;query=any,contains,991000002579702656","Catalog Record")</f>
        <v>Catalog Record</v>
      </c>
      <c r="AV1102" s="9" t="str">
        <f aca="false">HYPERLINK("http://www.worldcat.org/oclc/11582","WorldCat Record")</f>
        <v>WorldCat Record</v>
      </c>
      <c r="AW1102" s="6" t="s">
        <v>7504</v>
      </c>
      <c r="AX1102" s="6" t="s">
        <v>7505</v>
      </c>
      <c r="AY1102" s="6" t="s">
        <v>7506</v>
      </c>
      <c r="AZ1102" s="6" t="s">
        <v>7506</v>
      </c>
      <c r="BA1102" s="6" t="s">
        <v>7507</v>
      </c>
      <c r="BB1102" s="28"/>
      <c r="BC1102" s="6" t="s">
        <v>7508</v>
      </c>
      <c r="BE1102" s="15" t="s">
        <v>2145</v>
      </c>
      <c r="BF1102" s="6" t="s">
        <v>7509</v>
      </c>
    </row>
    <row r="1103" customFormat="false" ht="71" hidden="false" customHeight="false" outlineLevel="0" collapsed="false">
      <c r="A1103" s="26" t="s">
        <v>63</v>
      </c>
      <c r="B1103" s="27" t="s">
        <v>2129</v>
      </c>
      <c r="C1103" s="27" t="s">
        <v>2130</v>
      </c>
      <c r="D1103" s="27" t="s">
        <v>7510</v>
      </c>
      <c r="E1103" s="27" t="s">
        <v>7511</v>
      </c>
      <c r="F1103" s="27" t="s">
        <v>7512</v>
      </c>
      <c r="G1103" s="28"/>
      <c r="H1103" s="6" t="s">
        <v>63</v>
      </c>
      <c r="I1103" s="6" t="s">
        <v>62</v>
      </c>
      <c r="J1103" s="6" t="s">
        <v>63</v>
      </c>
      <c r="K1103" s="6" t="s">
        <v>63</v>
      </c>
      <c r="L1103" s="6" t="s">
        <v>64</v>
      </c>
      <c r="M1103" s="27" t="s">
        <v>7513</v>
      </c>
      <c r="N1103" s="27" t="s">
        <v>7514</v>
      </c>
      <c r="O1103" s="6" t="s">
        <v>3635</v>
      </c>
      <c r="P1103" s="28"/>
      <c r="Q1103" s="6" t="s">
        <v>67</v>
      </c>
      <c r="R1103" s="6" t="s">
        <v>68</v>
      </c>
      <c r="S1103" s="28"/>
      <c r="T1103" s="6" t="s">
        <v>6138</v>
      </c>
      <c r="U1103" s="7" t="n">
        <v>44</v>
      </c>
      <c r="V1103" s="7" t="n">
        <v>44</v>
      </c>
      <c r="W1103" s="8" t="s">
        <v>7515</v>
      </c>
      <c r="X1103" s="8" t="s">
        <v>7515</v>
      </c>
      <c r="Y1103" s="8" t="s">
        <v>7403</v>
      </c>
      <c r="Z1103" s="8" t="s">
        <v>7403</v>
      </c>
      <c r="AA1103" s="7" t="n">
        <v>37</v>
      </c>
      <c r="AB1103" s="7" t="n">
        <v>28</v>
      </c>
      <c r="AC1103" s="7" t="n">
        <v>408</v>
      </c>
      <c r="AD1103" s="7" t="n">
        <v>1</v>
      </c>
      <c r="AE1103" s="7" t="n">
        <v>5</v>
      </c>
      <c r="AF1103" s="7" t="n">
        <v>1</v>
      </c>
      <c r="AG1103" s="7" t="n">
        <v>14</v>
      </c>
      <c r="AH1103" s="7" t="n">
        <v>1</v>
      </c>
      <c r="AI1103" s="7" t="n">
        <v>6</v>
      </c>
      <c r="AJ1103" s="7" t="n">
        <v>0</v>
      </c>
      <c r="AK1103" s="7" t="n">
        <v>3</v>
      </c>
      <c r="AL1103" s="7" t="n">
        <v>0</v>
      </c>
      <c r="AM1103" s="7" t="n">
        <v>6</v>
      </c>
      <c r="AN1103" s="7" t="n">
        <v>0</v>
      </c>
      <c r="AO1103" s="7" t="n">
        <v>3</v>
      </c>
      <c r="AP1103" s="7" t="n">
        <v>0</v>
      </c>
      <c r="AQ1103" s="7" t="n">
        <v>0</v>
      </c>
      <c r="AR1103" s="6" t="s">
        <v>63</v>
      </c>
      <c r="AS1103" s="6" t="s">
        <v>63</v>
      </c>
      <c r="AT1103" s="28"/>
      <c r="AU1103" s="9" t="str">
        <f aca="false">HYPERLINK("https://creighton-primo.hosted.exlibrisgroup.com/primo-explore/search?tab=default_tab&amp;search_scope=EVERYTHING&amp;vid=01CRU&amp;lang=en_US&amp;offset=0&amp;query=any,contains,991004692949702656","Catalog Record")</f>
        <v>Catalog Record</v>
      </c>
      <c r="AV1103" s="9" t="str">
        <f aca="false">HYPERLINK("http://www.worldcat.org/oclc/4631319","WorldCat Record")</f>
        <v>WorldCat Record</v>
      </c>
      <c r="AW1103" s="6" t="s">
        <v>7516</v>
      </c>
      <c r="AX1103" s="6" t="s">
        <v>7517</v>
      </c>
      <c r="AY1103" s="6" t="s">
        <v>7518</v>
      </c>
      <c r="AZ1103" s="6" t="s">
        <v>7518</v>
      </c>
      <c r="BA1103" s="6" t="s">
        <v>7519</v>
      </c>
      <c r="BB1103" s="28"/>
      <c r="BC1103" s="6" t="s">
        <v>7520</v>
      </c>
      <c r="BE1103" s="15" t="s">
        <v>2145</v>
      </c>
      <c r="BF1103" s="6" t="s">
        <v>7521</v>
      </c>
    </row>
    <row r="1104" customFormat="false" ht="174.5" hidden="false" customHeight="false" outlineLevel="0" collapsed="false">
      <c r="A1104" s="26" t="s">
        <v>63</v>
      </c>
      <c r="B1104" s="27" t="s">
        <v>2129</v>
      </c>
      <c r="C1104" s="27" t="s">
        <v>2130</v>
      </c>
      <c r="D1104" s="27" t="s">
        <v>7522</v>
      </c>
      <c r="E1104" s="27" t="s">
        <v>7523</v>
      </c>
      <c r="F1104" s="27" t="s">
        <v>7524</v>
      </c>
      <c r="G1104" s="28"/>
      <c r="H1104" s="6" t="s">
        <v>63</v>
      </c>
      <c r="I1104" s="6" t="s">
        <v>62</v>
      </c>
      <c r="J1104" s="6" t="s">
        <v>63</v>
      </c>
      <c r="K1104" s="6" t="s">
        <v>63</v>
      </c>
      <c r="L1104" s="6" t="s">
        <v>64</v>
      </c>
      <c r="M1104" s="27" t="s">
        <v>7525</v>
      </c>
      <c r="N1104" s="27" t="s">
        <v>7526</v>
      </c>
      <c r="O1104" s="6" t="s">
        <v>2665</v>
      </c>
      <c r="P1104" s="27" t="s">
        <v>4343</v>
      </c>
      <c r="Q1104" s="6" t="s">
        <v>67</v>
      </c>
      <c r="R1104" s="6" t="s">
        <v>68</v>
      </c>
      <c r="S1104" s="28"/>
      <c r="T1104" s="6" t="s">
        <v>6138</v>
      </c>
      <c r="U1104" s="7" t="n">
        <v>13</v>
      </c>
      <c r="V1104" s="7" t="n">
        <v>13</v>
      </c>
      <c r="W1104" s="8" t="s">
        <v>7515</v>
      </c>
      <c r="X1104" s="8" t="s">
        <v>7515</v>
      </c>
      <c r="Y1104" s="8" t="s">
        <v>7403</v>
      </c>
      <c r="Z1104" s="8" t="s">
        <v>7403</v>
      </c>
      <c r="AA1104" s="7" t="n">
        <v>29</v>
      </c>
      <c r="AB1104" s="7" t="n">
        <v>25</v>
      </c>
      <c r="AC1104" s="7" t="n">
        <v>133</v>
      </c>
      <c r="AD1104" s="7" t="n">
        <v>1</v>
      </c>
      <c r="AE1104" s="7" t="n">
        <v>1</v>
      </c>
      <c r="AF1104" s="7" t="n">
        <v>0</v>
      </c>
      <c r="AG1104" s="7" t="n">
        <v>5</v>
      </c>
      <c r="AH1104" s="7" t="n">
        <v>0</v>
      </c>
      <c r="AI1104" s="7" t="n">
        <v>0</v>
      </c>
      <c r="AJ1104" s="7" t="n">
        <v>0</v>
      </c>
      <c r="AK1104" s="7" t="n">
        <v>1</v>
      </c>
      <c r="AL1104" s="7" t="n">
        <v>0</v>
      </c>
      <c r="AM1104" s="7" t="n">
        <v>4</v>
      </c>
      <c r="AN1104" s="7" t="n">
        <v>0</v>
      </c>
      <c r="AO1104" s="7" t="n">
        <v>0</v>
      </c>
      <c r="AP1104" s="7" t="n">
        <v>0</v>
      </c>
      <c r="AQ1104" s="7" t="n">
        <v>0</v>
      </c>
      <c r="AR1104" s="6" t="s">
        <v>63</v>
      </c>
      <c r="AS1104" s="6" t="s">
        <v>63</v>
      </c>
      <c r="AT1104" s="28"/>
      <c r="AU1104" s="9" t="str">
        <f aca="false">HYPERLINK("https://creighton-primo.hosted.exlibrisgroup.com/primo-explore/search?tab=default_tab&amp;search_scope=EVERYTHING&amp;vid=01CRU&amp;lang=en_US&amp;offset=0&amp;query=any,contains,991002729859702656","Catalog Record")</f>
        <v>Catalog Record</v>
      </c>
      <c r="AV1104" s="9" t="str">
        <f aca="false">HYPERLINK("http://www.worldcat.org/oclc/415594","WorldCat Record")</f>
        <v>WorldCat Record</v>
      </c>
      <c r="AW1104" s="6" t="s">
        <v>7527</v>
      </c>
      <c r="AX1104" s="6" t="s">
        <v>7528</v>
      </c>
      <c r="AY1104" s="6" t="s">
        <v>7529</v>
      </c>
      <c r="AZ1104" s="6" t="s">
        <v>7529</v>
      </c>
      <c r="BA1104" s="6" t="s">
        <v>7530</v>
      </c>
      <c r="BB1104" s="28"/>
      <c r="BC1104" s="6" t="s">
        <v>7531</v>
      </c>
      <c r="BE1104" s="15" t="s">
        <v>2145</v>
      </c>
      <c r="BF1104" s="6" t="s">
        <v>7532</v>
      </c>
    </row>
    <row r="1105" customFormat="false" ht="94" hidden="false" customHeight="false" outlineLevel="0" collapsed="false">
      <c r="A1105" s="26" t="s">
        <v>63</v>
      </c>
      <c r="B1105" s="27" t="s">
        <v>2129</v>
      </c>
      <c r="C1105" s="27" t="s">
        <v>2130</v>
      </c>
      <c r="D1105" s="27" t="s">
        <v>7533</v>
      </c>
      <c r="E1105" s="27" t="s">
        <v>7534</v>
      </c>
      <c r="F1105" s="27" t="s">
        <v>7535</v>
      </c>
      <c r="G1105" s="28"/>
      <c r="H1105" s="6" t="s">
        <v>63</v>
      </c>
      <c r="I1105" s="6" t="s">
        <v>62</v>
      </c>
      <c r="J1105" s="6" t="s">
        <v>63</v>
      </c>
      <c r="K1105" s="6" t="s">
        <v>63</v>
      </c>
      <c r="L1105" s="6" t="s">
        <v>64</v>
      </c>
      <c r="M1105" s="27" t="s">
        <v>2465</v>
      </c>
      <c r="N1105" s="27" t="s">
        <v>7536</v>
      </c>
      <c r="O1105" s="6" t="s">
        <v>195</v>
      </c>
      <c r="P1105" s="28"/>
      <c r="Q1105" s="6" t="s">
        <v>67</v>
      </c>
      <c r="R1105" s="6" t="s">
        <v>68</v>
      </c>
      <c r="S1105" s="28"/>
      <c r="T1105" s="6" t="s">
        <v>6138</v>
      </c>
      <c r="U1105" s="7" t="n">
        <v>5</v>
      </c>
      <c r="V1105" s="7" t="n">
        <v>5</v>
      </c>
      <c r="W1105" s="8" t="s">
        <v>7537</v>
      </c>
      <c r="X1105" s="8" t="s">
        <v>7537</v>
      </c>
      <c r="Y1105" s="8" t="s">
        <v>7403</v>
      </c>
      <c r="Z1105" s="8" t="s">
        <v>7403</v>
      </c>
      <c r="AA1105" s="7" t="n">
        <v>537</v>
      </c>
      <c r="AB1105" s="7" t="n">
        <v>504</v>
      </c>
      <c r="AC1105" s="7" t="n">
        <v>1234</v>
      </c>
      <c r="AD1105" s="7" t="n">
        <v>4</v>
      </c>
      <c r="AE1105" s="7" t="n">
        <v>8</v>
      </c>
      <c r="AF1105" s="7" t="n">
        <v>18</v>
      </c>
      <c r="AG1105" s="7" t="n">
        <v>42</v>
      </c>
      <c r="AH1105" s="7" t="n">
        <v>10</v>
      </c>
      <c r="AI1105" s="7" t="n">
        <v>17</v>
      </c>
      <c r="AJ1105" s="7" t="n">
        <v>2</v>
      </c>
      <c r="AK1105" s="7" t="n">
        <v>7</v>
      </c>
      <c r="AL1105" s="7" t="n">
        <v>7</v>
      </c>
      <c r="AM1105" s="7" t="n">
        <v>20</v>
      </c>
      <c r="AN1105" s="7" t="n">
        <v>3</v>
      </c>
      <c r="AO1105" s="7" t="n">
        <v>6</v>
      </c>
      <c r="AP1105" s="7" t="n">
        <v>0</v>
      </c>
      <c r="AQ1105" s="7" t="n">
        <v>0</v>
      </c>
      <c r="AR1105" s="6" t="s">
        <v>63</v>
      </c>
      <c r="AS1105" s="6" t="s">
        <v>57</v>
      </c>
      <c r="AT1105" s="9" t="str">
        <f aca="false">HYPERLINK("http://catalog.hathitrust.org/Record/001405878","HathiTrust Record")</f>
        <v>HathiTrust Record</v>
      </c>
      <c r="AU1105" s="9" t="str">
        <f aca="false">HYPERLINK("https://creighton-primo.hosted.exlibrisgroup.com/primo-explore/search?tab=default_tab&amp;search_scope=EVERYTHING&amp;vid=01CRU&amp;lang=en_US&amp;offset=0&amp;query=any,contains,991003425149702656","Catalog Record")</f>
        <v>Catalog Record</v>
      </c>
      <c r="AV1105" s="9" t="str">
        <f aca="false">HYPERLINK("http://www.worldcat.org/oclc/964457","WorldCat Record")</f>
        <v>WorldCat Record</v>
      </c>
      <c r="AW1105" s="6" t="s">
        <v>7538</v>
      </c>
      <c r="AX1105" s="6" t="s">
        <v>7539</v>
      </c>
      <c r="AY1105" s="6" t="s">
        <v>7540</v>
      </c>
      <c r="AZ1105" s="6" t="s">
        <v>7540</v>
      </c>
      <c r="BA1105" s="6" t="s">
        <v>7541</v>
      </c>
      <c r="BB1105" s="28"/>
      <c r="BC1105" s="6" t="s">
        <v>7542</v>
      </c>
      <c r="BE1105" s="15" t="s">
        <v>2145</v>
      </c>
      <c r="BF1105" s="6" t="s">
        <v>7543</v>
      </c>
    </row>
    <row r="1106" customFormat="false" ht="163" hidden="false" customHeight="false" outlineLevel="0" collapsed="false">
      <c r="A1106" s="26" t="s">
        <v>63</v>
      </c>
      <c r="B1106" s="27" t="s">
        <v>2129</v>
      </c>
      <c r="C1106" s="27" t="s">
        <v>2130</v>
      </c>
      <c r="D1106" s="27" t="s">
        <v>7544</v>
      </c>
      <c r="E1106" s="27" t="s">
        <v>7545</v>
      </c>
      <c r="F1106" s="27" t="s">
        <v>7546</v>
      </c>
      <c r="G1106" s="28"/>
      <c r="H1106" s="6" t="s">
        <v>63</v>
      </c>
      <c r="I1106" s="6" t="s">
        <v>62</v>
      </c>
      <c r="J1106" s="6" t="s">
        <v>63</v>
      </c>
      <c r="K1106" s="6" t="s">
        <v>63</v>
      </c>
      <c r="L1106" s="6" t="s">
        <v>64</v>
      </c>
      <c r="M1106" s="27" t="s">
        <v>7547</v>
      </c>
      <c r="N1106" s="27" t="s">
        <v>7548</v>
      </c>
      <c r="O1106" s="6" t="s">
        <v>2693</v>
      </c>
      <c r="P1106" s="28"/>
      <c r="Q1106" s="6" t="s">
        <v>67</v>
      </c>
      <c r="R1106" s="6" t="s">
        <v>68</v>
      </c>
      <c r="S1106" s="28"/>
      <c r="T1106" s="6" t="s">
        <v>6138</v>
      </c>
      <c r="U1106" s="7" t="n">
        <v>4</v>
      </c>
      <c r="V1106" s="7" t="n">
        <v>4</v>
      </c>
      <c r="W1106" s="8" t="s">
        <v>7549</v>
      </c>
      <c r="X1106" s="8" t="s">
        <v>7549</v>
      </c>
      <c r="Y1106" s="8" t="s">
        <v>2223</v>
      </c>
      <c r="Z1106" s="8" t="s">
        <v>2223</v>
      </c>
      <c r="AA1106" s="7" t="n">
        <v>248</v>
      </c>
      <c r="AB1106" s="7" t="n">
        <v>216</v>
      </c>
      <c r="AC1106" s="7" t="n">
        <v>428</v>
      </c>
      <c r="AD1106" s="7" t="n">
        <v>2</v>
      </c>
      <c r="AE1106" s="7" t="n">
        <v>4</v>
      </c>
      <c r="AF1106" s="7" t="n">
        <v>14</v>
      </c>
      <c r="AG1106" s="7" t="n">
        <v>29</v>
      </c>
      <c r="AH1106" s="7" t="n">
        <v>7</v>
      </c>
      <c r="AI1106" s="7" t="n">
        <v>12</v>
      </c>
      <c r="AJ1106" s="7" t="n">
        <v>2</v>
      </c>
      <c r="AK1106" s="7" t="n">
        <v>3</v>
      </c>
      <c r="AL1106" s="7" t="n">
        <v>8</v>
      </c>
      <c r="AM1106" s="7" t="n">
        <v>19</v>
      </c>
      <c r="AN1106" s="7" t="n">
        <v>1</v>
      </c>
      <c r="AO1106" s="7" t="n">
        <v>3</v>
      </c>
      <c r="AP1106" s="7" t="n">
        <v>0</v>
      </c>
      <c r="AQ1106" s="7" t="n">
        <v>0</v>
      </c>
      <c r="AR1106" s="6" t="s">
        <v>63</v>
      </c>
      <c r="AS1106" s="6" t="s">
        <v>57</v>
      </c>
      <c r="AT1106" s="9" t="str">
        <f aca="false">HYPERLINK("http://catalog.hathitrust.org/Record/001383769","HathiTrust Record")</f>
        <v>HathiTrust Record</v>
      </c>
      <c r="AU1106" s="9" t="str">
        <f aca="false">HYPERLINK("https://creighton-primo.hosted.exlibrisgroup.com/primo-explore/search?tab=default_tab&amp;search_scope=EVERYTHING&amp;vid=01CRU&amp;lang=en_US&amp;offset=0&amp;query=any,contains,991002791619702656","Catalog Record")</f>
        <v>Catalog Record</v>
      </c>
      <c r="AV1106" s="9" t="str">
        <f aca="false">HYPERLINK("http://www.worldcat.org/oclc/443696","WorldCat Record")</f>
        <v>WorldCat Record</v>
      </c>
      <c r="AW1106" s="6" t="s">
        <v>7550</v>
      </c>
      <c r="AX1106" s="6" t="s">
        <v>7551</v>
      </c>
      <c r="AY1106" s="6" t="s">
        <v>7552</v>
      </c>
      <c r="AZ1106" s="6" t="s">
        <v>7552</v>
      </c>
      <c r="BA1106" s="6" t="s">
        <v>7553</v>
      </c>
      <c r="BB1106" s="28"/>
      <c r="BC1106" s="6" t="s">
        <v>7554</v>
      </c>
      <c r="BE1106" s="15" t="s">
        <v>2145</v>
      </c>
      <c r="BF1106" s="6" t="s">
        <v>7555</v>
      </c>
    </row>
    <row r="1107" customFormat="false" ht="82.5" hidden="false" customHeight="false" outlineLevel="0" collapsed="false">
      <c r="A1107" s="26" t="s">
        <v>63</v>
      </c>
      <c r="B1107" s="27" t="s">
        <v>2129</v>
      </c>
      <c r="C1107" s="27" t="s">
        <v>2130</v>
      </c>
      <c r="D1107" s="27" t="s">
        <v>7556</v>
      </c>
      <c r="E1107" s="27" t="s">
        <v>7557</v>
      </c>
      <c r="F1107" s="27" t="s">
        <v>7558</v>
      </c>
      <c r="G1107" s="28"/>
      <c r="H1107" s="6" t="s">
        <v>63</v>
      </c>
      <c r="I1107" s="6" t="s">
        <v>62</v>
      </c>
      <c r="J1107" s="6" t="s">
        <v>63</v>
      </c>
      <c r="K1107" s="6" t="s">
        <v>63</v>
      </c>
      <c r="L1107" s="6" t="s">
        <v>64</v>
      </c>
      <c r="M1107" s="27" t="s">
        <v>4288</v>
      </c>
      <c r="N1107" s="27" t="s">
        <v>7559</v>
      </c>
      <c r="O1107" s="6" t="s">
        <v>233</v>
      </c>
      <c r="P1107" s="28"/>
      <c r="Q1107" s="6" t="s">
        <v>67</v>
      </c>
      <c r="R1107" s="6" t="s">
        <v>123</v>
      </c>
      <c r="S1107" s="28"/>
      <c r="T1107" s="6" t="s">
        <v>6138</v>
      </c>
      <c r="U1107" s="7" t="n">
        <v>6</v>
      </c>
      <c r="V1107" s="7" t="n">
        <v>6</v>
      </c>
      <c r="W1107" s="8" t="s">
        <v>4264</v>
      </c>
      <c r="X1107" s="8" t="s">
        <v>4264</v>
      </c>
      <c r="Y1107" s="8" t="s">
        <v>2223</v>
      </c>
      <c r="Z1107" s="8" t="s">
        <v>2223</v>
      </c>
      <c r="AA1107" s="7" t="n">
        <v>468</v>
      </c>
      <c r="AB1107" s="7" t="n">
        <v>392</v>
      </c>
      <c r="AC1107" s="7" t="n">
        <v>441</v>
      </c>
      <c r="AD1107" s="7" t="n">
        <v>3</v>
      </c>
      <c r="AE1107" s="7" t="n">
        <v>3</v>
      </c>
      <c r="AF1107" s="7" t="n">
        <v>23</v>
      </c>
      <c r="AG1107" s="7" t="n">
        <v>25</v>
      </c>
      <c r="AH1107" s="7" t="n">
        <v>8</v>
      </c>
      <c r="AI1107" s="7" t="n">
        <v>9</v>
      </c>
      <c r="AJ1107" s="7" t="n">
        <v>7</v>
      </c>
      <c r="AK1107" s="7" t="n">
        <v>8</v>
      </c>
      <c r="AL1107" s="7" t="n">
        <v>15</v>
      </c>
      <c r="AM1107" s="7" t="n">
        <v>16</v>
      </c>
      <c r="AN1107" s="7" t="n">
        <v>1</v>
      </c>
      <c r="AO1107" s="7" t="n">
        <v>1</v>
      </c>
      <c r="AP1107" s="7" t="n">
        <v>0</v>
      </c>
      <c r="AQ1107" s="7" t="n">
        <v>0</v>
      </c>
      <c r="AR1107" s="6" t="s">
        <v>63</v>
      </c>
      <c r="AS1107" s="6" t="s">
        <v>63</v>
      </c>
      <c r="AT1107" s="28"/>
      <c r="AU1107" s="9" t="str">
        <f aca="false">HYPERLINK("https://creighton-primo.hosted.exlibrisgroup.com/primo-explore/search?tab=default_tab&amp;search_scope=EVERYTHING&amp;vid=01CRU&amp;lang=en_US&amp;offset=0&amp;query=any,contains,991002559199702656","Catalog Record")</f>
        <v>Catalog Record</v>
      </c>
      <c r="AV1107" s="9" t="str">
        <f aca="false">HYPERLINK("http://www.worldcat.org/oclc/883385566","WorldCat Record")</f>
        <v>WorldCat Record</v>
      </c>
      <c r="AW1107" s="6" t="s">
        <v>7560</v>
      </c>
      <c r="AX1107" s="6" t="s">
        <v>7561</v>
      </c>
      <c r="AY1107" s="6" t="s">
        <v>7562</v>
      </c>
      <c r="AZ1107" s="6" t="s">
        <v>7562</v>
      </c>
      <c r="BA1107" s="6" t="s">
        <v>7563</v>
      </c>
      <c r="BB1107" s="28"/>
      <c r="BC1107" s="6" t="s">
        <v>7564</v>
      </c>
      <c r="BE1107" s="15" t="s">
        <v>2145</v>
      </c>
      <c r="BF1107" s="6" t="s">
        <v>7565</v>
      </c>
    </row>
    <row r="1108" customFormat="false" ht="94" hidden="false" customHeight="false" outlineLevel="0" collapsed="false">
      <c r="A1108" s="26" t="s">
        <v>63</v>
      </c>
      <c r="B1108" s="27" t="s">
        <v>2129</v>
      </c>
      <c r="C1108" s="27" t="s">
        <v>2130</v>
      </c>
      <c r="D1108" s="27" t="s">
        <v>7566</v>
      </c>
      <c r="E1108" s="27" t="s">
        <v>7567</v>
      </c>
      <c r="F1108" s="27" t="s">
        <v>7568</v>
      </c>
      <c r="G1108" s="28"/>
      <c r="H1108" s="6" t="s">
        <v>63</v>
      </c>
      <c r="I1108" s="6" t="s">
        <v>62</v>
      </c>
      <c r="J1108" s="6" t="s">
        <v>63</v>
      </c>
      <c r="K1108" s="6" t="s">
        <v>63</v>
      </c>
      <c r="L1108" s="6" t="s">
        <v>64</v>
      </c>
      <c r="M1108" s="27" t="s">
        <v>7547</v>
      </c>
      <c r="N1108" s="27" t="s">
        <v>7569</v>
      </c>
      <c r="O1108" s="6" t="s">
        <v>2693</v>
      </c>
      <c r="P1108" s="28"/>
      <c r="Q1108" s="6" t="s">
        <v>67</v>
      </c>
      <c r="R1108" s="6" t="s">
        <v>68</v>
      </c>
      <c r="S1108" s="27" t="s">
        <v>7570</v>
      </c>
      <c r="T1108" s="6" t="s">
        <v>6138</v>
      </c>
      <c r="U1108" s="7" t="n">
        <v>1</v>
      </c>
      <c r="V1108" s="7" t="n">
        <v>1</v>
      </c>
      <c r="W1108" s="8" t="s">
        <v>7571</v>
      </c>
      <c r="X1108" s="8" t="s">
        <v>7571</v>
      </c>
      <c r="Y1108" s="8" t="s">
        <v>2223</v>
      </c>
      <c r="Z1108" s="8" t="s">
        <v>2223</v>
      </c>
      <c r="AA1108" s="7" t="n">
        <v>280</v>
      </c>
      <c r="AB1108" s="7" t="n">
        <v>258</v>
      </c>
      <c r="AC1108" s="7" t="n">
        <v>577</v>
      </c>
      <c r="AD1108" s="7" t="n">
        <v>2</v>
      </c>
      <c r="AE1108" s="7" t="n">
        <v>4</v>
      </c>
      <c r="AF1108" s="7" t="n">
        <v>8</v>
      </c>
      <c r="AG1108" s="7" t="n">
        <v>33</v>
      </c>
      <c r="AH1108" s="7" t="n">
        <v>4</v>
      </c>
      <c r="AI1108" s="7" t="n">
        <v>11</v>
      </c>
      <c r="AJ1108" s="7" t="n">
        <v>2</v>
      </c>
      <c r="AK1108" s="7" t="n">
        <v>7</v>
      </c>
      <c r="AL1108" s="7" t="n">
        <v>3</v>
      </c>
      <c r="AM1108" s="7" t="n">
        <v>21</v>
      </c>
      <c r="AN1108" s="7" t="n">
        <v>1</v>
      </c>
      <c r="AO1108" s="7" t="n">
        <v>3</v>
      </c>
      <c r="AP1108" s="7" t="n">
        <v>0</v>
      </c>
      <c r="AQ1108" s="7" t="n">
        <v>0</v>
      </c>
      <c r="AR1108" s="6" t="s">
        <v>63</v>
      </c>
      <c r="AS1108" s="6" t="s">
        <v>57</v>
      </c>
      <c r="AT1108" s="9" t="str">
        <f aca="false">HYPERLINK("http://catalog.hathitrust.org/Record/001383776","HathiTrust Record")</f>
        <v>HathiTrust Record</v>
      </c>
      <c r="AU1108" s="9" t="str">
        <f aca="false">HYPERLINK("https://creighton-primo.hosted.exlibrisgroup.com/primo-explore/search?tab=default_tab&amp;search_scope=EVERYTHING&amp;vid=01CRU&amp;lang=en_US&amp;offset=0&amp;query=any,contains,991002789709702656","Catalog Record")</f>
        <v>Catalog Record</v>
      </c>
      <c r="AV1108" s="9" t="str">
        <f aca="false">HYPERLINK("http://www.worldcat.org/oclc/442910","WorldCat Record")</f>
        <v>WorldCat Record</v>
      </c>
      <c r="AW1108" s="6" t="s">
        <v>7572</v>
      </c>
      <c r="AX1108" s="6" t="s">
        <v>7573</v>
      </c>
      <c r="AY1108" s="6" t="s">
        <v>7574</v>
      </c>
      <c r="AZ1108" s="6" t="s">
        <v>7574</v>
      </c>
      <c r="BA1108" s="6" t="s">
        <v>7575</v>
      </c>
      <c r="BB1108" s="28"/>
      <c r="BC1108" s="6" t="s">
        <v>7576</v>
      </c>
      <c r="BE1108" s="15" t="s">
        <v>2145</v>
      </c>
      <c r="BF1108" s="6" t="s">
        <v>7577</v>
      </c>
    </row>
    <row r="1109" customFormat="false" ht="59.5" hidden="false" customHeight="false" outlineLevel="0" collapsed="false">
      <c r="A1109" s="26" t="s">
        <v>63</v>
      </c>
      <c r="B1109" s="27" t="s">
        <v>2129</v>
      </c>
      <c r="C1109" s="27" t="s">
        <v>2130</v>
      </c>
      <c r="D1109" s="27" t="s">
        <v>7578</v>
      </c>
      <c r="E1109" s="27" t="s">
        <v>7579</v>
      </c>
      <c r="F1109" s="27" t="s">
        <v>7580</v>
      </c>
      <c r="G1109" s="28"/>
      <c r="H1109" s="6" t="s">
        <v>63</v>
      </c>
      <c r="I1109" s="6" t="s">
        <v>62</v>
      </c>
      <c r="J1109" s="6" t="s">
        <v>63</v>
      </c>
      <c r="K1109" s="6" t="s">
        <v>63</v>
      </c>
      <c r="L1109" s="6" t="s">
        <v>64</v>
      </c>
      <c r="M1109" s="27" t="s">
        <v>7581</v>
      </c>
      <c r="N1109" s="27" t="s">
        <v>7582</v>
      </c>
      <c r="O1109" s="6" t="s">
        <v>2426</v>
      </c>
      <c r="P1109" s="28"/>
      <c r="Q1109" s="6" t="s">
        <v>67</v>
      </c>
      <c r="R1109" s="6" t="s">
        <v>68</v>
      </c>
      <c r="S1109" s="28"/>
      <c r="T1109" s="6" t="s">
        <v>6138</v>
      </c>
      <c r="U1109" s="7" t="n">
        <v>2</v>
      </c>
      <c r="V1109" s="7" t="n">
        <v>2</v>
      </c>
      <c r="W1109" s="8" t="s">
        <v>6258</v>
      </c>
      <c r="X1109" s="8" t="s">
        <v>6258</v>
      </c>
      <c r="Y1109" s="8" t="s">
        <v>2223</v>
      </c>
      <c r="Z1109" s="8" t="s">
        <v>2223</v>
      </c>
      <c r="AA1109" s="7" t="n">
        <v>283</v>
      </c>
      <c r="AB1109" s="7" t="n">
        <v>270</v>
      </c>
      <c r="AC1109" s="7" t="n">
        <v>492</v>
      </c>
      <c r="AD1109" s="7" t="n">
        <v>3</v>
      </c>
      <c r="AE1109" s="7" t="n">
        <v>4</v>
      </c>
      <c r="AF1109" s="7" t="n">
        <v>17</v>
      </c>
      <c r="AG1109" s="7" t="n">
        <v>30</v>
      </c>
      <c r="AH1109" s="7" t="n">
        <v>8</v>
      </c>
      <c r="AI1109" s="7" t="n">
        <v>13</v>
      </c>
      <c r="AJ1109" s="7" t="n">
        <v>4</v>
      </c>
      <c r="AK1109" s="7" t="n">
        <v>7</v>
      </c>
      <c r="AL1109" s="7" t="n">
        <v>9</v>
      </c>
      <c r="AM1109" s="7" t="n">
        <v>18</v>
      </c>
      <c r="AN1109" s="7" t="n">
        <v>1</v>
      </c>
      <c r="AO1109" s="7" t="n">
        <v>2</v>
      </c>
      <c r="AP1109" s="7" t="n">
        <v>0</v>
      </c>
      <c r="AQ1109" s="7" t="n">
        <v>0</v>
      </c>
      <c r="AR1109" s="6" t="s">
        <v>63</v>
      </c>
      <c r="AS1109" s="6" t="s">
        <v>63</v>
      </c>
      <c r="AT1109" s="28"/>
      <c r="AU1109" s="9" t="str">
        <f aca="false">HYPERLINK("https://creighton-primo.hosted.exlibrisgroup.com/primo-explore/search?tab=default_tab&amp;search_scope=EVERYTHING&amp;vid=01CRU&amp;lang=en_US&amp;offset=0&amp;query=any,contains,991004388969702656","Catalog Record")</f>
        <v>Catalog Record</v>
      </c>
      <c r="AV1109" s="9" t="str">
        <f aca="false">HYPERLINK("http://www.worldcat.org/oclc/3255436","WorldCat Record")</f>
        <v>WorldCat Record</v>
      </c>
      <c r="AW1109" s="6" t="s">
        <v>7583</v>
      </c>
      <c r="AX1109" s="6" t="s">
        <v>7584</v>
      </c>
      <c r="AY1109" s="6" t="s">
        <v>7585</v>
      </c>
      <c r="AZ1109" s="6" t="s">
        <v>7585</v>
      </c>
      <c r="BA1109" s="6" t="s">
        <v>7586</v>
      </c>
      <c r="BB1109" s="28"/>
      <c r="BC1109" s="6" t="s">
        <v>7587</v>
      </c>
      <c r="BE1109" s="15" t="s">
        <v>2145</v>
      </c>
      <c r="BF1109" s="6" t="s">
        <v>7588</v>
      </c>
    </row>
    <row r="1110" customFormat="false" ht="71" hidden="false" customHeight="false" outlineLevel="0" collapsed="false">
      <c r="A1110" s="26" t="s">
        <v>63</v>
      </c>
      <c r="B1110" s="27" t="s">
        <v>2129</v>
      </c>
      <c r="C1110" s="27" t="s">
        <v>2130</v>
      </c>
      <c r="D1110" s="27" t="s">
        <v>7589</v>
      </c>
      <c r="E1110" s="27" t="s">
        <v>7590</v>
      </c>
      <c r="F1110" s="27" t="s">
        <v>7591</v>
      </c>
      <c r="G1110" s="28"/>
      <c r="H1110" s="6" t="s">
        <v>63</v>
      </c>
      <c r="I1110" s="6" t="s">
        <v>62</v>
      </c>
      <c r="J1110" s="6" t="s">
        <v>63</v>
      </c>
      <c r="K1110" s="6" t="s">
        <v>63</v>
      </c>
      <c r="L1110" s="6" t="s">
        <v>64</v>
      </c>
      <c r="M1110" s="27" t="s">
        <v>2165</v>
      </c>
      <c r="N1110" s="27" t="s">
        <v>7592</v>
      </c>
      <c r="O1110" s="6" t="s">
        <v>208</v>
      </c>
      <c r="P1110" s="28"/>
      <c r="Q1110" s="6" t="s">
        <v>67</v>
      </c>
      <c r="R1110" s="6" t="s">
        <v>68</v>
      </c>
      <c r="S1110" s="28"/>
      <c r="T1110" s="6" t="s">
        <v>6138</v>
      </c>
      <c r="U1110" s="7" t="n">
        <v>2</v>
      </c>
      <c r="V1110" s="7" t="n">
        <v>2</v>
      </c>
      <c r="W1110" s="8" t="s">
        <v>4027</v>
      </c>
      <c r="X1110" s="8" t="s">
        <v>4027</v>
      </c>
      <c r="Y1110" s="8" t="s">
        <v>2223</v>
      </c>
      <c r="Z1110" s="8" t="s">
        <v>2223</v>
      </c>
      <c r="AA1110" s="7" t="n">
        <v>463</v>
      </c>
      <c r="AB1110" s="7" t="n">
        <v>332</v>
      </c>
      <c r="AC1110" s="7" t="n">
        <v>335</v>
      </c>
      <c r="AD1110" s="7" t="n">
        <v>3</v>
      </c>
      <c r="AE1110" s="7" t="n">
        <v>3</v>
      </c>
      <c r="AF1110" s="7" t="n">
        <v>18</v>
      </c>
      <c r="AG1110" s="7" t="n">
        <v>18</v>
      </c>
      <c r="AH1110" s="7" t="n">
        <v>6</v>
      </c>
      <c r="AI1110" s="7" t="n">
        <v>6</v>
      </c>
      <c r="AJ1110" s="7" t="n">
        <v>4</v>
      </c>
      <c r="AK1110" s="7" t="n">
        <v>4</v>
      </c>
      <c r="AL1110" s="7" t="n">
        <v>14</v>
      </c>
      <c r="AM1110" s="7" t="n">
        <v>14</v>
      </c>
      <c r="AN1110" s="7" t="n">
        <v>2</v>
      </c>
      <c r="AO1110" s="7" t="n">
        <v>2</v>
      </c>
      <c r="AP1110" s="7" t="n">
        <v>0</v>
      </c>
      <c r="AQ1110" s="7" t="n">
        <v>0</v>
      </c>
      <c r="AR1110" s="6" t="s">
        <v>63</v>
      </c>
      <c r="AS1110" s="6" t="s">
        <v>63</v>
      </c>
      <c r="AT1110" s="28"/>
      <c r="AU1110" s="9" t="str">
        <f aca="false">HYPERLINK("https://creighton-primo.hosted.exlibrisgroup.com/primo-explore/search?tab=default_tab&amp;search_scope=EVERYTHING&amp;vid=01CRU&amp;lang=en_US&amp;offset=0&amp;query=any,contains,991000965939702656","Catalog Record")</f>
        <v>Catalog Record</v>
      </c>
      <c r="AV1110" s="9" t="str">
        <f aca="false">HYPERLINK("http://www.worldcat.org/oclc/14906007","WorldCat Record")</f>
        <v>WorldCat Record</v>
      </c>
      <c r="AW1110" s="6" t="s">
        <v>7593</v>
      </c>
      <c r="AX1110" s="6" t="s">
        <v>7594</v>
      </c>
      <c r="AY1110" s="6" t="s">
        <v>7595</v>
      </c>
      <c r="AZ1110" s="6" t="s">
        <v>7595</v>
      </c>
      <c r="BA1110" s="6" t="s">
        <v>7596</v>
      </c>
      <c r="BB1110" s="6" t="s">
        <v>7597</v>
      </c>
      <c r="BC1110" s="6" t="s">
        <v>7598</v>
      </c>
      <c r="BE1110" s="15" t="s">
        <v>2145</v>
      </c>
      <c r="BF1110" s="6" t="s">
        <v>7599</v>
      </c>
    </row>
    <row r="1111" customFormat="false" ht="71" hidden="false" customHeight="false" outlineLevel="0" collapsed="false">
      <c r="A1111" s="26" t="s">
        <v>63</v>
      </c>
      <c r="B1111" s="27" t="s">
        <v>2129</v>
      </c>
      <c r="C1111" s="27" t="s">
        <v>2130</v>
      </c>
      <c r="D1111" s="27" t="s">
        <v>7600</v>
      </c>
      <c r="E1111" s="27" t="s">
        <v>7601</v>
      </c>
      <c r="F1111" s="27" t="s">
        <v>7602</v>
      </c>
      <c r="G1111" s="28"/>
      <c r="H1111" s="6" t="s">
        <v>63</v>
      </c>
      <c r="I1111" s="6" t="s">
        <v>62</v>
      </c>
      <c r="J1111" s="6" t="s">
        <v>63</v>
      </c>
      <c r="K1111" s="6" t="s">
        <v>63</v>
      </c>
      <c r="L1111" s="6" t="s">
        <v>64</v>
      </c>
      <c r="M1111" s="27" t="s">
        <v>7603</v>
      </c>
      <c r="N1111" s="27" t="s">
        <v>7604</v>
      </c>
      <c r="O1111" s="6" t="s">
        <v>2262</v>
      </c>
      <c r="P1111" s="28"/>
      <c r="Q1111" s="6" t="s">
        <v>67</v>
      </c>
      <c r="R1111" s="6" t="s">
        <v>1059</v>
      </c>
      <c r="S1111" s="28"/>
      <c r="T1111" s="6" t="s">
        <v>6138</v>
      </c>
      <c r="U1111" s="7" t="n">
        <v>5</v>
      </c>
      <c r="V1111" s="7" t="n">
        <v>5</v>
      </c>
      <c r="W1111" s="8" t="s">
        <v>7605</v>
      </c>
      <c r="X1111" s="8" t="s">
        <v>7605</v>
      </c>
      <c r="Y1111" s="8" t="s">
        <v>2223</v>
      </c>
      <c r="Z1111" s="8" t="s">
        <v>2223</v>
      </c>
      <c r="AA1111" s="7" t="n">
        <v>319</v>
      </c>
      <c r="AB1111" s="7" t="n">
        <v>277</v>
      </c>
      <c r="AC1111" s="7" t="n">
        <v>350</v>
      </c>
      <c r="AD1111" s="7" t="n">
        <v>3</v>
      </c>
      <c r="AE1111" s="7" t="n">
        <v>3</v>
      </c>
      <c r="AF1111" s="7" t="n">
        <v>14</v>
      </c>
      <c r="AG1111" s="7" t="n">
        <v>16</v>
      </c>
      <c r="AH1111" s="7" t="n">
        <v>4</v>
      </c>
      <c r="AI1111" s="7" t="n">
        <v>5</v>
      </c>
      <c r="AJ1111" s="7" t="n">
        <v>4</v>
      </c>
      <c r="AK1111" s="7" t="n">
        <v>6</v>
      </c>
      <c r="AL1111" s="7" t="n">
        <v>9</v>
      </c>
      <c r="AM1111" s="7" t="n">
        <v>10</v>
      </c>
      <c r="AN1111" s="7" t="n">
        <v>2</v>
      </c>
      <c r="AO1111" s="7" t="n">
        <v>2</v>
      </c>
      <c r="AP1111" s="7" t="n">
        <v>0</v>
      </c>
      <c r="AQ1111" s="7" t="n">
        <v>0</v>
      </c>
      <c r="AR1111" s="6" t="s">
        <v>63</v>
      </c>
      <c r="AS1111" s="6" t="s">
        <v>57</v>
      </c>
      <c r="AT1111" s="9" t="str">
        <f aca="false">HYPERLINK("http://catalog.hathitrust.org/Record/008321284","HathiTrust Record")</f>
        <v>HathiTrust Record</v>
      </c>
      <c r="AU1111" s="9" t="str">
        <f aca="false">HYPERLINK("https://creighton-primo.hosted.exlibrisgroup.com/primo-explore/search?tab=default_tab&amp;search_scope=EVERYTHING&amp;vid=01CRU&amp;lang=en_US&amp;offset=0&amp;query=any,contains,991000764019702656","Catalog Record")</f>
        <v>Catalog Record</v>
      </c>
      <c r="AV1111" s="9" t="str">
        <f aca="false">HYPERLINK("http://www.worldcat.org/oclc/12977471","WorldCat Record")</f>
        <v>WorldCat Record</v>
      </c>
      <c r="AW1111" s="6" t="s">
        <v>7606</v>
      </c>
      <c r="AX1111" s="6" t="s">
        <v>7607</v>
      </c>
      <c r="AY1111" s="6" t="s">
        <v>7608</v>
      </c>
      <c r="AZ1111" s="6" t="s">
        <v>7608</v>
      </c>
      <c r="BA1111" s="6" t="s">
        <v>7609</v>
      </c>
      <c r="BB1111" s="6" t="s">
        <v>7610</v>
      </c>
      <c r="BC1111" s="6" t="s">
        <v>7611</v>
      </c>
      <c r="BE1111" s="15" t="s">
        <v>2145</v>
      </c>
      <c r="BF1111" s="6" t="s">
        <v>7612</v>
      </c>
    </row>
    <row r="1112" customFormat="false" ht="71" hidden="false" customHeight="false" outlineLevel="0" collapsed="false">
      <c r="A1112" s="26" t="s">
        <v>63</v>
      </c>
      <c r="B1112" s="27" t="s">
        <v>2129</v>
      </c>
      <c r="C1112" s="27" t="s">
        <v>2130</v>
      </c>
      <c r="D1112" s="27" t="s">
        <v>7613</v>
      </c>
      <c r="E1112" s="27" t="s">
        <v>7614</v>
      </c>
      <c r="F1112" s="27" t="s">
        <v>7615</v>
      </c>
      <c r="G1112" s="28"/>
      <c r="H1112" s="6" t="s">
        <v>63</v>
      </c>
      <c r="I1112" s="6" t="s">
        <v>62</v>
      </c>
      <c r="J1112" s="6" t="s">
        <v>63</v>
      </c>
      <c r="K1112" s="6" t="s">
        <v>63</v>
      </c>
      <c r="L1112" s="6" t="s">
        <v>64</v>
      </c>
      <c r="M1112" s="27" t="s">
        <v>7616</v>
      </c>
      <c r="N1112" s="27" t="s">
        <v>7548</v>
      </c>
      <c r="O1112" s="6" t="s">
        <v>2693</v>
      </c>
      <c r="P1112" s="28"/>
      <c r="Q1112" s="6" t="s">
        <v>67</v>
      </c>
      <c r="R1112" s="6" t="s">
        <v>68</v>
      </c>
      <c r="S1112" s="28"/>
      <c r="T1112" s="6" t="s">
        <v>6138</v>
      </c>
      <c r="U1112" s="7" t="n">
        <v>3</v>
      </c>
      <c r="V1112" s="7" t="n">
        <v>3</v>
      </c>
      <c r="W1112" s="8" t="s">
        <v>7617</v>
      </c>
      <c r="X1112" s="8" t="s">
        <v>7617</v>
      </c>
      <c r="Y1112" s="8" t="s">
        <v>2223</v>
      </c>
      <c r="Z1112" s="8" t="s">
        <v>2223</v>
      </c>
      <c r="AA1112" s="7" t="n">
        <v>243</v>
      </c>
      <c r="AB1112" s="7" t="n">
        <v>215</v>
      </c>
      <c r="AC1112" s="7" t="n">
        <v>317</v>
      </c>
      <c r="AD1112" s="7" t="n">
        <v>3</v>
      </c>
      <c r="AE1112" s="7" t="n">
        <v>3</v>
      </c>
      <c r="AF1112" s="7" t="n">
        <v>12</v>
      </c>
      <c r="AG1112" s="7" t="n">
        <v>14</v>
      </c>
      <c r="AH1112" s="7" t="n">
        <v>4</v>
      </c>
      <c r="AI1112" s="7" t="n">
        <v>4</v>
      </c>
      <c r="AJ1112" s="7" t="n">
        <v>4</v>
      </c>
      <c r="AK1112" s="7" t="n">
        <v>4</v>
      </c>
      <c r="AL1112" s="7" t="n">
        <v>6</v>
      </c>
      <c r="AM1112" s="7" t="n">
        <v>8</v>
      </c>
      <c r="AN1112" s="7" t="n">
        <v>2</v>
      </c>
      <c r="AO1112" s="7" t="n">
        <v>2</v>
      </c>
      <c r="AP1112" s="7" t="n">
        <v>0</v>
      </c>
      <c r="AQ1112" s="7" t="n">
        <v>0</v>
      </c>
      <c r="AR1112" s="6" t="s">
        <v>63</v>
      </c>
      <c r="AS1112" s="6" t="s">
        <v>57</v>
      </c>
      <c r="AT1112" s="9" t="str">
        <f aca="false">HYPERLINK("http://catalog.hathitrust.org/Record/001383788","HathiTrust Record")</f>
        <v>HathiTrust Record</v>
      </c>
      <c r="AU1112" s="9" t="str">
        <f aca="false">HYPERLINK("https://creighton-primo.hosted.exlibrisgroup.com/primo-explore/search?tab=default_tab&amp;search_scope=EVERYTHING&amp;vid=01CRU&amp;lang=en_US&amp;offset=0&amp;query=any,contains,991002164359702656","Catalog Record")</f>
        <v>Catalog Record</v>
      </c>
      <c r="AV1112" s="9" t="str">
        <f aca="false">HYPERLINK("http://www.worldcat.org/oclc/274704","WorldCat Record")</f>
        <v>WorldCat Record</v>
      </c>
      <c r="AW1112" s="6" t="s">
        <v>7618</v>
      </c>
      <c r="AX1112" s="6" t="s">
        <v>7619</v>
      </c>
      <c r="AY1112" s="6" t="s">
        <v>7620</v>
      </c>
      <c r="AZ1112" s="6" t="s">
        <v>7620</v>
      </c>
      <c r="BA1112" s="6" t="s">
        <v>7621</v>
      </c>
      <c r="BB1112" s="28"/>
      <c r="BC1112" s="6" t="s">
        <v>7622</v>
      </c>
      <c r="BE1112" s="15" t="s">
        <v>2145</v>
      </c>
      <c r="BF1112" s="6" t="s">
        <v>7623</v>
      </c>
    </row>
    <row r="1113" customFormat="false" ht="105.5" hidden="false" customHeight="false" outlineLevel="0" collapsed="false">
      <c r="A1113" s="26" t="s">
        <v>63</v>
      </c>
      <c r="B1113" s="27" t="s">
        <v>2129</v>
      </c>
      <c r="C1113" s="27" t="s">
        <v>2130</v>
      </c>
      <c r="D1113" s="27" t="s">
        <v>7624</v>
      </c>
      <c r="E1113" s="27" t="s">
        <v>7625</v>
      </c>
      <c r="F1113" s="27" t="s">
        <v>7626</v>
      </c>
      <c r="G1113" s="28"/>
      <c r="H1113" s="6" t="s">
        <v>63</v>
      </c>
      <c r="I1113" s="6" t="s">
        <v>62</v>
      </c>
      <c r="J1113" s="6" t="s">
        <v>63</v>
      </c>
      <c r="K1113" s="6" t="s">
        <v>63</v>
      </c>
      <c r="L1113" s="6" t="s">
        <v>64</v>
      </c>
      <c r="M1113" s="27" t="s">
        <v>7627</v>
      </c>
      <c r="N1113" s="27" t="s">
        <v>7628</v>
      </c>
      <c r="O1113" s="6" t="s">
        <v>167</v>
      </c>
      <c r="P1113" s="28"/>
      <c r="Q1113" s="6" t="s">
        <v>67</v>
      </c>
      <c r="R1113" s="6" t="s">
        <v>68</v>
      </c>
      <c r="S1113" s="27" t="s">
        <v>7629</v>
      </c>
      <c r="T1113" s="6" t="s">
        <v>6138</v>
      </c>
      <c r="U1113" s="7" t="n">
        <v>4</v>
      </c>
      <c r="V1113" s="7" t="n">
        <v>4</v>
      </c>
      <c r="W1113" s="8" t="s">
        <v>7605</v>
      </c>
      <c r="X1113" s="8" t="s">
        <v>7605</v>
      </c>
      <c r="Y1113" s="8" t="s">
        <v>2223</v>
      </c>
      <c r="Z1113" s="8" t="s">
        <v>2223</v>
      </c>
      <c r="AA1113" s="7" t="n">
        <v>302</v>
      </c>
      <c r="AB1113" s="7" t="n">
        <v>257</v>
      </c>
      <c r="AC1113" s="7" t="n">
        <v>384</v>
      </c>
      <c r="AD1113" s="7" t="n">
        <v>5</v>
      </c>
      <c r="AE1113" s="7" t="n">
        <v>5</v>
      </c>
      <c r="AF1113" s="7" t="n">
        <v>17</v>
      </c>
      <c r="AG1113" s="7" t="n">
        <v>20</v>
      </c>
      <c r="AH1113" s="7" t="n">
        <v>9</v>
      </c>
      <c r="AI1113" s="7" t="n">
        <v>9</v>
      </c>
      <c r="AJ1113" s="7" t="n">
        <v>3</v>
      </c>
      <c r="AK1113" s="7" t="n">
        <v>4</v>
      </c>
      <c r="AL1113" s="7" t="n">
        <v>9</v>
      </c>
      <c r="AM1113" s="7" t="n">
        <v>12</v>
      </c>
      <c r="AN1113" s="7" t="n">
        <v>3</v>
      </c>
      <c r="AO1113" s="7" t="n">
        <v>3</v>
      </c>
      <c r="AP1113" s="7" t="n">
        <v>0</v>
      </c>
      <c r="AQ1113" s="7" t="n">
        <v>0</v>
      </c>
      <c r="AR1113" s="6" t="s">
        <v>63</v>
      </c>
      <c r="AS1113" s="6" t="s">
        <v>57</v>
      </c>
      <c r="AT1113" s="9" t="str">
        <f aca="false">HYPERLINK("http://catalog.hathitrust.org/Record/001383790","HathiTrust Record")</f>
        <v>HathiTrust Record</v>
      </c>
      <c r="AU1113" s="9" t="str">
        <f aca="false">HYPERLINK("https://creighton-primo.hosted.exlibrisgroup.com/primo-explore/search?tab=default_tab&amp;search_scope=EVERYTHING&amp;vid=01CRU&amp;lang=en_US&amp;offset=0&amp;query=any,contains,991003616899702656","Catalog Record")</f>
        <v>Catalog Record</v>
      </c>
      <c r="AV1113" s="9" t="str">
        <f aca="false">HYPERLINK("http://www.worldcat.org/oclc/1201697","WorldCat Record")</f>
        <v>WorldCat Record</v>
      </c>
      <c r="AW1113" s="6" t="s">
        <v>7630</v>
      </c>
      <c r="AX1113" s="6" t="s">
        <v>7631</v>
      </c>
      <c r="AY1113" s="6" t="s">
        <v>7632</v>
      </c>
      <c r="AZ1113" s="6" t="s">
        <v>7632</v>
      </c>
      <c r="BA1113" s="6" t="s">
        <v>7633</v>
      </c>
      <c r="BB1113" s="28"/>
      <c r="BC1113" s="6" t="s">
        <v>7634</v>
      </c>
      <c r="BE1113" s="15" t="s">
        <v>2145</v>
      </c>
      <c r="BF1113" s="6" t="s">
        <v>7635</v>
      </c>
    </row>
    <row r="1114" customFormat="false" ht="94" hidden="false" customHeight="false" outlineLevel="0" collapsed="false">
      <c r="A1114" s="26" t="s">
        <v>63</v>
      </c>
      <c r="B1114" s="27" t="s">
        <v>2129</v>
      </c>
      <c r="C1114" s="27" t="s">
        <v>2130</v>
      </c>
      <c r="D1114" s="27" t="s">
        <v>7636</v>
      </c>
      <c r="E1114" s="27" t="s">
        <v>7637</v>
      </c>
      <c r="F1114" s="27" t="s">
        <v>7638</v>
      </c>
      <c r="G1114" s="28"/>
      <c r="H1114" s="6" t="s">
        <v>63</v>
      </c>
      <c r="I1114" s="6" t="s">
        <v>62</v>
      </c>
      <c r="J1114" s="6" t="s">
        <v>63</v>
      </c>
      <c r="K1114" s="6" t="s">
        <v>63</v>
      </c>
      <c r="L1114" s="6" t="s">
        <v>64</v>
      </c>
      <c r="M1114" s="27" t="s">
        <v>7639</v>
      </c>
      <c r="N1114" s="27" t="s">
        <v>7640</v>
      </c>
      <c r="O1114" s="6" t="s">
        <v>2426</v>
      </c>
      <c r="P1114" s="28"/>
      <c r="Q1114" s="6" t="s">
        <v>67</v>
      </c>
      <c r="R1114" s="6" t="s">
        <v>384</v>
      </c>
      <c r="S1114" s="28"/>
      <c r="T1114" s="6" t="s">
        <v>6138</v>
      </c>
      <c r="U1114" s="7" t="n">
        <v>3</v>
      </c>
      <c r="V1114" s="7" t="n">
        <v>3</v>
      </c>
      <c r="W1114" s="8" t="s">
        <v>7617</v>
      </c>
      <c r="X1114" s="8" t="s">
        <v>7617</v>
      </c>
      <c r="Y1114" s="8" t="s">
        <v>2223</v>
      </c>
      <c r="Z1114" s="8" t="s">
        <v>2223</v>
      </c>
      <c r="AA1114" s="7" t="n">
        <v>713</v>
      </c>
      <c r="AB1114" s="7" t="n">
        <v>525</v>
      </c>
      <c r="AC1114" s="7" t="n">
        <v>577</v>
      </c>
      <c r="AD1114" s="7" t="n">
        <v>4</v>
      </c>
      <c r="AE1114" s="7" t="n">
        <v>4</v>
      </c>
      <c r="AF1114" s="7" t="n">
        <v>32</v>
      </c>
      <c r="AG1114" s="7" t="n">
        <v>32</v>
      </c>
      <c r="AH1114" s="7" t="n">
        <v>10</v>
      </c>
      <c r="AI1114" s="7" t="n">
        <v>10</v>
      </c>
      <c r="AJ1114" s="7" t="n">
        <v>9</v>
      </c>
      <c r="AK1114" s="7" t="n">
        <v>9</v>
      </c>
      <c r="AL1114" s="7" t="n">
        <v>20</v>
      </c>
      <c r="AM1114" s="7" t="n">
        <v>20</v>
      </c>
      <c r="AN1114" s="7" t="n">
        <v>3</v>
      </c>
      <c r="AO1114" s="7" t="n">
        <v>3</v>
      </c>
      <c r="AP1114" s="7" t="n">
        <v>0</v>
      </c>
      <c r="AQ1114" s="7" t="n">
        <v>0</v>
      </c>
      <c r="AR1114" s="6" t="s">
        <v>63</v>
      </c>
      <c r="AS1114" s="6" t="s">
        <v>63</v>
      </c>
      <c r="AT1114" s="28"/>
      <c r="AU1114" s="9" t="str">
        <f aca="false">HYPERLINK("https://creighton-primo.hosted.exlibrisgroup.com/primo-explore/search?tab=default_tab&amp;search_scope=EVERYTHING&amp;vid=01CRU&amp;lang=en_US&amp;offset=0&amp;query=any,contains,991003336239702656","Catalog Record")</f>
        <v>Catalog Record</v>
      </c>
      <c r="AV1114" s="9" t="str">
        <f aca="false">HYPERLINK("http://www.worldcat.org/oclc/867045","WorldCat Record")</f>
        <v>WorldCat Record</v>
      </c>
      <c r="AW1114" s="6" t="s">
        <v>7641</v>
      </c>
      <c r="AX1114" s="6" t="s">
        <v>7642</v>
      </c>
      <c r="AY1114" s="6" t="s">
        <v>7643</v>
      </c>
      <c r="AZ1114" s="6" t="s">
        <v>7643</v>
      </c>
      <c r="BA1114" s="6" t="s">
        <v>7644</v>
      </c>
      <c r="BB1114" s="6" t="s">
        <v>7645</v>
      </c>
      <c r="BC1114" s="6" t="s">
        <v>7646</v>
      </c>
      <c r="BE1114" s="15" t="s">
        <v>2145</v>
      </c>
      <c r="BF1114" s="6" t="s">
        <v>7647</v>
      </c>
    </row>
    <row r="1115" customFormat="false" ht="94" hidden="false" customHeight="false" outlineLevel="0" collapsed="false">
      <c r="A1115" s="26" t="s">
        <v>63</v>
      </c>
      <c r="B1115" s="27" t="s">
        <v>2129</v>
      </c>
      <c r="C1115" s="27" t="s">
        <v>2130</v>
      </c>
      <c r="D1115" s="27" t="s">
        <v>7648</v>
      </c>
      <c r="E1115" s="27" t="s">
        <v>7649</v>
      </c>
      <c r="F1115" s="27" t="s">
        <v>7650</v>
      </c>
      <c r="G1115" s="28"/>
      <c r="H1115" s="6" t="s">
        <v>63</v>
      </c>
      <c r="I1115" s="6" t="s">
        <v>62</v>
      </c>
      <c r="J1115" s="6" t="s">
        <v>63</v>
      </c>
      <c r="K1115" s="6" t="s">
        <v>63</v>
      </c>
      <c r="L1115" s="6" t="s">
        <v>64</v>
      </c>
      <c r="M1115" s="27" t="s">
        <v>7651</v>
      </c>
      <c r="N1115" s="27" t="s">
        <v>7652</v>
      </c>
      <c r="O1115" s="6" t="s">
        <v>3301</v>
      </c>
      <c r="P1115" s="28"/>
      <c r="Q1115" s="6" t="s">
        <v>67</v>
      </c>
      <c r="R1115" s="6" t="s">
        <v>384</v>
      </c>
      <c r="S1115" s="27" t="s">
        <v>7653</v>
      </c>
      <c r="T1115" s="6" t="s">
        <v>6138</v>
      </c>
      <c r="U1115" s="7" t="n">
        <v>5</v>
      </c>
      <c r="V1115" s="7" t="n">
        <v>5</v>
      </c>
      <c r="W1115" s="8" t="s">
        <v>7654</v>
      </c>
      <c r="X1115" s="8" t="s">
        <v>7654</v>
      </c>
      <c r="Y1115" s="8" t="s">
        <v>2223</v>
      </c>
      <c r="Z1115" s="8" t="s">
        <v>2223</v>
      </c>
      <c r="AA1115" s="7" t="n">
        <v>796</v>
      </c>
      <c r="AB1115" s="7" t="n">
        <v>582</v>
      </c>
      <c r="AC1115" s="7" t="n">
        <v>606</v>
      </c>
      <c r="AD1115" s="7" t="n">
        <v>6</v>
      </c>
      <c r="AE1115" s="7" t="n">
        <v>6</v>
      </c>
      <c r="AF1115" s="7" t="n">
        <v>36</v>
      </c>
      <c r="AG1115" s="7" t="n">
        <v>37</v>
      </c>
      <c r="AH1115" s="7" t="n">
        <v>16</v>
      </c>
      <c r="AI1115" s="7" t="n">
        <v>17</v>
      </c>
      <c r="AJ1115" s="7" t="n">
        <v>7</v>
      </c>
      <c r="AK1115" s="7" t="n">
        <v>7</v>
      </c>
      <c r="AL1115" s="7" t="n">
        <v>19</v>
      </c>
      <c r="AM1115" s="7" t="n">
        <v>19</v>
      </c>
      <c r="AN1115" s="7" t="n">
        <v>4</v>
      </c>
      <c r="AO1115" s="7" t="n">
        <v>4</v>
      </c>
      <c r="AP1115" s="7" t="n">
        <v>0</v>
      </c>
      <c r="AQ1115" s="7" t="n">
        <v>0</v>
      </c>
      <c r="AR1115" s="6" t="s">
        <v>63</v>
      </c>
      <c r="AS1115" s="6" t="s">
        <v>57</v>
      </c>
      <c r="AT1115" s="9" t="str">
        <f aca="false">HYPERLINK("http://catalog.hathitrust.org/Record/000122138","HathiTrust Record")</f>
        <v>HathiTrust Record</v>
      </c>
      <c r="AU1115" s="9" t="str">
        <f aca="false">HYPERLINK("https://creighton-primo.hosted.exlibrisgroup.com/primo-explore/search?tab=default_tab&amp;search_scope=EVERYTHING&amp;vid=01CRU&amp;lang=en_US&amp;offset=0&amp;query=any,contains,991000058749702656","Catalog Record")</f>
        <v>Catalog Record</v>
      </c>
      <c r="AV1115" s="9" t="str">
        <f aca="false">HYPERLINK("http://www.worldcat.org/oclc/11067963","WorldCat Record")</f>
        <v>WorldCat Record</v>
      </c>
      <c r="AW1115" s="6" t="s">
        <v>7655</v>
      </c>
      <c r="AX1115" s="6" t="s">
        <v>7656</v>
      </c>
      <c r="AY1115" s="6" t="s">
        <v>7657</v>
      </c>
      <c r="AZ1115" s="6" t="s">
        <v>7657</v>
      </c>
      <c r="BA1115" s="6" t="s">
        <v>7658</v>
      </c>
      <c r="BB1115" s="6" t="s">
        <v>7659</v>
      </c>
      <c r="BC1115" s="6" t="s">
        <v>7660</v>
      </c>
      <c r="BE1115" s="15" t="s">
        <v>2145</v>
      </c>
      <c r="BF1115" s="6" t="s">
        <v>7661</v>
      </c>
    </row>
    <row r="1116" customFormat="false" ht="71" hidden="false" customHeight="false" outlineLevel="0" collapsed="false">
      <c r="A1116" s="26" t="s">
        <v>63</v>
      </c>
      <c r="B1116" s="27" t="s">
        <v>2129</v>
      </c>
      <c r="C1116" s="27" t="s">
        <v>2130</v>
      </c>
      <c r="D1116" s="27" t="s">
        <v>7662</v>
      </c>
      <c r="E1116" s="27" t="s">
        <v>7663</v>
      </c>
      <c r="F1116" s="27" t="s">
        <v>7664</v>
      </c>
      <c r="G1116" s="28"/>
      <c r="H1116" s="6" t="s">
        <v>63</v>
      </c>
      <c r="I1116" s="6" t="s">
        <v>62</v>
      </c>
      <c r="J1116" s="6" t="s">
        <v>63</v>
      </c>
      <c r="K1116" s="6" t="s">
        <v>57</v>
      </c>
      <c r="L1116" s="6" t="s">
        <v>64</v>
      </c>
      <c r="M1116" s="27" t="s">
        <v>7665</v>
      </c>
      <c r="N1116" s="27" t="s">
        <v>7666</v>
      </c>
      <c r="O1116" s="6" t="s">
        <v>2975</v>
      </c>
      <c r="P1116" s="27" t="s">
        <v>7667</v>
      </c>
      <c r="Q1116" s="6" t="s">
        <v>67</v>
      </c>
      <c r="R1116" s="6" t="s">
        <v>384</v>
      </c>
      <c r="S1116" s="27" t="s">
        <v>7668</v>
      </c>
      <c r="T1116" s="6" t="s">
        <v>6138</v>
      </c>
      <c r="U1116" s="7" t="n">
        <v>2</v>
      </c>
      <c r="V1116" s="7" t="n">
        <v>2</v>
      </c>
      <c r="W1116" s="8" t="s">
        <v>6258</v>
      </c>
      <c r="X1116" s="8" t="s">
        <v>6258</v>
      </c>
      <c r="Y1116" s="8" t="s">
        <v>2223</v>
      </c>
      <c r="Z1116" s="8" t="s">
        <v>2223</v>
      </c>
      <c r="AA1116" s="7" t="n">
        <v>184</v>
      </c>
      <c r="AB1116" s="7" t="n">
        <v>109</v>
      </c>
      <c r="AC1116" s="7" t="n">
        <v>701</v>
      </c>
      <c r="AD1116" s="7" t="n">
        <v>2</v>
      </c>
      <c r="AE1116" s="7" t="n">
        <v>7</v>
      </c>
      <c r="AF1116" s="7" t="n">
        <v>7</v>
      </c>
      <c r="AG1116" s="7" t="n">
        <v>40</v>
      </c>
      <c r="AH1116" s="7" t="n">
        <v>2</v>
      </c>
      <c r="AI1116" s="7" t="n">
        <v>15</v>
      </c>
      <c r="AJ1116" s="7" t="n">
        <v>2</v>
      </c>
      <c r="AK1116" s="7" t="n">
        <v>7</v>
      </c>
      <c r="AL1116" s="7" t="n">
        <v>4</v>
      </c>
      <c r="AM1116" s="7" t="n">
        <v>21</v>
      </c>
      <c r="AN1116" s="7" t="n">
        <v>1</v>
      </c>
      <c r="AO1116" s="7" t="n">
        <v>5</v>
      </c>
      <c r="AP1116" s="7" t="n">
        <v>0</v>
      </c>
      <c r="AQ1116" s="7" t="n">
        <v>1</v>
      </c>
      <c r="AR1116" s="6" t="s">
        <v>63</v>
      </c>
      <c r="AS1116" s="6" t="s">
        <v>57</v>
      </c>
      <c r="AT1116" s="9" t="str">
        <f aca="false">HYPERLINK("http://catalog.hathitrust.org/Record/009906549","HathiTrust Record")</f>
        <v>HathiTrust Record</v>
      </c>
      <c r="AU1116" s="9" t="str">
        <f aca="false">HYPERLINK("https://creighton-primo.hosted.exlibrisgroup.com/primo-explore/search?tab=default_tab&amp;search_scope=EVERYTHING&amp;vid=01CRU&amp;lang=en_US&amp;offset=0&amp;query=any,contains,991000084039702656","Catalog Record")</f>
        <v>Catalog Record</v>
      </c>
      <c r="AV1116" s="9" t="str">
        <f aca="false">HYPERLINK("http://www.worldcat.org/oclc/32736","WorldCat Record")</f>
        <v>WorldCat Record</v>
      </c>
      <c r="AW1116" s="6" t="s">
        <v>7669</v>
      </c>
      <c r="AX1116" s="6" t="s">
        <v>7670</v>
      </c>
      <c r="AY1116" s="6" t="s">
        <v>7671</v>
      </c>
      <c r="AZ1116" s="6" t="s">
        <v>7671</v>
      </c>
      <c r="BA1116" s="6" t="s">
        <v>7672</v>
      </c>
      <c r="BB1116" s="28"/>
      <c r="BC1116" s="6" t="s">
        <v>7673</v>
      </c>
      <c r="BE1116" s="15" t="s">
        <v>2145</v>
      </c>
      <c r="BF1116" s="6" t="s">
        <v>7674</v>
      </c>
    </row>
    <row r="1117" customFormat="false" ht="105.5" hidden="false" customHeight="false" outlineLevel="0" collapsed="false">
      <c r="A1117" s="26" t="s">
        <v>63</v>
      </c>
      <c r="B1117" s="27" t="s">
        <v>2129</v>
      </c>
      <c r="C1117" s="27" t="s">
        <v>2130</v>
      </c>
      <c r="D1117" s="27" t="s">
        <v>7675</v>
      </c>
      <c r="E1117" s="27" t="s">
        <v>7676</v>
      </c>
      <c r="F1117" s="27" t="s">
        <v>7677</v>
      </c>
      <c r="G1117" s="28"/>
      <c r="H1117" s="6" t="s">
        <v>63</v>
      </c>
      <c r="I1117" s="6" t="s">
        <v>62</v>
      </c>
      <c r="J1117" s="6" t="s">
        <v>63</v>
      </c>
      <c r="K1117" s="6" t="s">
        <v>63</v>
      </c>
      <c r="L1117" s="6" t="s">
        <v>64</v>
      </c>
      <c r="M1117" s="27" t="s">
        <v>7678</v>
      </c>
      <c r="N1117" s="27" t="s">
        <v>7679</v>
      </c>
      <c r="O1117" s="6" t="s">
        <v>264</v>
      </c>
      <c r="P1117" s="28"/>
      <c r="Q1117" s="6" t="s">
        <v>67</v>
      </c>
      <c r="R1117" s="6" t="s">
        <v>802</v>
      </c>
      <c r="S1117" s="27" t="s">
        <v>7680</v>
      </c>
      <c r="T1117" s="6" t="s">
        <v>6138</v>
      </c>
      <c r="U1117" s="7" t="n">
        <v>6</v>
      </c>
      <c r="V1117" s="7" t="n">
        <v>6</v>
      </c>
      <c r="W1117" s="8" t="s">
        <v>7681</v>
      </c>
      <c r="X1117" s="8" t="s">
        <v>7681</v>
      </c>
      <c r="Y1117" s="8" t="s">
        <v>2223</v>
      </c>
      <c r="Z1117" s="8" t="s">
        <v>2223</v>
      </c>
      <c r="AA1117" s="7" t="n">
        <v>429</v>
      </c>
      <c r="AB1117" s="7" t="n">
        <v>311</v>
      </c>
      <c r="AC1117" s="7" t="n">
        <v>318</v>
      </c>
      <c r="AD1117" s="7" t="n">
        <v>3</v>
      </c>
      <c r="AE1117" s="7" t="n">
        <v>3</v>
      </c>
      <c r="AF1117" s="7" t="n">
        <v>24</v>
      </c>
      <c r="AG1117" s="7" t="n">
        <v>24</v>
      </c>
      <c r="AH1117" s="7" t="n">
        <v>8</v>
      </c>
      <c r="AI1117" s="7" t="n">
        <v>8</v>
      </c>
      <c r="AJ1117" s="7" t="n">
        <v>7</v>
      </c>
      <c r="AK1117" s="7" t="n">
        <v>7</v>
      </c>
      <c r="AL1117" s="7" t="n">
        <v>15</v>
      </c>
      <c r="AM1117" s="7" t="n">
        <v>15</v>
      </c>
      <c r="AN1117" s="7" t="n">
        <v>2</v>
      </c>
      <c r="AO1117" s="7" t="n">
        <v>2</v>
      </c>
      <c r="AP1117" s="7" t="n">
        <v>0</v>
      </c>
      <c r="AQ1117" s="7" t="n">
        <v>0</v>
      </c>
      <c r="AR1117" s="6" t="s">
        <v>63</v>
      </c>
      <c r="AS1117" s="6" t="s">
        <v>63</v>
      </c>
      <c r="AT1117" s="28"/>
      <c r="AU1117" s="9" t="str">
        <f aca="false">HYPERLINK("https://creighton-primo.hosted.exlibrisgroup.com/primo-explore/search?tab=default_tab&amp;search_scope=EVERYTHING&amp;vid=01CRU&amp;lang=en_US&amp;offset=0&amp;query=any,contains,991000779099702656","Catalog Record")</f>
        <v>Catalog Record</v>
      </c>
      <c r="AV1117" s="9" t="str">
        <f aca="false">HYPERLINK("http://www.worldcat.org/oclc/134195","WorldCat Record")</f>
        <v>WorldCat Record</v>
      </c>
      <c r="AW1117" s="6" t="s">
        <v>7682</v>
      </c>
      <c r="AX1117" s="6" t="s">
        <v>7683</v>
      </c>
      <c r="AY1117" s="6" t="s">
        <v>7684</v>
      </c>
      <c r="AZ1117" s="6" t="s">
        <v>7684</v>
      </c>
      <c r="BA1117" s="6" t="s">
        <v>7685</v>
      </c>
      <c r="BB1117" s="28"/>
      <c r="BC1117" s="6" t="s">
        <v>7686</v>
      </c>
      <c r="BE1117" s="15" t="s">
        <v>2145</v>
      </c>
      <c r="BF1117" s="6" t="s">
        <v>7687</v>
      </c>
    </row>
    <row r="1118" customFormat="false" ht="82.5" hidden="false" customHeight="false" outlineLevel="0" collapsed="false">
      <c r="A1118" s="26" t="s">
        <v>63</v>
      </c>
      <c r="B1118" s="27" t="s">
        <v>2129</v>
      </c>
      <c r="C1118" s="27" t="s">
        <v>2130</v>
      </c>
      <c r="D1118" s="27" t="s">
        <v>7688</v>
      </c>
      <c r="E1118" s="27" t="s">
        <v>7689</v>
      </c>
      <c r="F1118" s="27" t="s">
        <v>7690</v>
      </c>
      <c r="G1118" s="28"/>
      <c r="H1118" s="6" t="s">
        <v>63</v>
      </c>
      <c r="I1118" s="6" t="s">
        <v>62</v>
      </c>
      <c r="J1118" s="6" t="s">
        <v>63</v>
      </c>
      <c r="K1118" s="6" t="s">
        <v>63</v>
      </c>
      <c r="L1118" s="6" t="s">
        <v>64</v>
      </c>
      <c r="M1118" s="27" t="s">
        <v>7691</v>
      </c>
      <c r="N1118" s="27" t="s">
        <v>7692</v>
      </c>
      <c r="O1118" s="6" t="s">
        <v>3340</v>
      </c>
      <c r="P1118" s="28"/>
      <c r="Q1118" s="6" t="s">
        <v>67</v>
      </c>
      <c r="R1118" s="6" t="s">
        <v>384</v>
      </c>
      <c r="S1118" s="27" t="s">
        <v>7693</v>
      </c>
      <c r="T1118" s="6" t="s">
        <v>6138</v>
      </c>
      <c r="U1118" s="7" t="n">
        <v>5</v>
      </c>
      <c r="V1118" s="7" t="n">
        <v>5</v>
      </c>
      <c r="W1118" s="8" t="s">
        <v>7694</v>
      </c>
      <c r="X1118" s="8" t="s">
        <v>7694</v>
      </c>
      <c r="Y1118" s="8" t="s">
        <v>2223</v>
      </c>
      <c r="Z1118" s="8" t="s">
        <v>2223</v>
      </c>
      <c r="AA1118" s="7" t="n">
        <v>805</v>
      </c>
      <c r="AB1118" s="7" t="n">
        <v>610</v>
      </c>
      <c r="AC1118" s="7" t="n">
        <v>637</v>
      </c>
      <c r="AD1118" s="7" t="n">
        <v>5</v>
      </c>
      <c r="AE1118" s="7" t="n">
        <v>5</v>
      </c>
      <c r="AF1118" s="7" t="n">
        <v>34</v>
      </c>
      <c r="AG1118" s="7" t="n">
        <v>34</v>
      </c>
      <c r="AH1118" s="7" t="n">
        <v>16</v>
      </c>
      <c r="AI1118" s="7" t="n">
        <v>16</v>
      </c>
      <c r="AJ1118" s="7" t="n">
        <v>5</v>
      </c>
      <c r="AK1118" s="7" t="n">
        <v>5</v>
      </c>
      <c r="AL1118" s="7" t="n">
        <v>21</v>
      </c>
      <c r="AM1118" s="7" t="n">
        <v>21</v>
      </c>
      <c r="AN1118" s="7" t="n">
        <v>3</v>
      </c>
      <c r="AO1118" s="7" t="n">
        <v>3</v>
      </c>
      <c r="AP1118" s="7" t="n">
        <v>0</v>
      </c>
      <c r="AQ1118" s="7" t="n">
        <v>0</v>
      </c>
      <c r="AR1118" s="6" t="s">
        <v>63</v>
      </c>
      <c r="AS1118" s="6" t="s">
        <v>63</v>
      </c>
      <c r="AT1118" s="28"/>
      <c r="AU1118" s="9" t="str">
        <f aca="false">HYPERLINK("https://creighton-primo.hosted.exlibrisgroup.com/primo-explore/search?tab=default_tab&amp;search_scope=EVERYTHING&amp;vid=01CRU&amp;lang=en_US&amp;offset=0&amp;query=any,contains,991004478789702656","Catalog Record")</f>
        <v>Catalog Record</v>
      </c>
      <c r="AV1118" s="9" t="str">
        <f aca="false">HYPERLINK("http://www.worldcat.org/oclc/3620223","WorldCat Record")</f>
        <v>WorldCat Record</v>
      </c>
      <c r="AW1118" s="6" t="s">
        <v>7695</v>
      </c>
      <c r="AX1118" s="6" t="s">
        <v>7696</v>
      </c>
      <c r="AY1118" s="6" t="s">
        <v>7697</v>
      </c>
      <c r="AZ1118" s="6" t="s">
        <v>7697</v>
      </c>
      <c r="BA1118" s="6" t="s">
        <v>7698</v>
      </c>
      <c r="BB1118" s="6" t="s">
        <v>7699</v>
      </c>
      <c r="BC1118" s="6" t="s">
        <v>7700</v>
      </c>
      <c r="BE1118" s="15" t="s">
        <v>2145</v>
      </c>
      <c r="BF1118" s="6" t="s">
        <v>7701</v>
      </c>
    </row>
    <row r="1119" customFormat="false" ht="82.5" hidden="false" customHeight="false" outlineLevel="0" collapsed="false">
      <c r="A1119" s="26" t="s">
        <v>63</v>
      </c>
      <c r="B1119" s="27" t="s">
        <v>2129</v>
      </c>
      <c r="C1119" s="27" t="s">
        <v>2130</v>
      </c>
      <c r="D1119" s="27" t="s">
        <v>7702</v>
      </c>
      <c r="E1119" s="27" t="s">
        <v>7703</v>
      </c>
      <c r="F1119" s="27" t="s">
        <v>7704</v>
      </c>
      <c r="G1119" s="28"/>
      <c r="H1119" s="6" t="s">
        <v>63</v>
      </c>
      <c r="I1119" s="6" t="s">
        <v>62</v>
      </c>
      <c r="J1119" s="6" t="s">
        <v>63</v>
      </c>
      <c r="K1119" s="6" t="s">
        <v>63</v>
      </c>
      <c r="L1119" s="6" t="s">
        <v>64</v>
      </c>
      <c r="M1119" s="27" t="s">
        <v>7705</v>
      </c>
      <c r="N1119" s="27" t="s">
        <v>7706</v>
      </c>
      <c r="O1119" s="6" t="s">
        <v>264</v>
      </c>
      <c r="P1119" s="28"/>
      <c r="Q1119" s="6" t="s">
        <v>67</v>
      </c>
      <c r="R1119" s="6" t="s">
        <v>802</v>
      </c>
      <c r="S1119" s="27" t="s">
        <v>7707</v>
      </c>
      <c r="T1119" s="6" t="s">
        <v>6138</v>
      </c>
      <c r="U1119" s="7" t="n">
        <v>7</v>
      </c>
      <c r="V1119" s="7" t="n">
        <v>7</v>
      </c>
      <c r="W1119" s="8" t="s">
        <v>7708</v>
      </c>
      <c r="X1119" s="8" t="s">
        <v>7708</v>
      </c>
      <c r="Y1119" s="8" t="s">
        <v>2223</v>
      </c>
      <c r="Z1119" s="8" t="s">
        <v>2223</v>
      </c>
      <c r="AA1119" s="7" t="n">
        <v>394</v>
      </c>
      <c r="AB1119" s="7" t="n">
        <v>299</v>
      </c>
      <c r="AC1119" s="7" t="n">
        <v>389</v>
      </c>
      <c r="AD1119" s="7" t="n">
        <v>3</v>
      </c>
      <c r="AE1119" s="7" t="n">
        <v>3</v>
      </c>
      <c r="AF1119" s="7" t="n">
        <v>18</v>
      </c>
      <c r="AG1119" s="7" t="n">
        <v>23</v>
      </c>
      <c r="AH1119" s="7" t="n">
        <v>7</v>
      </c>
      <c r="AI1119" s="7" t="n">
        <v>11</v>
      </c>
      <c r="AJ1119" s="7" t="n">
        <v>3</v>
      </c>
      <c r="AK1119" s="7" t="n">
        <v>3</v>
      </c>
      <c r="AL1119" s="7" t="n">
        <v>11</v>
      </c>
      <c r="AM1119" s="7" t="n">
        <v>13</v>
      </c>
      <c r="AN1119" s="7" t="n">
        <v>2</v>
      </c>
      <c r="AO1119" s="7" t="n">
        <v>2</v>
      </c>
      <c r="AP1119" s="7" t="n">
        <v>0</v>
      </c>
      <c r="AQ1119" s="7" t="n">
        <v>0</v>
      </c>
      <c r="AR1119" s="6" t="s">
        <v>63</v>
      </c>
      <c r="AS1119" s="6" t="s">
        <v>57</v>
      </c>
      <c r="AT1119" s="9" t="str">
        <f aca="false">HYPERLINK("http://catalog.hathitrust.org/Record/001383802","HathiTrust Record")</f>
        <v>HathiTrust Record</v>
      </c>
      <c r="AU1119" s="9" t="str">
        <f aca="false">HYPERLINK("https://creighton-primo.hosted.exlibrisgroup.com/primo-explore/search?tab=default_tab&amp;search_scope=EVERYTHING&amp;vid=01CRU&amp;lang=en_US&amp;offset=0&amp;query=any,contains,991000585049702656","Catalog Record")</f>
        <v>Catalog Record</v>
      </c>
      <c r="AV1119" s="9" t="str">
        <f aca="false">HYPERLINK("http://www.worldcat.org/oclc/95992","WorldCat Record")</f>
        <v>WorldCat Record</v>
      </c>
      <c r="AW1119" s="6" t="s">
        <v>7709</v>
      </c>
      <c r="AX1119" s="6" t="s">
        <v>7710</v>
      </c>
      <c r="AY1119" s="6" t="s">
        <v>7711</v>
      </c>
      <c r="AZ1119" s="6" t="s">
        <v>7711</v>
      </c>
      <c r="BA1119" s="6" t="s">
        <v>7712</v>
      </c>
      <c r="BB1119" s="28"/>
      <c r="BC1119" s="6" t="s">
        <v>7713</v>
      </c>
      <c r="BE1119" s="15" t="s">
        <v>2145</v>
      </c>
      <c r="BF1119" s="6" t="s">
        <v>7714</v>
      </c>
    </row>
    <row r="1120" customFormat="false" ht="117" hidden="false" customHeight="false" outlineLevel="0" collapsed="false">
      <c r="A1120" s="26" t="s">
        <v>63</v>
      </c>
      <c r="B1120" s="27" t="s">
        <v>2129</v>
      </c>
      <c r="C1120" s="27" t="s">
        <v>2130</v>
      </c>
      <c r="D1120" s="27" t="s">
        <v>7715</v>
      </c>
      <c r="E1120" s="27" t="s">
        <v>7716</v>
      </c>
      <c r="F1120" s="27" t="s">
        <v>7717</v>
      </c>
      <c r="G1120" s="28"/>
      <c r="H1120" s="6" t="s">
        <v>63</v>
      </c>
      <c r="I1120" s="6" t="s">
        <v>62</v>
      </c>
      <c r="J1120" s="6" t="s">
        <v>63</v>
      </c>
      <c r="K1120" s="6" t="s">
        <v>63</v>
      </c>
      <c r="L1120" s="6" t="s">
        <v>64</v>
      </c>
      <c r="M1120" s="27" t="s">
        <v>7718</v>
      </c>
      <c r="N1120" s="27" t="s">
        <v>7719</v>
      </c>
      <c r="O1120" s="6" t="s">
        <v>122</v>
      </c>
      <c r="P1120" s="28"/>
      <c r="Q1120" s="6" t="s">
        <v>67</v>
      </c>
      <c r="R1120" s="6" t="s">
        <v>7720</v>
      </c>
      <c r="S1120" s="27" t="s">
        <v>7721</v>
      </c>
      <c r="T1120" s="6" t="s">
        <v>6138</v>
      </c>
      <c r="U1120" s="7" t="n">
        <v>3</v>
      </c>
      <c r="V1120" s="7" t="n">
        <v>3</v>
      </c>
      <c r="W1120" s="8" t="s">
        <v>3083</v>
      </c>
      <c r="X1120" s="8" t="s">
        <v>3083</v>
      </c>
      <c r="Y1120" s="8" t="s">
        <v>7722</v>
      </c>
      <c r="Z1120" s="8" t="s">
        <v>7722</v>
      </c>
      <c r="AA1120" s="7" t="n">
        <v>231</v>
      </c>
      <c r="AB1120" s="7" t="n">
        <v>157</v>
      </c>
      <c r="AC1120" s="7" t="n">
        <v>159</v>
      </c>
      <c r="AD1120" s="7" t="n">
        <v>1</v>
      </c>
      <c r="AE1120" s="7" t="n">
        <v>1</v>
      </c>
      <c r="AF1120" s="7" t="n">
        <v>10</v>
      </c>
      <c r="AG1120" s="7" t="n">
        <v>10</v>
      </c>
      <c r="AH1120" s="7" t="n">
        <v>3</v>
      </c>
      <c r="AI1120" s="7" t="n">
        <v>3</v>
      </c>
      <c r="AJ1120" s="7" t="n">
        <v>1</v>
      </c>
      <c r="AK1120" s="7" t="n">
        <v>1</v>
      </c>
      <c r="AL1120" s="7" t="n">
        <v>10</v>
      </c>
      <c r="AM1120" s="7" t="n">
        <v>10</v>
      </c>
      <c r="AN1120" s="7" t="n">
        <v>0</v>
      </c>
      <c r="AO1120" s="7" t="n">
        <v>0</v>
      </c>
      <c r="AP1120" s="7" t="n">
        <v>0</v>
      </c>
      <c r="AQ1120" s="7" t="n">
        <v>0</v>
      </c>
      <c r="AR1120" s="6" t="s">
        <v>63</v>
      </c>
      <c r="AS1120" s="6" t="s">
        <v>57</v>
      </c>
      <c r="AT1120" s="9" t="str">
        <f aca="false">HYPERLINK("http://catalog.hathitrust.org/Record/001679179","HathiTrust Record")</f>
        <v>HathiTrust Record</v>
      </c>
      <c r="AU1120" s="9" t="str">
        <f aca="false">HYPERLINK("https://creighton-primo.hosted.exlibrisgroup.com/primo-explore/search?tab=default_tab&amp;search_scope=EVERYTHING&amp;vid=01CRU&amp;lang=en_US&amp;offset=0&amp;query=any,contains,991003415799702656","Catalog Record")</f>
        <v>Catalog Record</v>
      </c>
      <c r="AV1120" s="9" t="str">
        <f aca="false">HYPERLINK("http://www.worldcat.org/oclc/955559","WorldCat Record")</f>
        <v>WorldCat Record</v>
      </c>
      <c r="AW1120" s="6" t="s">
        <v>7723</v>
      </c>
      <c r="AX1120" s="6" t="s">
        <v>7724</v>
      </c>
      <c r="AY1120" s="6" t="s">
        <v>7725</v>
      </c>
      <c r="AZ1120" s="6" t="s">
        <v>7725</v>
      </c>
      <c r="BA1120" s="6" t="s">
        <v>7726</v>
      </c>
      <c r="BB1120" s="28"/>
      <c r="BC1120" s="6" t="s">
        <v>7727</v>
      </c>
      <c r="BE1120" s="15" t="s">
        <v>2145</v>
      </c>
      <c r="BF1120" s="6" t="s">
        <v>7728</v>
      </c>
    </row>
    <row r="1121" customFormat="false" ht="105.5" hidden="false" customHeight="false" outlineLevel="0" collapsed="false">
      <c r="A1121" s="26" t="s">
        <v>63</v>
      </c>
      <c r="B1121" s="27" t="s">
        <v>2129</v>
      </c>
      <c r="C1121" s="27" t="s">
        <v>2130</v>
      </c>
      <c r="D1121" s="27" t="s">
        <v>7729</v>
      </c>
      <c r="E1121" s="27" t="s">
        <v>7730</v>
      </c>
      <c r="F1121" s="27" t="s">
        <v>7731</v>
      </c>
      <c r="G1121" s="28"/>
      <c r="H1121" s="6" t="s">
        <v>63</v>
      </c>
      <c r="I1121" s="6" t="s">
        <v>62</v>
      </c>
      <c r="J1121" s="6" t="s">
        <v>63</v>
      </c>
      <c r="K1121" s="6" t="s">
        <v>63</v>
      </c>
      <c r="L1121" s="6" t="s">
        <v>64</v>
      </c>
      <c r="M1121" s="27" t="s">
        <v>7732</v>
      </c>
      <c r="N1121" s="27" t="s">
        <v>7733</v>
      </c>
      <c r="O1121" s="6" t="s">
        <v>180</v>
      </c>
      <c r="P1121" s="28"/>
      <c r="Q1121" s="6" t="s">
        <v>67</v>
      </c>
      <c r="R1121" s="6" t="s">
        <v>384</v>
      </c>
      <c r="S1121" s="28"/>
      <c r="T1121" s="6" t="s">
        <v>6138</v>
      </c>
      <c r="U1121" s="7" t="n">
        <v>1</v>
      </c>
      <c r="V1121" s="7" t="n">
        <v>1</v>
      </c>
      <c r="W1121" s="8" t="s">
        <v>7734</v>
      </c>
      <c r="X1121" s="8" t="s">
        <v>7734</v>
      </c>
      <c r="Y1121" s="8" t="s">
        <v>7722</v>
      </c>
      <c r="Z1121" s="8" t="s">
        <v>7722</v>
      </c>
      <c r="AA1121" s="7" t="n">
        <v>301</v>
      </c>
      <c r="AB1121" s="7" t="n">
        <v>227</v>
      </c>
      <c r="AC1121" s="7" t="n">
        <v>232</v>
      </c>
      <c r="AD1121" s="7" t="n">
        <v>1</v>
      </c>
      <c r="AE1121" s="7" t="n">
        <v>1</v>
      </c>
      <c r="AF1121" s="7" t="n">
        <v>11</v>
      </c>
      <c r="AG1121" s="7" t="n">
        <v>11</v>
      </c>
      <c r="AH1121" s="7" t="n">
        <v>6</v>
      </c>
      <c r="AI1121" s="7" t="n">
        <v>6</v>
      </c>
      <c r="AJ1121" s="7" t="n">
        <v>2</v>
      </c>
      <c r="AK1121" s="7" t="n">
        <v>2</v>
      </c>
      <c r="AL1121" s="7" t="n">
        <v>5</v>
      </c>
      <c r="AM1121" s="7" t="n">
        <v>5</v>
      </c>
      <c r="AN1121" s="7" t="n">
        <v>0</v>
      </c>
      <c r="AO1121" s="7" t="n">
        <v>0</v>
      </c>
      <c r="AP1121" s="7" t="n">
        <v>0</v>
      </c>
      <c r="AQ1121" s="7" t="n">
        <v>0</v>
      </c>
      <c r="AR1121" s="6" t="s">
        <v>63</v>
      </c>
      <c r="AS1121" s="6" t="s">
        <v>57</v>
      </c>
      <c r="AT1121" s="9" t="str">
        <f aca="false">HYPERLINK("http://catalog.hathitrust.org/Record/001381109","HathiTrust Record")</f>
        <v>HathiTrust Record</v>
      </c>
      <c r="AU1121" s="9" t="str">
        <f aca="false">HYPERLINK("https://creighton-primo.hosted.exlibrisgroup.com/primo-explore/search?tab=default_tab&amp;search_scope=EVERYTHING&amp;vid=01CRU&amp;lang=en_US&amp;offset=0&amp;query=any,contains,991002884379702656","Catalog Record")</f>
        <v>Catalog Record</v>
      </c>
      <c r="AV1121" s="9" t="str">
        <f aca="false">HYPERLINK("http://www.worldcat.org/oclc/507758","WorldCat Record")</f>
        <v>WorldCat Record</v>
      </c>
      <c r="AW1121" s="6" t="s">
        <v>7735</v>
      </c>
      <c r="AX1121" s="6" t="s">
        <v>7736</v>
      </c>
      <c r="AY1121" s="6" t="s">
        <v>7737</v>
      </c>
      <c r="AZ1121" s="6" t="s">
        <v>7737</v>
      </c>
      <c r="BA1121" s="6" t="s">
        <v>7738</v>
      </c>
      <c r="BB1121" s="28"/>
      <c r="BC1121" s="6" t="s">
        <v>7739</v>
      </c>
      <c r="BE1121" s="15" t="s">
        <v>2145</v>
      </c>
      <c r="BF1121" s="6" t="s">
        <v>7740</v>
      </c>
    </row>
    <row r="1122" customFormat="false" ht="186" hidden="false" customHeight="false" outlineLevel="0" collapsed="false">
      <c r="A1122" s="26" t="s">
        <v>63</v>
      </c>
      <c r="B1122" s="27" t="s">
        <v>2129</v>
      </c>
      <c r="C1122" s="27" t="s">
        <v>2130</v>
      </c>
      <c r="D1122" s="27" t="s">
        <v>7741</v>
      </c>
      <c r="E1122" s="27" t="s">
        <v>7742</v>
      </c>
      <c r="F1122" s="27" t="s">
        <v>7743</v>
      </c>
      <c r="G1122" s="28"/>
      <c r="H1122" s="6" t="s">
        <v>63</v>
      </c>
      <c r="I1122" s="6" t="s">
        <v>62</v>
      </c>
      <c r="J1122" s="6" t="s">
        <v>63</v>
      </c>
      <c r="K1122" s="6" t="s">
        <v>63</v>
      </c>
      <c r="L1122" s="6" t="s">
        <v>64</v>
      </c>
      <c r="M1122" s="28"/>
      <c r="N1122" s="27" t="s">
        <v>7744</v>
      </c>
      <c r="O1122" s="6" t="s">
        <v>3301</v>
      </c>
      <c r="P1122" s="28"/>
      <c r="Q1122" s="6" t="s">
        <v>67</v>
      </c>
      <c r="R1122" s="6" t="s">
        <v>1093</v>
      </c>
      <c r="S1122" s="28"/>
      <c r="T1122" s="6" t="s">
        <v>6138</v>
      </c>
      <c r="U1122" s="7" t="n">
        <v>1</v>
      </c>
      <c r="V1122" s="7" t="n">
        <v>1</v>
      </c>
      <c r="W1122" s="8" t="s">
        <v>7745</v>
      </c>
      <c r="X1122" s="8" t="s">
        <v>7745</v>
      </c>
      <c r="Y1122" s="8" t="s">
        <v>7062</v>
      </c>
      <c r="Z1122" s="8" t="s">
        <v>7062</v>
      </c>
      <c r="AA1122" s="7" t="n">
        <v>337</v>
      </c>
      <c r="AB1122" s="7" t="n">
        <v>195</v>
      </c>
      <c r="AC1122" s="7" t="n">
        <v>198</v>
      </c>
      <c r="AD1122" s="7" t="n">
        <v>2</v>
      </c>
      <c r="AE1122" s="7" t="n">
        <v>2</v>
      </c>
      <c r="AF1122" s="7" t="n">
        <v>8</v>
      </c>
      <c r="AG1122" s="7" t="n">
        <v>8</v>
      </c>
      <c r="AH1122" s="7" t="n">
        <v>1</v>
      </c>
      <c r="AI1122" s="7" t="n">
        <v>1</v>
      </c>
      <c r="AJ1122" s="7" t="n">
        <v>2</v>
      </c>
      <c r="AK1122" s="7" t="n">
        <v>2</v>
      </c>
      <c r="AL1122" s="7" t="n">
        <v>5</v>
      </c>
      <c r="AM1122" s="7" t="n">
        <v>5</v>
      </c>
      <c r="AN1122" s="7" t="n">
        <v>1</v>
      </c>
      <c r="AO1122" s="7" t="n">
        <v>1</v>
      </c>
      <c r="AP1122" s="7" t="n">
        <v>0</v>
      </c>
      <c r="AQ1122" s="7" t="n">
        <v>0</v>
      </c>
      <c r="AR1122" s="6" t="s">
        <v>63</v>
      </c>
      <c r="AS1122" s="6" t="s">
        <v>57</v>
      </c>
      <c r="AT1122" s="9" t="str">
        <f aca="false">HYPERLINK("http://catalog.hathitrust.org/Record/000765329","HathiTrust Record")</f>
        <v>HathiTrust Record</v>
      </c>
      <c r="AU1122" s="9" t="str">
        <f aca="false">HYPERLINK("https://creighton-primo.hosted.exlibrisgroup.com/primo-explore/search?tab=default_tab&amp;search_scope=EVERYTHING&amp;vid=01CRU&amp;lang=en_US&amp;offset=0&amp;query=any,contains,991000400259702656","Catalog Record")</f>
        <v>Catalog Record</v>
      </c>
      <c r="AV1122" s="9" t="str">
        <f aca="false">HYPERLINK("http://www.worldcat.org/oclc/10606045","WorldCat Record")</f>
        <v>WorldCat Record</v>
      </c>
      <c r="AW1122" s="6" t="s">
        <v>7746</v>
      </c>
      <c r="AX1122" s="6" t="s">
        <v>7747</v>
      </c>
      <c r="AY1122" s="6" t="s">
        <v>7748</v>
      </c>
      <c r="AZ1122" s="6" t="s">
        <v>7748</v>
      </c>
      <c r="BA1122" s="6" t="s">
        <v>7749</v>
      </c>
      <c r="BB1122" s="6" t="s">
        <v>7750</v>
      </c>
      <c r="BC1122" s="6" t="s">
        <v>7751</v>
      </c>
      <c r="BE1122" s="15" t="s">
        <v>2145</v>
      </c>
      <c r="BF1122" s="6" t="s">
        <v>7752</v>
      </c>
    </row>
    <row r="1123" customFormat="false" ht="117" hidden="false" customHeight="false" outlineLevel="0" collapsed="false">
      <c r="A1123" s="26" t="s">
        <v>63</v>
      </c>
      <c r="B1123" s="27" t="s">
        <v>2129</v>
      </c>
      <c r="C1123" s="27" t="s">
        <v>2130</v>
      </c>
      <c r="D1123" s="27" t="s">
        <v>7753</v>
      </c>
      <c r="E1123" s="27" t="s">
        <v>7754</v>
      </c>
      <c r="F1123" s="27" t="s">
        <v>7755</v>
      </c>
      <c r="G1123" s="28"/>
      <c r="H1123" s="6" t="s">
        <v>63</v>
      </c>
      <c r="I1123" s="6" t="s">
        <v>62</v>
      </c>
      <c r="J1123" s="6" t="s">
        <v>63</v>
      </c>
      <c r="K1123" s="6" t="s">
        <v>63</v>
      </c>
      <c r="L1123" s="6" t="s">
        <v>64</v>
      </c>
      <c r="M1123" s="28"/>
      <c r="N1123" s="27" t="s">
        <v>7756</v>
      </c>
      <c r="O1123" s="6" t="s">
        <v>108</v>
      </c>
      <c r="P1123" s="28"/>
      <c r="Q1123" s="6" t="s">
        <v>67</v>
      </c>
      <c r="R1123" s="6" t="s">
        <v>68</v>
      </c>
      <c r="S1123" s="28"/>
      <c r="T1123" s="6" t="s">
        <v>6138</v>
      </c>
      <c r="U1123" s="7" t="n">
        <v>2</v>
      </c>
      <c r="V1123" s="7" t="n">
        <v>2</v>
      </c>
      <c r="W1123" s="8" t="s">
        <v>7757</v>
      </c>
      <c r="X1123" s="8" t="s">
        <v>7757</v>
      </c>
      <c r="Y1123" s="8" t="s">
        <v>7722</v>
      </c>
      <c r="Z1123" s="8" t="s">
        <v>7722</v>
      </c>
      <c r="AA1123" s="7" t="n">
        <v>253</v>
      </c>
      <c r="AB1123" s="7" t="n">
        <v>229</v>
      </c>
      <c r="AC1123" s="7" t="n">
        <v>289</v>
      </c>
      <c r="AD1123" s="7" t="n">
        <v>1</v>
      </c>
      <c r="AE1123" s="7" t="n">
        <v>3</v>
      </c>
      <c r="AF1123" s="7" t="n">
        <v>4</v>
      </c>
      <c r="AG1123" s="7" t="n">
        <v>7</v>
      </c>
      <c r="AH1123" s="7" t="n">
        <v>0</v>
      </c>
      <c r="AI1123" s="7" t="n">
        <v>0</v>
      </c>
      <c r="AJ1123" s="7" t="n">
        <v>3</v>
      </c>
      <c r="AK1123" s="7" t="n">
        <v>3</v>
      </c>
      <c r="AL1123" s="7" t="n">
        <v>3</v>
      </c>
      <c r="AM1123" s="7" t="n">
        <v>4</v>
      </c>
      <c r="AN1123" s="7" t="n">
        <v>0</v>
      </c>
      <c r="AO1123" s="7" t="n">
        <v>2</v>
      </c>
      <c r="AP1123" s="7" t="n">
        <v>0</v>
      </c>
      <c r="AQ1123" s="7" t="n">
        <v>0</v>
      </c>
      <c r="AR1123" s="6" t="s">
        <v>63</v>
      </c>
      <c r="AS1123" s="6" t="s">
        <v>57</v>
      </c>
      <c r="AT1123" s="9" t="str">
        <f aca="false">HYPERLINK("http://catalog.hathitrust.org/Record/000177806","HathiTrust Record")</f>
        <v>HathiTrust Record</v>
      </c>
      <c r="AU1123" s="9" t="str">
        <f aca="false">HYPERLINK("https://creighton-primo.hosted.exlibrisgroup.com/primo-explore/search?tab=default_tab&amp;search_scope=EVERYTHING&amp;vid=01CRU&amp;lang=en_US&amp;offset=0&amp;query=any,contains,991004572939702656","Catalog Record")</f>
        <v>Catalog Record</v>
      </c>
      <c r="AV1123" s="9" t="str">
        <f aca="false">HYPERLINK("http://www.worldcat.org/oclc/4036584","WorldCat Record")</f>
        <v>WorldCat Record</v>
      </c>
      <c r="AW1123" s="6" t="s">
        <v>7758</v>
      </c>
      <c r="AX1123" s="6" t="s">
        <v>7759</v>
      </c>
      <c r="AY1123" s="6" t="s">
        <v>7760</v>
      </c>
      <c r="AZ1123" s="6" t="s">
        <v>7760</v>
      </c>
      <c r="BA1123" s="6" t="s">
        <v>7761</v>
      </c>
      <c r="BB1123" s="6" t="s">
        <v>7762</v>
      </c>
      <c r="BC1123" s="6" t="s">
        <v>7763</v>
      </c>
      <c r="BE1123" s="15" t="s">
        <v>2145</v>
      </c>
      <c r="BF1123" s="6" t="s">
        <v>7764</v>
      </c>
    </row>
    <row r="1124" customFormat="false" ht="82.5" hidden="false" customHeight="false" outlineLevel="0" collapsed="false">
      <c r="A1124" s="26" t="s">
        <v>63</v>
      </c>
      <c r="B1124" s="27" t="s">
        <v>2129</v>
      </c>
      <c r="C1124" s="27" t="s">
        <v>2130</v>
      </c>
      <c r="D1124" s="27" t="s">
        <v>7765</v>
      </c>
      <c r="E1124" s="27" t="s">
        <v>7766</v>
      </c>
      <c r="F1124" s="27" t="s">
        <v>7767</v>
      </c>
      <c r="G1124" s="28"/>
      <c r="H1124" s="6" t="s">
        <v>63</v>
      </c>
      <c r="I1124" s="6" t="s">
        <v>62</v>
      </c>
      <c r="J1124" s="6" t="s">
        <v>63</v>
      </c>
      <c r="K1124" s="6" t="s">
        <v>57</v>
      </c>
      <c r="L1124" s="6" t="s">
        <v>64</v>
      </c>
      <c r="M1124" s="27" t="s">
        <v>7768</v>
      </c>
      <c r="N1124" s="27" t="s">
        <v>7769</v>
      </c>
      <c r="O1124" s="6" t="s">
        <v>3328</v>
      </c>
      <c r="P1124" s="28"/>
      <c r="Q1124" s="6" t="s">
        <v>67</v>
      </c>
      <c r="R1124" s="6" t="s">
        <v>123</v>
      </c>
      <c r="S1124" s="27" t="s">
        <v>7770</v>
      </c>
      <c r="T1124" s="6" t="s">
        <v>6138</v>
      </c>
      <c r="U1124" s="7" t="n">
        <v>1</v>
      </c>
      <c r="V1124" s="7" t="n">
        <v>1</v>
      </c>
      <c r="W1124" s="8" t="s">
        <v>3516</v>
      </c>
      <c r="X1124" s="8" t="s">
        <v>3516</v>
      </c>
      <c r="Y1124" s="8" t="s">
        <v>7722</v>
      </c>
      <c r="Z1124" s="8" t="s">
        <v>7722</v>
      </c>
      <c r="AA1124" s="7" t="n">
        <v>630</v>
      </c>
      <c r="AB1124" s="7" t="n">
        <v>570</v>
      </c>
      <c r="AC1124" s="7" t="n">
        <v>877</v>
      </c>
      <c r="AD1124" s="7" t="n">
        <v>4</v>
      </c>
      <c r="AE1124" s="7" t="n">
        <v>7</v>
      </c>
      <c r="AF1124" s="7" t="n">
        <v>32</v>
      </c>
      <c r="AG1124" s="7" t="n">
        <v>43</v>
      </c>
      <c r="AH1124" s="7" t="n">
        <v>16</v>
      </c>
      <c r="AI1124" s="7" t="n">
        <v>21</v>
      </c>
      <c r="AJ1124" s="7" t="n">
        <v>4</v>
      </c>
      <c r="AK1124" s="7" t="n">
        <v>6</v>
      </c>
      <c r="AL1124" s="7" t="n">
        <v>17</v>
      </c>
      <c r="AM1124" s="7" t="n">
        <v>22</v>
      </c>
      <c r="AN1124" s="7" t="n">
        <v>3</v>
      </c>
      <c r="AO1124" s="7" t="n">
        <v>4</v>
      </c>
      <c r="AP1124" s="7" t="n">
        <v>0</v>
      </c>
      <c r="AQ1124" s="7" t="n">
        <v>0</v>
      </c>
      <c r="AR1124" s="6" t="s">
        <v>63</v>
      </c>
      <c r="AS1124" s="6" t="s">
        <v>57</v>
      </c>
      <c r="AT1124" s="9" t="str">
        <f aca="false">HYPERLINK("http://catalog.hathitrust.org/Record/001383846","HathiTrust Record")</f>
        <v>HathiTrust Record</v>
      </c>
      <c r="AU1124" s="9" t="str">
        <f aca="false">HYPERLINK("https://creighton-primo.hosted.exlibrisgroup.com/primo-explore/search?tab=default_tab&amp;search_scope=EVERYTHING&amp;vid=01CRU&amp;lang=en_US&amp;offset=0&amp;query=any,contains,991002707689702656","Catalog Record")</f>
        <v>Catalog Record</v>
      </c>
      <c r="AV1124" s="9" t="str">
        <f aca="false">HYPERLINK("http://www.worldcat.org/oclc/407702","WorldCat Record")</f>
        <v>WorldCat Record</v>
      </c>
      <c r="AW1124" s="6" t="s">
        <v>7771</v>
      </c>
      <c r="AX1124" s="6" t="s">
        <v>7772</v>
      </c>
      <c r="AY1124" s="6" t="s">
        <v>7773</v>
      </c>
      <c r="AZ1124" s="6" t="s">
        <v>7773</v>
      </c>
      <c r="BA1124" s="6" t="s">
        <v>7774</v>
      </c>
      <c r="BB1124" s="28"/>
      <c r="BC1124" s="6" t="s">
        <v>7775</v>
      </c>
      <c r="BE1124" s="15" t="s">
        <v>2145</v>
      </c>
      <c r="BF1124" s="6" t="s">
        <v>7776</v>
      </c>
    </row>
    <row r="1125" customFormat="false" ht="140" hidden="false" customHeight="false" outlineLevel="0" collapsed="false">
      <c r="A1125" s="26" t="s">
        <v>63</v>
      </c>
      <c r="B1125" s="27" t="s">
        <v>2129</v>
      </c>
      <c r="C1125" s="27" t="s">
        <v>2130</v>
      </c>
      <c r="D1125" s="27" t="s">
        <v>7777</v>
      </c>
      <c r="E1125" s="27" t="s">
        <v>7778</v>
      </c>
      <c r="F1125" s="27" t="s">
        <v>7779</v>
      </c>
      <c r="G1125" s="28"/>
      <c r="H1125" s="6" t="s">
        <v>63</v>
      </c>
      <c r="I1125" s="6" t="s">
        <v>62</v>
      </c>
      <c r="J1125" s="6" t="s">
        <v>63</v>
      </c>
      <c r="K1125" s="6" t="s">
        <v>57</v>
      </c>
      <c r="L1125" s="6" t="s">
        <v>64</v>
      </c>
      <c r="M1125" s="27" t="s">
        <v>7768</v>
      </c>
      <c r="N1125" s="27" t="s">
        <v>7780</v>
      </c>
      <c r="O1125" s="6" t="s">
        <v>167</v>
      </c>
      <c r="P1125" s="28"/>
      <c r="Q1125" s="6" t="s">
        <v>67</v>
      </c>
      <c r="R1125" s="6" t="s">
        <v>68</v>
      </c>
      <c r="S1125" s="27" t="s">
        <v>7781</v>
      </c>
      <c r="T1125" s="6" t="s">
        <v>6138</v>
      </c>
      <c r="U1125" s="7" t="n">
        <v>2</v>
      </c>
      <c r="V1125" s="7" t="n">
        <v>2</v>
      </c>
      <c r="W1125" s="8" t="s">
        <v>2597</v>
      </c>
      <c r="X1125" s="8" t="s">
        <v>2597</v>
      </c>
      <c r="Y1125" s="8" t="s">
        <v>7722</v>
      </c>
      <c r="Z1125" s="8" t="s">
        <v>7722</v>
      </c>
      <c r="AA1125" s="7" t="n">
        <v>290</v>
      </c>
      <c r="AB1125" s="7" t="n">
        <v>243</v>
      </c>
      <c r="AC1125" s="7" t="n">
        <v>877</v>
      </c>
      <c r="AD1125" s="7" t="n">
        <v>2</v>
      </c>
      <c r="AE1125" s="7" t="n">
        <v>7</v>
      </c>
      <c r="AF1125" s="7" t="n">
        <v>16</v>
      </c>
      <c r="AG1125" s="7" t="n">
        <v>43</v>
      </c>
      <c r="AH1125" s="7" t="n">
        <v>7</v>
      </c>
      <c r="AI1125" s="7" t="n">
        <v>21</v>
      </c>
      <c r="AJ1125" s="7" t="n">
        <v>5</v>
      </c>
      <c r="AK1125" s="7" t="n">
        <v>6</v>
      </c>
      <c r="AL1125" s="7" t="n">
        <v>9</v>
      </c>
      <c r="AM1125" s="7" t="n">
        <v>22</v>
      </c>
      <c r="AN1125" s="7" t="n">
        <v>0</v>
      </c>
      <c r="AO1125" s="7" t="n">
        <v>4</v>
      </c>
      <c r="AP1125" s="7" t="n">
        <v>0</v>
      </c>
      <c r="AQ1125" s="7" t="n">
        <v>0</v>
      </c>
      <c r="AR1125" s="6" t="s">
        <v>63</v>
      </c>
      <c r="AS1125" s="6" t="s">
        <v>63</v>
      </c>
      <c r="AT1125" s="28"/>
      <c r="AU1125" s="9" t="str">
        <f aca="false">HYPERLINK("https://creighton-primo.hosted.exlibrisgroup.com/primo-explore/search?tab=default_tab&amp;search_scope=EVERYTHING&amp;vid=01CRU&amp;lang=en_US&amp;offset=0&amp;query=any,contains,991003869149702656","Catalog Record")</f>
        <v>Catalog Record</v>
      </c>
      <c r="AV1125" s="9" t="str">
        <f aca="false">HYPERLINK("http://www.worldcat.org/oclc/1687287","WorldCat Record")</f>
        <v>WorldCat Record</v>
      </c>
      <c r="AW1125" s="6" t="s">
        <v>7771</v>
      </c>
      <c r="AX1125" s="6" t="s">
        <v>7782</v>
      </c>
      <c r="AY1125" s="6" t="s">
        <v>7783</v>
      </c>
      <c r="AZ1125" s="6" t="s">
        <v>7783</v>
      </c>
      <c r="BA1125" s="6" t="s">
        <v>7784</v>
      </c>
      <c r="BB1125" s="28"/>
      <c r="BC1125" s="6" t="s">
        <v>7785</v>
      </c>
      <c r="BE1125" s="15" t="s">
        <v>2145</v>
      </c>
      <c r="BF1125" s="6" t="s">
        <v>7786</v>
      </c>
    </row>
    <row r="1126" customFormat="false" ht="117" hidden="false" customHeight="false" outlineLevel="0" collapsed="false">
      <c r="A1126" s="26" t="s">
        <v>63</v>
      </c>
      <c r="B1126" s="27" t="s">
        <v>2129</v>
      </c>
      <c r="C1126" s="27" t="s">
        <v>2130</v>
      </c>
      <c r="D1126" s="27" t="s">
        <v>7787</v>
      </c>
      <c r="E1126" s="27" t="s">
        <v>7788</v>
      </c>
      <c r="F1126" s="27" t="s">
        <v>7789</v>
      </c>
      <c r="G1126" s="28"/>
      <c r="H1126" s="6" t="s">
        <v>63</v>
      </c>
      <c r="I1126" s="6" t="s">
        <v>62</v>
      </c>
      <c r="J1126" s="6" t="s">
        <v>63</v>
      </c>
      <c r="K1126" s="6" t="s">
        <v>63</v>
      </c>
      <c r="L1126" s="6" t="s">
        <v>64</v>
      </c>
      <c r="M1126" s="27" t="s">
        <v>2960</v>
      </c>
      <c r="N1126" s="27" t="s">
        <v>7790</v>
      </c>
      <c r="O1126" s="6" t="s">
        <v>3094</v>
      </c>
      <c r="P1126" s="28"/>
      <c r="Q1126" s="6" t="s">
        <v>67</v>
      </c>
      <c r="R1126" s="6" t="s">
        <v>384</v>
      </c>
      <c r="S1126" s="27" t="s">
        <v>3030</v>
      </c>
      <c r="T1126" s="6" t="s">
        <v>6138</v>
      </c>
      <c r="U1126" s="7" t="n">
        <v>1</v>
      </c>
      <c r="V1126" s="7" t="n">
        <v>1</v>
      </c>
      <c r="W1126" s="8" t="s">
        <v>2597</v>
      </c>
      <c r="X1126" s="8" t="s">
        <v>2597</v>
      </c>
      <c r="Y1126" s="8" t="s">
        <v>7722</v>
      </c>
      <c r="Z1126" s="8" t="s">
        <v>7722</v>
      </c>
      <c r="AA1126" s="7" t="n">
        <v>144</v>
      </c>
      <c r="AB1126" s="7" t="n">
        <v>37</v>
      </c>
      <c r="AC1126" s="7" t="n">
        <v>352</v>
      </c>
      <c r="AD1126" s="7" t="n">
        <v>1</v>
      </c>
      <c r="AE1126" s="7" t="n">
        <v>1</v>
      </c>
      <c r="AF1126" s="7" t="n">
        <v>2</v>
      </c>
      <c r="AG1126" s="7" t="n">
        <v>15</v>
      </c>
      <c r="AH1126" s="7" t="n">
        <v>0</v>
      </c>
      <c r="AI1126" s="7" t="n">
        <v>4</v>
      </c>
      <c r="AJ1126" s="7" t="n">
        <v>0</v>
      </c>
      <c r="AK1126" s="7" t="n">
        <v>3</v>
      </c>
      <c r="AL1126" s="7" t="n">
        <v>2</v>
      </c>
      <c r="AM1126" s="7" t="n">
        <v>11</v>
      </c>
      <c r="AN1126" s="7" t="n">
        <v>0</v>
      </c>
      <c r="AO1126" s="7" t="n">
        <v>0</v>
      </c>
      <c r="AP1126" s="7" t="n">
        <v>0</v>
      </c>
      <c r="AQ1126" s="7" t="n">
        <v>0</v>
      </c>
      <c r="AR1126" s="6" t="s">
        <v>63</v>
      </c>
      <c r="AS1126" s="6" t="s">
        <v>63</v>
      </c>
      <c r="AT1126" s="28"/>
      <c r="AU1126" s="9" t="str">
        <f aca="false">HYPERLINK("https://creighton-primo.hosted.exlibrisgroup.com/primo-explore/search?tab=default_tab&amp;search_scope=EVERYTHING&amp;vid=01CRU&amp;lang=en_US&amp;offset=0&amp;query=any,contains,991001228509702656","Catalog Record")</f>
        <v>Catalog Record</v>
      </c>
      <c r="AV1126" s="9" t="str">
        <f aca="false">HYPERLINK("http://www.worldcat.org/oclc/17518361","WorldCat Record")</f>
        <v>WorldCat Record</v>
      </c>
      <c r="AW1126" s="6" t="s">
        <v>7791</v>
      </c>
      <c r="AX1126" s="6" t="s">
        <v>7792</v>
      </c>
      <c r="AY1126" s="6" t="s">
        <v>7793</v>
      </c>
      <c r="AZ1126" s="6" t="s">
        <v>7793</v>
      </c>
      <c r="BA1126" s="6" t="s">
        <v>7794</v>
      </c>
      <c r="BB1126" s="28"/>
      <c r="BC1126" s="6" t="s">
        <v>7795</v>
      </c>
      <c r="BE1126" s="15" t="s">
        <v>2145</v>
      </c>
      <c r="BF1126" s="6" t="s">
        <v>7796</v>
      </c>
    </row>
    <row r="1127" customFormat="false" ht="105.5" hidden="false" customHeight="false" outlineLevel="0" collapsed="false">
      <c r="A1127" s="26" t="s">
        <v>63</v>
      </c>
      <c r="B1127" s="27" t="s">
        <v>2129</v>
      </c>
      <c r="C1127" s="27" t="s">
        <v>2130</v>
      </c>
      <c r="D1127" s="27" t="s">
        <v>7797</v>
      </c>
      <c r="E1127" s="27" t="s">
        <v>7798</v>
      </c>
      <c r="F1127" s="27" t="s">
        <v>7799</v>
      </c>
      <c r="G1127" s="28"/>
      <c r="H1127" s="6" t="s">
        <v>63</v>
      </c>
      <c r="I1127" s="6" t="s">
        <v>62</v>
      </c>
      <c r="J1127" s="6" t="s">
        <v>63</v>
      </c>
      <c r="K1127" s="6" t="s">
        <v>63</v>
      </c>
      <c r="L1127" s="6" t="s">
        <v>64</v>
      </c>
      <c r="M1127" s="27" t="s">
        <v>7800</v>
      </c>
      <c r="N1127" s="27" t="s">
        <v>7801</v>
      </c>
      <c r="O1127" s="6" t="s">
        <v>2811</v>
      </c>
      <c r="P1127" s="28"/>
      <c r="Q1127" s="6" t="s">
        <v>67</v>
      </c>
      <c r="R1127" s="6" t="s">
        <v>401</v>
      </c>
      <c r="S1127" s="28"/>
      <c r="T1127" s="6" t="s">
        <v>6138</v>
      </c>
      <c r="U1127" s="7" t="n">
        <v>2</v>
      </c>
      <c r="V1127" s="7" t="n">
        <v>2</v>
      </c>
      <c r="W1127" s="8" t="s">
        <v>7802</v>
      </c>
      <c r="X1127" s="8" t="s">
        <v>7802</v>
      </c>
      <c r="Y1127" s="8" t="s">
        <v>7722</v>
      </c>
      <c r="Z1127" s="8" t="s">
        <v>7722</v>
      </c>
      <c r="AA1127" s="7" t="n">
        <v>420</v>
      </c>
      <c r="AB1127" s="7" t="n">
        <v>345</v>
      </c>
      <c r="AC1127" s="7" t="n">
        <v>347</v>
      </c>
      <c r="AD1127" s="7" t="n">
        <v>4</v>
      </c>
      <c r="AE1127" s="7" t="n">
        <v>4</v>
      </c>
      <c r="AF1127" s="7" t="n">
        <v>16</v>
      </c>
      <c r="AG1127" s="7" t="n">
        <v>16</v>
      </c>
      <c r="AH1127" s="7" t="n">
        <v>2</v>
      </c>
      <c r="AI1127" s="7" t="n">
        <v>2</v>
      </c>
      <c r="AJ1127" s="7" t="n">
        <v>4</v>
      </c>
      <c r="AK1127" s="7" t="n">
        <v>4</v>
      </c>
      <c r="AL1127" s="7" t="n">
        <v>8</v>
      </c>
      <c r="AM1127" s="7" t="n">
        <v>8</v>
      </c>
      <c r="AN1127" s="7" t="n">
        <v>3</v>
      </c>
      <c r="AO1127" s="7" t="n">
        <v>3</v>
      </c>
      <c r="AP1127" s="7" t="n">
        <v>0</v>
      </c>
      <c r="AQ1127" s="7" t="n">
        <v>0</v>
      </c>
      <c r="AR1127" s="6" t="s">
        <v>63</v>
      </c>
      <c r="AS1127" s="6" t="s">
        <v>57</v>
      </c>
      <c r="AT1127" s="9" t="str">
        <f aca="false">HYPERLINK("http://catalog.hathitrust.org/Record/001383858","HathiTrust Record")</f>
        <v>HathiTrust Record</v>
      </c>
      <c r="AU1127" s="9" t="str">
        <f aca="false">HYPERLINK("https://creighton-primo.hosted.exlibrisgroup.com/primo-explore/search?tab=default_tab&amp;search_scope=EVERYTHING&amp;vid=01CRU&amp;lang=en_US&amp;offset=0&amp;query=any,contains,991000926789702656","Catalog Record")</f>
        <v>Catalog Record</v>
      </c>
      <c r="AV1127" s="9" t="str">
        <f aca="false">HYPERLINK("http://www.worldcat.org/oclc/163679","WorldCat Record")</f>
        <v>WorldCat Record</v>
      </c>
      <c r="AW1127" s="6" t="s">
        <v>7803</v>
      </c>
      <c r="AX1127" s="6" t="s">
        <v>7804</v>
      </c>
      <c r="AY1127" s="6" t="s">
        <v>7805</v>
      </c>
      <c r="AZ1127" s="6" t="s">
        <v>7805</v>
      </c>
      <c r="BA1127" s="6" t="s">
        <v>7806</v>
      </c>
      <c r="BB1127" s="6" t="s">
        <v>7807</v>
      </c>
      <c r="BC1127" s="6" t="s">
        <v>7808</v>
      </c>
      <c r="BE1127" s="15" t="s">
        <v>2145</v>
      </c>
      <c r="BF1127" s="6" t="s">
        <v>7809</v>
      </c>
    </row>
    <row r="1128" customFormat="false" ht="140" hidden="false" customHeight="false" outlineLevel="0" collapsed="false">
      <c r="A1128" s="26" t="s">
        <v>63</v>
      </c>
      <c r="B1128" s="27" t="s">
        <v>2129</v>
      </c>
      <c r="C1128" s="27" t="s">
        <v>2130</v>
      </c>
      <c r="D1128" s="27" t="s">
        <v>7810</v>
      </c>
      <c r="E1128" s="27" t="s">
        <v>7811</v>
      </c>
      <c r="F1128" s="27" t="s">
        <v>7812</v>
      </c>
      <c r="G1128" s="28"/>
      <c r="H1128" s="6" t="s">
        <v>63</v>
      </c>
      <c r="I1128" s="6" t="s">
        <v>62</v>
      </c>
      <c r="J1128" s="6" t="s">
        <v>63</v>
      </c>
      <c r="K1128" s="6" t="s">
        <v>57</v>
      </c>
      <c r="L1128" s="6" t="s">
        <v>64</v>
      </c>
      <c r="M1128" s="27" t="s">
        <v>7813</v>
      </c>
      <c r="N1128" s="27" t="s">
        <v>7814</v>
      </c>
      <c r="O1128" s="6" t="s">
        <v>122</v>
      </c>
      <c r="P1128" s="28"/>
      <c r="Q1128" s="6" t="s">
        <v>67</v>
      </c>
      <c r="R1128" s="6" t="s">
        <v>1093</v>
      </c>
      <c r="S1128" s="27" t="s">
        <v>7815</v>
      </c>
      <c r="T1128" s="6" t="s">
        <v>6138</v>
      </c>
      <c r="U1128" s="7" t="n">
        <v>3</v>
      </c>
      <c r="V1128" s="7" t="n">
        <v>3</v>
      </c>
      <c r="W1128" s="8" t="s">
        <v>7816</v>
      </c>
      <c r="X1128" s="8" t="s">
        <v>7816</v>
      </c>
      <c r="Y1128" s="8" t="s">
        <v>4487</v>
      </c>
      <c r="Z1128" s="8" t="s">
        <v>4487</v>
      </c>
      <c r="AA1128" s="7" t="n">
        <v>525</v>
      </c>
      <c r="AB1128" s="7" t="n">
        <v>408</v>
      </c>
      <c r="AC1128" s="7" t="n">
        <v>463</v>
      </c>
      <c r="AD1128" s="7" t="n">
        <v>3</v>
      </c>
      <c r="AE1128" s="7" t="n">
        <v>3</v>
      </c>
      <c r="AF1128" s="7" t="n">
        <v>22</v>
      </c>
      <c r="AG1128" s="7" t="n">
        <v>30</v>
      </c>
      <c r="AH1128" s="7" t="n">
        <v>8</v>
      </c>
      <c r="AI1128" s="7" t="n">
        <v>12</v>
      </c>
      <c r="AJ1128" s="7" t="n">
        <v>5</v>
      </c>
      <c r="AK1128" s="7" t="n">
        <v>8</v>
      </c>
      <c r="AL1128" s="7" t="n">
        <v>14</v>
      </c>
      <c r="AM1128" s="7" t="n">
        <v>18</v>
      </c>
      <c r="AN1128" s="7" t="n">
        <v>2</v>
      </c>
      <c r="AO1128" s="7" t="n">
        <v>2</v>
      </c>
      <c r="AP1128" s="7" t="n">
        <v>0</v>
      </c>
      <c r="AQ1128" s="7" t="n">
        <v>0</v>
      </c>
      <c r="AR1128" s="6" t="s">
        <v>63</v>
      </c>
      <c r="AS1128" s="6" t="s">
        <v>57</v>
      </c>
      <c r="AT1128" s="9" t="str">
        <f aca="false">HYPERLINK("http://catalog.hathitrust.org/Record/001383863","HathiTrust Record")</f>
        <v>HathiTrust Record</v>
      </c>
      <c r="AU1128" s="9" t="str">
        <f aca="false">HYPERLINK("https://creighton-primo.hosted.exlibrisgroup.com/primo-explore/search?tab=default_tab&amp;search_scope=EVERYTHING&amp;vid=01CRU&amp;lang=en_US&amp;offset=0&amp;query=any,contains,991002564649702656","Catalog Record")</f>
        <v>Catalog Record</v>
      </c>
      <c r="AV1128" s="9" t="str">
        <f aca="false">HYPERLINK("http://www.worldcat.org/oclc/372335","WorldCat Record")</f>
        <v>WorldCat Record</v>
      </c>
      <c r="AW1128" s="6" t="s">
        <v>7817</v>
      </c>
      <c r="AX1128" s="6" t="s">
        <v>7818</v>
      </c>
      <c r="AY1128" s="6" t="s">
        <v>7819</v>
      </c>
      <c r="AZ1128" s="6" t="s">
        <v>7819</v>
      </c>
      <c r="BA1128" s="6" t="s">
        <v>7820</v>
      </c>
      <c r="BB1128" s="28"/>
      <c r="BC1128" s="6" t="s">
        <v>7821</v>
      </c>
      <c r="BE1128" s="15" t="s">
        <v>2145</v>
      </c>
      <c r="BF1128" s="6" t="s">
        <v>7822</v>
      </c>
    </row>
    <row r="1129" customFormat="false" ht="94" hidden="false" customHeight="false" outlineLevel="0" collapsed="false">
      <c r="A1129" s="26" t="s">
        <v>57</v>
      </c>
      <c r="B1129" s="27" t="s">
        <v>2129</v>
      </c>
      <c r="C1129" s="27" t="s">
        <v>2130</v>
      </c>
      <c r="D1129" s="27" t="s">
        <v>7823</v>
      </c>
      <c r="E1129" s="27" t="s">
        <v>7824</v>
      </c>
      <c r="F1129" s="27" t="s">
        <v>7825</v>
      </c>
      <c r="G1129" s="28"/>
      <c r="H1129" s="6" t="s">
        <v>63</v>
      </c>
      <c r="I1129" s="6" t="s">
        <v>62</v>
      </c>
      <c r="J1129" s="6" t="s">
        <v>63</v>
      </c>
      <c r="K1129" s="6" t="s">
        <v>63</v>
      </c>
      <c r="L1129" s="6" t="s">
        <v>64</v>
      </c>
      <c r="M1129" s="27" t="s">
        <v>7826</v>
      </c>
      <c r="N1129" s="27" t="s">
        <v>7827</v>
      </c>
      <c r="O1129" s="6" t="s">
        <v>2315</v>
      </c>
      <c r="P1129" s="28"/>
      <c r="Q1129" s="6" t="s">
        <v>67</v>
      </c>
      <c r="R1129" s="6" t="s">
        <v>384</v>
      </c>
      <c r="S1129" s="27" t="s">
        <v>6299</v>
      </c>
      <c r="T1129" s="6" t="s">
        <v>6138</v>
      </c>
      <c r="U1129" s="7" t="n">
        <v>4</v>
      </c>
      <c r="V1129" s="7" t="n">
        <v>4</v>
      </c>
      <c r="W1129" s="8" t="s">
        <v>7828</v>
      </c>
      <c r="X1129" s="8" t="s">
        <v>7828</v>
      </c>
      <c r="Y1129" s="8" t="s">
        <v>7403</v>
      </c>
      <c r="Z1129" s="8" t="s">
        <v>7403</v>
      </c>
      <c r="AA1129" s="7" t="n">
        <v>550</v>
      </c>
      <c r="AB1129" s="7" t="n">
        <v>387</v>
      </c>
      <c r="AC1129" s="7" t="n">
        <v>410</v>
      </c>
      <c r="AD1129" s="7" t="n">
        <v>2</v>
      </c>
      <c r="AE1129" s="7" t="n">
        <v>2</v>
      </c>
      <c r="AF1129" s="7" t="n">
        <v>25</v>
      </c>
      <c r="AG1129" s="7" t="n">
        <v>25</v>
      </c>
      <c r="AH1129" s="7" t="n">
        <v>10</v>
      </c>
      <c r="AI1129" s="7" t="n">
        <v>10</v>
      </c>
      <c r="AJ1129" s="7" t="n">
        <v>8</v>
      </c>
      <c r="AK1129" s="7" t="n">
        <v>8</v>
      </c>
      <c r="AL1129" s="7" t="n">
        <v>17</v>
      </c>
      <c r="AM1129" s="7" t="n">
        <v>17</v>
      </c>
      <c r="AN1129" s="7" t="n">
        <v>1</v>
      </c>
      <c r="AO1129" s="7" t="n">
        <v>1</v>
      </c>
      <c r="AP1129" s="7" t="n">
        <v>0</v>
      </c>
      <c r="AQ1129" s="7" t="n">
        <v>0</v>
      </c>
      <c r="AR1129" s="6" t="s">
        <v>63</v>
      </c>
      <c r="AS1129" s="6" t="s">
        <v>57</v>
      </c>
      <c r="AT1129" s="9" t="str">
        <f aca="false">HYPERLINK("http://catalog.hathitrust.org/Record/004464148","HathiTrust Record")</f>
        <v>HathiTrust Record</v>
      </c>
      <c r="AU1129" s="9" t="str">
        <f aca="false">HYPERLINK("https://creighton-primo.hosted.exlibrisgroup.com/primo-explore/search?tab=default_tab&amp;search_scope=EVERYTHING&amp;vid=01CRU&amp;lang=en_US&amp;offset=0&amp;query=any,contains,991000471119702656","Catalog Record")</f>
        <v>Catalog Record</v>
      </c>
      <c r="AV1129" s="9" t="str">
        <f aca="false">HYPERLINK("http://www.worldcat.org/oclc/10997206","WorldCat Record")</f>
        <v>WorldCat Record</v>
      </c>
      <c r="AW1129" s="6" t="s">
        <v>7829</v>
      </c>
      <c r="AX1129" s="6" t="s">
        <v>7830</v>
      </c>
      <c r="AY1129" s="6" t="s">
        <v>7831</v>
      </c>
      <c r="AZ1129" s="6" t="s">
        <v>7831</v>
      </c>
      <c r="BA1129" s="6" t="s">
        <v>7832</v>
      </c>
      <c r="BB1129" s="6" t="s">
        <v>7833</v>
      </c>
      <c r="BC1129" s="6" t="s">
        <v>7834</v>
      </c>
      <c r="BE1129" s="15" t="s">
        <v>2145</v>
      </c>
      <c r="BF1129" s="6" t="s">
        <v>7835</v>
      </c>
    </row>
    <row r="1130" customFormat="false" ht="82.5" hidden="false" customHeight="false" outlineLevel="0" collapsed="false">
      <c r="A1130" s="26" t="s">
        <v>63</v>
      </c>
      <c r="B1130" s="27" t="s">
        <v>2129</v>
      </c>
      <c r="C1130" s="27" t="s">
        <v>2130</v>
      </c>
      <c r="D1130" s="27" t="s">
        <v>7836</v>
      </c>
      <c r="E1130" s="27" t="s">
        <v>7837</v>
      </c>
      <c r="F1130" s="27" t="s">
        <v>7838</v>
      </c>
      <c r="G1130" s="28"/>
      <c r="H1130" s="6" t="s">
        <v>63</v>
      </c>
      <c r="I1130" s="6" t="s">
        <v>62</v>
      </c>
      <c r="J1130" s="6" t="s">
        <v>63</v>
      </c>
      <c r="K1130" s="6" t="s">
        <v>63</v>
      </c>
      <c r="L1130" s="6" t="s">
        <v>64</v>
      </c>
      <c r="M1130" s="27" t="s">
        <v>7839</v>
      </c>
      <c r="N1130" s="27" t="s">
        <v>7840</v>
      </c>
      <c r="O1130" s="6" t="s">
        <v>3648</v>
      </c>
      <c r="P1130" s="28"/>
      <c r="Q1130" s="6" t="s">
        <v>67</v>
      </c>
      <c r="R1130" s="6" t="s">
        <v>123</v>
      </c>
      <c r="S1130" s="28"/>
      <c r="T1130" s="6" t="s">
        <v>6138</v>
      </c>
      <c r="U1130" s="7" t="n">
        <v>2</v>
      </c>
      <c r="V1130" s="7" t="n">
        <v>2</v>
      </c>
      <c r="W1130" s="8" t="s">
        <v>7841</v>
      </c>
      <c r="X1130" s="8" t="s">
        <v>7841</v>
      </c>
      <c r="Y1130" s="8" t="s">
        <v>7722</v>
      </c>
      <c r="Z1130" s="8" t="s">
        <v>7722</v>
      </c>
      <c r="AA1130" s="7" t="n">
        <v>564</v>
      </c>
      <c r="AB1130" s="7" t="n">
        <v>446</v>
      </c>
      <c r="AC1130" s="7" t="n">
        <v>650</v>
      </c>
      <c r="AD1130" s="7" t="n">
        <v>3</v>
      </c>
      <c r="AE1130" s="7" t="n">
        <v>3</v>
      </c>
      <c r="AF1130" s="7" t="n">
        <v>26</v>
      </c>
      <c r="AG1130" s="7" t="n">
        <v>32</v>
      </c>
      <c r="AH1130" s="7" t="n">
        <v>11</v>
      </c>
      <c r="AI1130" s="7" t="n">
        <v>15</v>
      </c>
      <c r="AJ1130" s="7" t="n">
        <v>5</v>
      </c>
      <c r="AK1130" s="7" t="n">
        <v>7</v>
      </c>
      <c r="AL1130" s="7" t="n">
        <v>15</v>
      </c>
      <c r="AM1130" s="7" t="n">
        <v>18</v>
      </c>
      <c r="AN1130" s="7" t="n">
        <v>2</v>
      </c>
      <c r="AO1130" s="7" t="n">
        <v>2</v>
      </c>
      <c r="AP1130" s="7" t="n">
        <v>0</v>
      </c>
      <c r="AQ1130" s="7" t="n">
        <v>0</v>
      </c>
      <c r="AR1130" s="6" t="s">
        <v>63</v>
      </c>
      <c r="AS1130" s="6" t="s">
        <v>57</v>
      </c>
      <c r="AT1130" s="9" t="str">
        <f aca="false">HYPERLINK("http://catalog.hathitrust.org/Record/001383865","HathiTrust Record")</f>
        <v>HathiTrust Record</v>
      </c>
      <c r="AU1130" s="9" t="str">
        <f aca="false">HYPERLINK("https://creighton-primo.hosted.exlibrisgroup.com/primo-explore/search?tab=default_tab&amp;search_scope=EVERYTHING&amp;vid=01CRU&amp;lang=en_US&amp;offset=0&amp;query=any,contains,991003814359702656","Catalog Record")</f>
        <v>Catalog Record</v>
      </c>
      <c r="AV1130" s="9" t="str">
        <f aca="false">HYPERLINK("http://www.worldcat.org/oclc/1544646","WorldCat Record")</f>
        <v>WorldCat Record</v>
      </c>
      <c r="AW1130" s="6" t="s">
        <v>7842</v>
      </c>
      <c r="AX1130" s="6" t="s">
        <v>7843</v>
      </c>
      <c r="AY1130" s="6" t="s">
        <v>7844</v>
      </c>
      <c r="AZ1130" s="6" t="s">
        <v>7844</v>
      </c>
      <c r="BA1130" s="6" t="s">
        <v>7845</v>
      </c>
      <c r="BB1130" s="28"/>
      <c r="BC1130" s="6" t="s">
        <v>7846</v>
      </c>
      <c r="BE1130" s="15" t="s">
        <v>2145</v>
      </c>
      <c r="BF1130" s="6" t="s">
        <v>7847</v>
      </c>
    </row>
    <row r="1131" customFormat="false" ht="94" hidden="false" customHeight="false" outlineLevel="0" collapsed="false">
      <c r="A1131" s="26" t="s">
        <v>57</v>
      </c>
      <c r="B1131" s="27" t="s">
        <v>2129</v>
      </c>
      <c r="C1131" s="27" t="s">
        <v>2130</v>
      </c>
      <c r="D1131" s="27" t="s">
        <v>7848</v>
      </c>
      <c r="E1131" s="27" t="s">
        <v>7849</v>
      </c>
      <c r="F1131" s="27" t="s">
        <v>7850</v>
      </c>
      <c r="G1131" s="28"/>
      <c r="H1131" s="6" t="s">
        <v>63</v>
      </c>
      <c r="I1131" s="6" t="s">
        <v>62</v>
      </c>
      <c r="J1131" s="6" t="s">
        <v>63</v>
      </c>
      <c r="K1131" s="6" t="s">
        <v>63</v>
      </c>
      <c r="L1131" s="6" t="s">
        <v>64</v>
      </c>
      <c r="M1131" s="27" t="s">
        <v>7851</v>
      </c>
      <c r="N1131" s="27" t="s">
        <v>7852</v>
      </c>
      <c r="O1131" s="6" t="s">
        <v>2623</v>
      </c>
      <c r="P1131" s="27" t="s">
        <v>4146</v>
      </c>
      <c r="Q1131" s="6" t="s">
        <v>67</v>
      </c>
      <c r="R1131" s="6" t="s">
        <v>384</v>
      </c>
      <c r="S1131" s="28"/>
      <c r="T1131" s="6" t="s">
        <v>6138</v>
      </c>
      <c r="U1131" s="7" t="n">
        <v>5</v>
      </c>
      <c r="V1131" s="7" t="n">
        <v>5</v>
      </c>
      <c r="W1131" s="8" t="s">
        <v>7853</v>
      </c>
      <c r="X1131" s="8" t="s">
        <v>7853</v>
      </c>
      <c r="Y1131" s="8" t="s">
        <v>7722</v>
      </c>
      <c r="Z1131" s="8" t="s">
        <v>7722</v>
      </c>
      <c r="AA1131" s="7" t="n">
        <v>499</v>
      </c>
      <c r="AB1131" s="7" t="n">
        <v>378</v>
      </c>
      <c r="AC1131" s="7" t="n">
        <v>1076</v>
      </c>
      <c r="AD1131" s="7" t="n">
        <v>3</v>
      </c>
      <c r="AE1131" s="7" t="n">
        <v>11</v>
      </c>
      <c r="AF1131" s="7" t="n">
        <v>22</v>
      </c>
      <c r="AG1131" s="7" t="n">
        <v>60</v>
      </c>
      <c r="AH1131" s="7" t="n">
        <v>11</v>
      </c>
      <c r="AI1131" s="7" t="n">
        <v>27</v>
      </c>
      <c r="AJ1131" s="7" t="n">
        <v>4</v>
      </c>
      <c r="AK1131" s="7" t="n">
        <v>10</v>
      </c>
      <c r="AL1131" s="7" t="n">
        <v>12</v>
      </c>
      <c r="AM1131" s="7" t="n">
        <v>25</v>
      </c>
      <c r="AN1131" s="7" t="n">
        <v>1</v>
      </c>
      <c r="AO1131" s="7" t="n">
        <v>8</v>
      </c>
      <c r="AP1131" s="7" t="n">
        <v>0</v>
      </c>
      <c r="AQ1131" s="7" t="n">
        <v>4</v>
      </c>
      <c r="AR1131" s="6" t="s">
        <v>63</v>
      </c>
      <c r="AS1131" s="6" t="s">
        <v>57</v>
      </c>
      <c r="AT1131" s="9" t="str">
        <f aca="false">HYPERLINK("http://catalog.hathitrust.org/Record/000023704","HathiTrust Record")</f>
        <v>HathiTrust Record</v>
      </c>
      <c r="AU1131" s="9" t="str">
        <f aca="false">HYPERLINK("https://creighton-primo.hosted.exlibrisgroup.com/primo-explore/search?tab=default_tab&amp;search_scope=EVERYTHING&amp;vid=01CRU&amp;lang=en_US&amp;offset=0&amp;query=any,contains,991004696589702656","Catalog Record")</f>
        <v>Catalog Record</v>
      </c>
      <c r="AV1131" s="9" t="str">
        <f aca="false">HYPERLINK("http://www.worldcat.org/oclc/4642088","WorldCat Record")</f>
        <v>WorldCat Record</v>
      </c>
      <c r="AW1131" s="6" t="s">
        <v>7854</v>
      </c>
      <c r="AX1131" s="6" t="s">
        <v>7855</v>
      </c>
      <c r="AY1131" s="6" t="s">
        <v>7856</v>
      </c>
      <c r="AZ1131" s="6" t="s">
        <v>7856</v>
      </c>
      <c r="BA1131" s="6" t="s">
        <v>7857</v>
      </c>
      <c r="BB1131" s="6" t="s">
        <v>7858</v>
      </c>
      <c r="BC1131" s="6" t="s">
        <v>7859</v>
      </c>
      <c r="BE1131" s="15" t="s">
        <v>2145</v>
      </c>
      <c r="BF1131" s="6" t="s">
        <v>7860</v>
      </c>
    </row>
    <row r="1132" customFormat="false" ht="163" hidden="false" customHeight="false" outlineLevel="0" collapsed="false">
      <c r="A1132" s="26" t="s">
        <v>63</v>
      </c>
      <c r="B1132" s="27" t="s">
        <v>2129</v>
      </c>
      <c r="C1132" s="27" t="s">
        <v>2130</v>
      </c>
      <c r="D1132" s="27" t="s">
        <v>7861</v>
      </c>
      <c r="E1132" s="27" t="s">
        <v>7862</v>
      </c>
      <c r="F1132" s="27" t="s">
        <v>7863</v>
      </c>
      <c r="G1132" s="28"/>
      <c r="H1132" s="6" t="s">
        <v>63</v>
      </c>
      <c r="I1132" s="6" t="s">
        <v>62</v>
      </c>
      <c r="J1132" s="6" t="s">
        <v>63</v>
      </c>
      <c r="K1132" s="6" t="s">
        <v>63</v>
      </c>
      <c r="L1132" s="6" t="s">
        <v>64</v>
      </c>
      <c r="M1132" s="27" t="s">
        <v>7864</v>
      </c>
      <c r="N1132" s="27" t="s">
        <v>7865</v>
      </c>
      <c r="O1132" s="6" t="s">
        <v>167</v>
      </c>
      <c r="P1132" s="28"/>
      <c r="Q1132" s="6" t="s">
        <v>67</v>
      </c>
      <c r="R1132" s="6" t="s">
        <v>384</v>
      </c>
      <c r="S1132" s="27" t="s">
        <v>7866</v>
      </c>
      <c r="T1132" s="6" t="s">
        <v>6138</v>
      </c>
      <c r="U1132" s="7" t="n">
        <v>1</v>
      </c>
      <c r="V1132" s="7" t="n">
        <v>1</v>
      </c>
      <c r="W1132" s="8" t="s">
        <v>7867</v>
      </c>
      <c r="X1132" s="8" t="s">
        <v>7867</v>
      </c>
      <c r="Y1132" s="8" t="s">
        <v>7722</v>
      </c>
      <c r="Z1132" s="8" t="s">
        <v>7722</v>
      </c>
      <c r="AA1132" s="7" t="n">
        <v>588</v>
      </c>
      <c r="AB1132" s="7" t="n">
        <v>439</v>
      </c>
      <c r="AC1132" s="7" t="n">
        <v>448</v>
      </c>
      <c r="AD1132" s="7" t="n">
        <v>3</v>
      </c>
      <c r="AE1132" s="7" t="n">
        <v>3</v>
      </c>
      <c r="AF1132" s="7" t="n">
        <v>25</v>
      </c>
      <c r="AG1132" s="7" t="n">
        <v>25</v>
      </c>
      <c r="AH1132" s="7" t="n">
        <v>11</v>
      </c>
      <c r="AI1132" s="7" t="n">
        <v>11</v>
      </c>
      <c r="AJ1132" s="7" t="n">
        <v>8</v>
      </c>
      <c r="AK1132" s="7" t="n">
        <v>8</v>
      </c>
      <c r="AL1132" s="7" t="n">
        <v>14</v>
      </c>
      <c r="AM1132" s="7" t="n">
        <v>14</v>
      </c>
      <c r="AN1132" s="7" t="n">
        <v>2</v>
      </c>
      <c r="AO1132" s="7" t="n">
        <v>2</v>
      </c>
      <c r="AP1132" s="7" t="n">
        <v>0</v>
      </c>
      <c r="AQ1132" s="7" t="n">
        <v>0</v>
      </c>
      <c r="AR1132" s="6" t="s">
        <v>63</v>
      </c>
      <c r="AS1132" s="6" t="s">
        <v>57</v>
      </c>
      <c r="AT1132" s="9" t="str">
        <f aca="false">HYPERLINK("http://catalog.hathitrust.org/Record/001395916","HathiTrust Record")</f>
        <v>HathiTrust Record</v>
      </c>
      <c r="AU1132" s="9" t="str">
        <f aca="false">HYPERLINK("https://creighton-primo.hosted.exlibrisgroup.com/primo-explore/search?tab=default_tab&amp;search_scope=EVERYTHING&amp;vid=01CRU&amp;lang=en_US&amp;offset=0&amp;query=any,contains,991001036989702656","Catalog Record")</f>
        <v>Catalog Record</v>
      </c>
      <c r="AV1132" s="9" t="str">
        <f aca="false">HYPERLINK("http://www.worldcat.org/oclc/175671","WorldCat Record")</f>
        <v>WorldCat Record</v>
      </c>
      <c r="AW1132" s="6" t="s">
        <v>7868</v>
      </c>
      <c r="AX1132" s="6" t="s">
        <v>7869</v>
      </c>
      <c r="AY1132" s="6" t="s">
        <v>7870</v>
      </c>
      <c r="AZ1132" s="6" t="s">
        <v>7870</v>
      </c>
      <c r="BA1132" s="6" t="s">
        <v>7871</v>
      </c>
      <c r="BB1132" s="28"/>
      <c r="BC1132" s="6" t="s">
        <v>7872</v>
      </c>
      <c r="BE1132" s="15" t="s">
        <v>2145</v>
      </c>
      <c r="BF1132" s="6" t="s">
        <v>7873</v>
      </c>
    </row>
    <row r="1133" customFormat="false" ht="151.5" hidden="false" customHeight="false" outlineLevel="0" collapsed="false">
      <c r="A1133" s="26" t="s">
        <v>63</v>
      </c>
      <c r="B1133" s="27" t="s">
        <v>2129</v>
      </c>
      <c r="C1133" s="27" t="s">
        <v>2130</v>
      </c>
      <c r="D1133" s="27" t="s">
        <v>7874</v>
      </c>
      <c r="E1133" s="27" t="s">
        <v>7875</v>
      </c>
      <c r="F1133" s="27" t="s">
        <v>7876</v>
      </c>
      <c r="G1133" s="28"/>
      <c r="H1133" s="6" t="s">
        <v>63</v>
      </c>
      <c r="I1133" s="6" t="s">
        <v>62</v>
      </c>
      <c r="J1133" s="6" t="s">
        <v>63</v>
      </c>
      <c r="K1133" s="6" t="s">
        <v>63</v>
      </c>
      <c r="L1133" s="6" t="s">
        <v>64</v>
      </c>
      <c r="M1133" s="27" t="s">
        <v>7877</v>
      </c>
      <c r="N1133" s="27" t="s">
        <v>7878</v>
      </c>
      <c r="O1133" s="6" t="s">
        <v>2623</v>
      </c>
      <c r="P1133" s="28"/>
      <c r="Q1133" s="6" t="s">
        <v>67</v>
      </c>
      <c r="R1133" s="6" t="s">
        <v>1224</v>
      </c>
      <c r="S1133" s="28"/>
      <c r="T1133" s="6" t="s">
        <v>6138</v>
      </c>
      <c r="U1133" s="7" t="n">
        <v>3</v>
      </c>
      <c r="V1133" s="7" t="n">
        <v>3</v>
      </c>
      <c r="W1133" s="8" t="s">
        <v>7879</v>
      </c>
      <c r="X1133" s="8" t="s">
        <v>7879</v>
      </c>
      <c r="Y1133" s="8" t="s">
        <v>7722</v>
      </c>
      <c r="Z1133" s="8" t="s">
        <v>7722</v>
      </c>
      <c r="AA1133" s="7" t="n">
        <v>221</v>
      </c>
      <c r="AB1133" s="7" t="n">
        <v>167</v>
      </c>
      <c r="AC1133" s="7" t="n">
        <v>172</v>
      </c>
      <c r="AD1133" s="7" t="n">
        <v>2</v>
      </c>
      <c r="AE1133" s="7" t="n">
        <v>2</v>
      </c>
      <c r="AF1133" s="7" t="n">
        <v>11</v>
      </c>
      <c r="AG1133" s="7" t="n">
        <v>11</v>
      </c>
      <c r="AH1133" s="7" t="n">
        <v>2</v>
      </c>
      <c r="AI1133" s="7" t="n">
        <v>2</v>
      </c>
      <c r="AJ1133" s="7" t="n">
        <v>5</v>
      </c>
      <c r="AK1133" s="7" t="n">
        <v>5</v>
      </c>
      <c r="AL1133" s="7" t="n">
        <v>7</v>
      </c>
      <c r="AM1133" s="7" t="n">
        <v>7</v>
      </c>
      <c r="AN1133" s="7" t="n">
        <v>1</v>
      </c>
      <c r="AO1133" s="7" t="n">
        <v>1</v>
      </c>
      <c r="AP1133" s="7" t="n">
        <v>0</v>
      </c>
      <c r="AQ1133" s="7" t="n">
        <v>0</v>
      </c>
      <c r="AR1133" s="6" t="s">
        <v>63</v>
      </c>
      <c r="AS1133" s="6" t="s">
        <v>63</v>
      </c>
      <c r="AT1133" s="28"/>
      <c r="AU1133" s="9" t="str">
        <f aca="false">HYPERLINK("https://creighton-primo.hosted.exlibrisgroup.com/primo-explore/search?tab=default_tab&amp;search_scope=EVERYTHING&amp;vid=01CRU&amp;lang=en_US&amp;offset=0&amp;query=any,contains,991005058579702656","Catalog Record")</f>
        <v>Catalog Record</v>
      </c>
      <c r="AV1133" s="9" t="str">
        <f aca="false">HYPERLINK("http://www.worldcat.org/oclc/6915336","WorldCat Record")</f>
        <v>WorldCat Record</v>
      </c>
      <c r="AW1133" s="6" t="s">
        <v>7880</v>
      </c>
      <c r="AX1133" s="6" t="s">
        <v>7881</v>
      </c>
      <c r="AY1133" s="6" t="s">
        <v>7882</v>
      </c>
      <c r="AZ1133" s="6" t="s">
        <v>7882</v>
      </c>
      <c r="BA1133" s="6" t="s">
        <v>7883</v>
      </c>
      <c r="BB1133" s="6" t="s">
        <v>7884</v>
      </c>
      <c r="BC1133" s="6" t="s">
        <v>7885</v>
      </c>
      <c r="BE1133" s="15" t="s">
        <v>2145</v>
      </c>
      <c r="BF1133" s="6" t="s">
        <v>7886</v>
      </c>
    </row>
    <row r="1134" customFormat="false" ht="71" hidden="false" customHeight="false" outlineLevel="0" collapsed="false">
      <c r="A1134" s="26" t="s">
        <v>63</v>
      </c>
      <c r="B1134" s="27" t="s">
        <v>2129</v>
      </c>
      <c r="C1134" s="27" t="s">
        <v>2130</v>
      </c>
      <c r="D1134" s="27" t="s">
        <v>7887</v>
      </c>
      <c r="E1134" s="27" t="s">
        <v>7888</v>
      </c>
      <c r="F1134" s="27" t="s">
        <v>7889</v>
      </c>
      <c r="G1134" s="28"/>
      <c r="H1134" s="6" t="s">
        <v>63</v>
      </c>
      <c r="I1134" s="6" t="s">
        <v>62</v>
      </c>
      <c r="J1134" s="6" t="s">
        <v>63</v>
      </c>
      <c r="K1134" s="6" t="s">
        <v>63</v>
      </c>
      <c r="L1134" s="6" t="s">
        <v>64</v>
      </c>
      <c r="M1134" s="27" t="s">
        <v>4315</v>
      </c>
      <c r="N1134" s="27" t="s">
        <v>7890</v>
      </c>
      <c r="O1134" s="6" t="s">
        <v>122</v>
      </c>
      <c r="P1134" s="27" t="s">
        <v>255</v>
      </c>
      <c r="Q1134" s="6" t="s">
        <v>67</v>
      </c>
      <c r="R1134" s="6" t="s">
        <v>68</v>
      </c>
      <c r="S1134" s="27" t="s">
        <v>7300</v>
      </c>
      <c r="T1134" s="6" t="s">
        <v>6138</v>
      </c>
      <c r="U1134" s="7" t="n">
        <v>4</v>
      </c>
      <c r="V1134" s="7" t="n">
        <v>4</v>
      </c>
      <c r="W1134" s="8" t="s">
        <v>7891</v>
      </c>
      <c r="X1134" s="8" t="s">
        <v>7891</v>
      </c>
      <c r="Y1134" s="8" t="s">
        <v>7722</v>
      </c>
      <c r="Z1134" s="8" t="s">
        <v>7722</v>
      </c>
      <c r="AA1134" s="7" t="n">
        <v>662</v>
      </c>
      <c r="AB1134" s="7" t="n">
        <v>581</v>
      </c>
      <c r="AC1134" s="7" t="n">
        <v>981</v>
      </c>
      <c r="AD1134" s="7" t="n">
        <v>3</v>
      </c>
      <c r="AE1134" s="7" t="n">
        <v>6</v>
      </c>
      <c r="AF1134" s="7" t="n">
        <v>35</v>
      </c>
      <c r="AG1134" s="7" t="n">
        <v>47</v>
      </c>
      <c r="AH1134" s="7" t="n">
        <v>13</v>
      </c>
      <c r="AI1134" s="7" t="n">
        <v>19</v>
      </c>
      <c r="AJ1134" s="7" t="n">
        <v>7</v>
      </c>
      <c r="AK1134" s="7" t="n">
        <v>9</v>
      </c>
      <c r="AL1134" s="7" t="n">
        <v>21</v>
      </c>
      <c r="AM1134" s="7" t="n">
        <v>25</v>
      </c>
      <c r="AN1134" s="7" t="n">
        <v>2</v>
      </c>
      <c r="AO1134" s="7" t="n">
        <v>5</v>
      </c>
      <c r="AP1134" s="7" t="n">
        <v>1</v>
      </c>
      <c r="AQ1134" s="7" t="n">
        <v>1</v>
      </c>
      <c r="AR1134" s="6" t="s">
        <v>63</v>
      </c>
      <c r="AS1134" s="6" t="s">
        <v>57</v>
      </c>
      <c r="AT1134" s="9" t="str">
        <f aca="false">HYPERLINK("http://catalog.hathitrust.org/Record/001383887","HathiTrust Record")</f>
        <v>HathiTrust Record</v>
      </c>
      <c r="AU1134" s="9" t="str">
        <f aca="false">HYPERLINK("https://creighton-primo.hosted.exlibrisgroup.com/primo-explore/search?tab=default_tab&amp;search_scope=EVERYTHING&amp;vid=01CRU&amp;lang=en_US&amp;offset=0&amp;query=any,contains,991002560479702656","Catalog Record")</f>
        <v>Catalog Record</v>
      </c>
      <c r="AV1134" s="9" t="str">
        <f aca="false">HYPERLINK("http://www.worldcat.org/oclc/371699","WorldCat Record")</f>
        <v>WorldCat Record</v>
      </c>
      <c r="AW1134" s="6" t="s">
        <v>7892</v>
      </c>
      <c r="AX1134" s="6" t="s">
        <v>7893</v>
      </c>
      <c r="AY1134" s="6" t="s">
        <v>7894</v>
      </c>
      <c r="AZ1134" s="6" t="s">
        <v>7894</v>
      </c>
      <c r="BA1134" s="6" t="s">
        <v>7895</v>
      </c>
      <c r="BB1134" s="28"/>
      <c r="BC1134" s="6" t="s">
        <v>7896</v>
      </c>
      <c r="BE1134" s="15" t="s">
        <v>2145</v>
      </c>
      <c r="BF1134" s="6" t="s">
        <v>7897</v>
      </c>
    </row>
    <row r="1135" customFormat="false" ht="105.5" hidden="false" customHeight="false" outlineLevel="0" collapsed="false">
      <c r="A1135" s="26" t="s">
        <v>63</v>
      </c>
      <c r="B1135" s="27" t="s">
        <v>2129</v>
      </c>
      <c r="C1135" s="27" t="s">
        <v>2130</v>
      </c>
      <c r="D1135" s="27" t="s">
        <v>7898</v>
      </c>
      <c r="E1135" s="27" t="s">
        <v>7899</v>
      </c>
      <c r="F1135" s="27" t="s">
        <v>7900</v>
      </c>
      <c r="G1135" s="28"/>
      <c r="H1135" s="6" t="s">
        <v>63</v>
      </c>
      <c r="I1135" s="6" t="s">
        <v>62</v>
      </c>
      <c r="J1135" s="6" t="s">
        <v>63</v>
      </c>
      <c r="K1135" s="6" t="s">
        <v>63</v>
      </c>
      <c r="L1135" s="6" t="s">
        <v>64</v>
      </c>
      <c r="M1135" s="27" t="s">
        <v>7901</v>
      </c>
      <c r="N1135" s="27" t="s">
        <v>7902</v>
      </c>
      <c r="O1135" s="6" t="s">
        <v>3301</v>
      </c>
      <c r="P1135" s="28"/>
      <c r="Q1135" s="6" t="s">
        <v>67</v>
      </c>
      <c r="R1135" s="6" t="s">
        <v>1093</v>
      </c>
      <c r="S1135" s="28"/>
      <c r="T1135" s="6" t="s">
        <v>6138</v>
      </c>
      <c r="U1135" s="7" t="n">
        <v>1</v>
      </c>
      <c r="V1135" s="7" t="n">
        <v>1</v>
      </c>
      <c r="W1135" s="8" t="s">
        <v>3516</v>
      </c>
      <c r="X1135" s="8" t="s">
        <v>3516</v>
      </c>
      <c r="Y1135" s="8" t="s">
        <v>7903</v>
      </c>
      <c r="Z1135" s="8" t="s">
        <v>7903</v>
      </c>
      <c r="AA1135" s="7" t="n">
        <v>342</v>
      </c>
      <c r="AB1135" s="7" t="n">
        <v>231</v>
      </c>
      <c r="AC1135" s="7" t="n">
        <v>237</v>
      </c>
      <c r="AD1135" s="7" t="n">
        <v>4</v>
      </c>
      <c r="AE1135" s="7" t="n">
        <v>4</v>
      </c>
      <c r="AF1135" s="7" t="n">
        <v>14</v>
      </c>
      <c r="AG1135" s="7" t="n">
        <v>14</v>
      </c>
      <c r="AH1135" s="7" t="n">
        <v>3</v>
      </c>
      <c r="AI1135" s="7" t="n">
        <v>3</v>
      </c>
      <c r="AJ1135" s="7" t="n">
        <v>5</v>
      </c>
      <c r="AK1135" s="7" t="n">
        <v>5</v>
      </c>
      <c r="AL1135" s="7" t="n">
        <v>8</v>
      </c>
      <c r="AM1135" s="7" t="n">
        <v>8</v>
      </c>
      <c r="AN1135" s="7" t="n">
        <v>2</v>
      </c>
      <c r="AO1135" s="7" t="n">
        <v>2</v>
      </c>
      <c r="AP1135" s="7" t="n">
        <v>0</v>
      </c>
      <c r="AQ1135" s="7" t="n">
        <v>0</v>
      </c>
      <c r="AR1135" s="6" t="s">
        <v>63</v>
      </c>
      <c r="AS1135" s="6" t="s">
        <v>57</v>
      </c>
      <c r="AT1135" s="9" t="str">
        <f aca="false">HYPERLINK("http://catalog.hathitrust.org/Record/000272653","HathiTrust Record")</f>
        <v>HathiTrust Record</v>
      </c>
      <c r="AU1135" s="9" t="str">
        <f aca="false">HYPERLINK("https://creighton-primo.hosted.exlibrisgroup.com/primo-explore/search?tab=default_tab&amp;search_scope=EVERYTHING&amp;vid=01CRU&amp;lang=en_US&amp;offset=0&amp;query=any,contains,991000169179702656","Catalog Record")</f>
        <v>Catalog Record</v>
      </c>
      <c r="AV1135" s="9" t="str">
        <f aca="false">HYPERLINK("http://www.worldcat.org/oclc/9320509","WorldCat Record")</f>
        <v>WorldCat Record</v>
      </c>
      <c r="AW1135" s="6" t="s">
        <v>7904</v>
      </c>
      <c r="AX1135" s="6" t="s">
        <v>7905</v>
      </c>
      <c r="AY1135" s="6" t="s">
        <v>7906</v>
      </c>
      <c r="AZ1135" s="6" t="s">
        <v>7906</v>
      </c>
      <c r="BA1135" s="6" t="s">
        <v>7907</v>
      </c>
      <c r="BB1135" s="6" t="s">
        <v>7908</v>
      </c>
      <c r="BC1135" s="6" t="s">
        <v>7909</v>
      </c>
      <c r="BE1135" s="15" t="s">
        <v>2145</v>
      </c>
      <c r="BF1135" s="6" t="s">
        <v>7910</v>
      </c>
    </row>
    <row r="1136" customFormat="false" ht="105.5" hidden="false" customHeight="false" outlineLevel="0" collapsed="false">
      <c r="A1136" s="26" t="s">
        <v>63</v>
      </c>
      <c r="B1136" s="27" t="s">
        <v>2129</v>
      </c>
      <c r="C1136" s="27" t="s">
        <v>2130</v>
      </c>
      <c r="D1136" s="27" t="s">
        <v>7911</v>
      </c>
      <c r="E1136" s="27" t="s">
        <v>7912</v>
      </c>
      <c r="F1136" s="27" t="s">
        <v>7913</v>
      </c>
      <c r="G1136" s="28"/>
      <c r="H1136" s="6" t="s">
        <v>63</v>
      </c>
      <c r="I1136" s="6" t="s">
        <v>62</v>
      </c>
      <c r="J1136" s="6" t="s">
        <v>63</v>
      </c>
      <c r="K1136" s="6" t="s">
        <v>63</v>
      </c>
      <c r="L1136" s="6" t="s">
        <v>64</v>
      </c>
      <c r="M1136" s="27" t="s">
        <v>7914</v>
      </c>
      <c r="N1136" s="27" t="s">
        <v>7915</v>
      </c>
      <c r="O1136" s="6" t="s">
        <v>122</v>
      </c>
      <c r="P1136" s="28"/>
      <c r="Q1136" s="6" t="s">
        <v>67</v>
      </c>
      <c r="R1136" s="6" t="s">
        <v>68</v>
      </c>
      <c r="S1136" s="28"/>
      <c r="T1136" s="6" t="s">
        <v>6138</v>
      </c>
      <c r="U1136" s="7" t="n">
        <v>1</v>
      </c>
      <c r="V1136" s="7" t="n">
        <v>1</v>
      </c>
      <c r="W1136" s="8" t="s">
        <v>7916</v>
      </c>
      <c r="X1136" s="8" t="s">
        <v>7916</v>
      </c>
      <c r="Y1136" s="8" t="s">
        <v>7722</v>
      </c>
      <c r="Z1136" s="8" t="s">
        <v>7722</v>
      </c>
      <c r="AA1136" s="7" t="n">
        <v>308</v>
      </c>
      <c r="AB1136" s="7" t="n">
        <v>249</v>
      </c>
      <c r="AC1136" s="7" t="n">
        <v>581</v>
      </c>
      <c r="AD1136" s="7" t="n">
        <v>1</v>
      </c>
      <c r="AE1136" s="7" t="n">
        <v>2</v>
      </c>
      <c r="AF1136" s="7" t="n">
        <v>13</v>
      </c>
      <c r="AG1136" s="7" t="n">
        <v>27</v>
      </c>
      <c r="AH1136" s="7" t="n">
        <v>3</v>
      </c>
      <c r="AI1136" s="7" t="n">
        <v>10</v>
      </c>
      <c r="AJ1136" s="7" t="n">
        <v>5</v>
      </c>
      <c r="AK1136" s="7" t="n">
        <v>6</v>
      </c>
      <c r="AL1136" s="7" t="n">
        <v>11</v>
      </c>
      <c r="AM1136" s="7" t="n">
        <v>20</v>
      </c>
      <c r="AN1136" s="7" t="n">
        <v>0</v>
      </c>
      <c r="AO1136" s="7" t="n">
        <v>1</v>
      </c>
      <c r="AP1136" s="7" t="n">
        <v>0</v>
      </c>
      <c r="AQ1136" s="7" t="n">
        <v>0</v>
      </c>
      <c r="AR1136" s="6" t="s">
        <v>63</v>
      </c>
      <c r="AS1136" s="6" t="s">
        <v>57</v>
      </c>
      <c r="AT1136" s="9" t="str">
        <f aca="false">HYPERLINK("http://catalog.hathitrust.org/Record/007123582","HathiTrust Record")</f>
        <v>HathiTrust Record</v>
      </c>
      <c r="AU1136" s="9" t="str">
        <f aca="false">HYPERLINK("https://creighton-primo.hosted.exlibrisgroup.com/primo-explore/search?tab=default_tab&amp;search_scope=EVERYTHING&amp;vid=01CRU&amp;lang=en_US&amp;offset=0&amp;query=any,contains,991002560989702656","Catalog Record")</f>
        <v>Catalog Record</v>
      </c>
      <c r="AV1136" s="9" t="str">
        <f aca="false">HYPERLINK("http://www.worldcat.org/oclc/371751","WorldCat Record")</f>
        <v>WorldCat Record</v>
      </c>
      <c r="AW1136" s="6" t="s">
        <v>7917</v>
      </c>
      <c r="AX1136" s="6" t="s">
        <v>7918</v>
      </c>
      <c r="AY1136" s="6" t="s">
        <v>7919</v>
      </c>
      <c r="AZ1136" s="6" t="s">
        <v>7919</v>
      </c>
      <c r="BA1136" s="6" t="s">
        <v>7920</v>
      </c>
      <c r="BB1136" s="28"/>
      <c r="BC1136" s="6" t="s">
        <v>7921</v>
      </c>
      <c r="BE1136" s="15" t="s">
        <v>2145</v>
      </c>
      <c r="BF1136" s="6" t="s">
        <v>7922</v>
      </c>
    </row>
    <row r="1137" customFormat="false" ht="128.5" hidden="false" customHeight="false" outlineLevel="0" collapsed="false">
      <c r="A1137" s="26" t="s">
        <v>63</v>
      </c>
      <c r="B1137" s="27" t="s">
        <v>2129</v>
      </c>
      <c r="C1137" s="27" t="s">
        <v>2130</v>
      </c>
      <c r="D1137" s="27" t="s">
        <v>7923</v>
      </c>
      <c r="E1137" s="27" t="s">
        <v>7924</v>
      </c>
      <c r="F1137" s="27" t="s">
        <v>7925</v>
      </c>
      <c r="G1137" s="28"/>
      <c r="H1137" s="6" t="s">
        <v>63</v>
      </c>
      <c r="I1137" s="6" t="s">
        <v>62</v>
      </c>
      <c r="J1137" s="6" t="s">
        <v>63</v>
      </c>
      <c r="K1137" s="6" t="s">
        <v>63</v>
      </c>
      <c r="L1137" s="6" t="s">
        <v>64</v>
      </c>
      <c r="M1137" s="27" t="s">
        <v>7926</v>
      </c>
      <c r="N1137" s="27" t="s">
        <v>7927</v>
      </c>
      <c r="O1137" s="6" t="s">
        <v>254</v>
      </c>
      <c r="P1137" s="28"/>
      <c r="Q1137" s="6" t="s">
        <v>67</v>
      </c>
      <c r="R1137" s="6" t="s">
        <v>123</v>
      </c>
      <c r="S1137" s="28"/>
      <c r="T1137" s="6" t="s">
        <v>6138</v>
      </c>
      <c r="U1137" s="7" t="n">
        <v>2</v>
      </c>
      <c r="V1137" s="7" t="n">
        <v>2</v>
      </c>
      <c r="W1137" s="8" t="s">
        <v>3146</v>
      </c>
      <c r="X1137" s="8" t="s">
        <v>3146</v>
      </c>
      <c r="Y1137" s="8" t="s">
        <v>7928</v>
      </c>
      <c r="Z1137" s="8" t="s">
        <v>7928</v>
      </c>
      <c r="AA1137" s="7" t="n">
        <v>721</v>
      </c>
      <c r="AB1137" s="7" t="n">
        <v>565</v>
      </c>
      <c r="AC1137" s="7" t="n">
        <v>591</v>
      </c>
      <c r="AD1137" s="7" t="n">
        <v>4</v>
      </c>
      <c r="AE1137" s="7" t="n">
        <v>4</v>
      </c>
      <c r="AF1137" s="7" t="n">
        <v>32</v>
      </c>
      <c r="AG1137" s="7" t="n">
        <v>33</v>
      </c>
      <c r="AH1137" s="7" t="n">
        <v>14</v>
      </c>
      <c r="AI1137" s="7" t="n">
        <v>14</v>
      </c>
      <c r="AJ1137" s="7" t="n">
        <v>6</v>
      </c>
      <c r="AK1137" s="7" t="n">
        <v>7</v>
      </c>
      <c r="AL1137" s="7" t="n">
        <v>16</v>
      </c>
      <c r="AM1137" s="7" t="n">
        <v>17</v>
      </c>
      <c r="AN1137" s="7" t="n">
        <v>3</v>
      </c>
      <c r="AO1137" s="7" t="n">
        <v>3</v>
      </c>
      <c r="AP1137" s="7" t="n">
        <v>0</v>
      </c>
      <c r="AQ1137" s="7" t="n">
        <v>0</v>
      </c>
      <c r="AR1137" s="6" t="s">
        <v>63</v>
      </c>
      <c r="AS1137" s="6" t="s">
        <v>57</v>
      </c>
      <c r="AT1137" s="9" t="str">
        <f aca="false">HYPERLINK("http://catalog.hathitrust.org/Record/001383902","HathiTrust Record")</f>
        <v>HathiTrust Record</v>
      </c>
      <c r="AU1137" s="9" t="str">
        <f aca="false">HYPERLINK("https://creighton-primo.hosted.exlibrisgroup.com/primo-explore/search?tab=default_tab&amp;search_scope=EVERYTHING&amp;vid=01CRU&amp;lang=en_US&amp;offset=0&amp;query=any,contains,991003095819702656","Catalog Record")</f>
        <v>Catalog Record</v>
      </c>
      <c r="AV1137" s="9" t="str">
        <f aca="false">HYPERLINK("http://www.worldcat.org/oclc/637330","WorldCat Record")</f>
        <v>WorldCat Record</v>
      </c>
      <c r="AW1137" s="6" t="s">
        <v>7929</v>
      </c>
      <c r="AX1137" s="6" t="s">
        <v>7930</v>
      </c>
      <c r="AY1137" s="6" t="s">
        <v>7931</v>
      </c>
      <c r="AZ1137" s="6" t="s">
        <v>7931</v>
      </c>
      <c r="BA1137" s="6" t="s">
        <v>7932</v>
      </c>
      <c r="BB1137" s="28"/>
      <c r="BC1137" s="6" t="s">
        <v>7933</v>
      </c>
      <c r="BE1137" s="15" t="s">
        <v>2145</v>
      </c>
      <c r="BF1137" s="6" t="s">
        <v>7934</v>
      </c>
    </row>
    <row r="1138" customFormat="false" ht="71" hidden="false" customHeight="false" outlineLevel="0" collapsed="false">
      <c r="A1138" s="26" t="s">
        <v>63</v>
      </c>
      <c r="B1138" s="27" t="s">
        <v>2129</v>
      </c>
      <c r="C1138" s="27" t="s">
        <v>2130</v>
      </c>
      <c r="D1138" s="27" t="s">
        <v>7935</v>
      </c>
      <c r="E1138" s="27" t="s">
        <v>7936</v>
      </c>
      <c r="F1138" s="27" t="s">
        <v>7937</v>
      </c>
      <c r="G1138" s="28"/>
      <c r="H1138" s="6" t="s">
        <v>63</v>
      </c>
      <c r="I1138" s="6" t="s">
        <v>62</v>
      </c>
      <c r="J1138" s="6" t="s">
        <v>63</v>
      </c>
      <c r="K1138" s="6" t="s">
        <v>63</v>
      </c>
      <c r="L1138" s="6" t="s">
        <v>64</v>
      </c>
      <c r="M1138" s="27" t="s">
        <v>5282</v>
      </c>
      <c r="N1138" s="27" t="s">
        <v>7938</v>
      </c>
      <c r="O1138" s="6" t="s">
        <v>2693</v>
      </c>
      <c r="P1138" s="27" t="s">
        <v>920</v>
      </c>
      <c r="Q1138" s="6" t="s">
        <v>67</v>
      </c>
      <c r="R1138" s="6" t="s">
        <v>68</v>
      </c>
      <c r="S1138" s="28"/>
      <c r="T1138" s="6" t="s">
        <v>6138</v>
      </c>
      <c r="U1138" s="7" t="n">
        <v>4</v>
      </c>
      <c r="V1138" s="7" t="n">
        <v>4</v>
      </c>
      <c r="W1138" s="8" t="s">
        <v>3083</v>
      </c>
      <c r="X1138" s="8" t="s">
        <v>3083</v>
      </c>
      <c r="Y1138" s="8" t="s">
        <v>7928</v>
      </c>
      <c r="Z1138" s="8" t="s">
        <v>7928</v>
      </c>
      <c r="AA1138" s="7" t="n">
        <v>430</v>
      </c>
      <c r="AB1138" s="7" t="n">
        <v>396</v>
      </c>
      <c r="AC1138" s="7" t="n">
        <v>653</v>
      </c>
      <c r="AD1138" s="7" t="n">
        <v>2</v>
      </c>
      <c r="AE1138" s="7" t="n">
        <v>4</v>
      </c>
      <c r="AF1138" s="7" t="n">
        <v>18</v>
      </c>
      <c r="AG1138" s="7" t="n">
        <v>37</v>
      </c>
      <c r="AH1138" s="7" t="n">
        <v>9</v>
      </c>
      <c r="AI1138" s="7" t="n">
        <v>15</v>
      </c>
      <c r="AJ1138" s="7" t="n">
        <v>3</v>
      </c>
      <c r="AK1138" s="7" t="n">
        <v>7</v>
      </c>
      <c r="AL1138" s="7" t="n">
        <v>11</v>
      </c>
      <c r="AM1138" s="7" t="n">
        <v>23</v>
      </c>
      <c r="AN1138" s="7" t="n">
        <v>1</v>
      </c>
      <c r="AO1138" s="7" t="n">
        <v>3</v>
      </c>
      <c r="AP1138" s="7" t="n">
        <v>0</v>
      </c>
      <c r="AQ1138" s="7" t="n">
        <v>0</v>
      </c>
      <c r="AR1138" s="6" t="s">
        <v>63</v>
      </c>
      <c r="AS1138" s="6" t="s">
        <v>57</v>
      </c>
      <c r="AT1138" s="9" t="str">
        <f aca="false">HYPERLINK("http://catalog.hathitrust.org/Record/007470447","HathiTrust Record")</f>
        <v>HathiTrust Record</v>
      </c>
      <c r="AU1138" s="9" t="str">
        <f aca="false">HYPERLINK("https://creighton-primo.hosted.exlibrisgroup.com/primo-explore/search?tab=default_tab&amp;search_scope=EVERYTHING&amp;vid=01CRU&amp;lang=en_US&amp;offset=0&amp;query=any,contains,991002805379702656","Catalog Record")</f>
        <v>Catalog Record</v>
      </c>
      <c r="AV1138" s="9" t="str">
        <f aca="false">HYPERLINK("http://www.worldcat.org/oclc/449310","WorldCat Record")</f>
        <v>WorldCat Record</v>
      </c>
      <c r="AW1138" s="6" t="s">
        <v>7939</v>
      </c>
      <c r="AX1138" s="6" t="s">
        <v>7940</v>
      </c>
      <c r="AY1138" s="6" t="s">
        <v>7941</v>
      </c>
      <c r="AZ1138" s="6" t="s">
        <v>7941</v>
      </c>
      <c r="BA1138" s="6" t="s">
        <v>7942</v>
      </c>
      <c r="BB1138" s="28"/>
      <c r="BC1138" s="6" t="s">
        <v>7943</v>
      </c>
      <c r="BE1138" s="15" t="s">
        <v>2145</v>
      </c>
      <c r="BF1138" s="6" t="s">
        <v>7944</v>
      </c>
    </row>
    <row r="1139" customFormat="false" ht="174.5" hidden="false" customHeight="false" outlineLevel="0" collapsed="false">
      <c r="A1139" s="26" t="s">
        <v>63</v>
      </c>
      <c r="B1139" s="27" t="s">
        <v>2129</v>
      </c>
      <c r="C1139" s="27" t="s">
        <v>2130</v>
      </c>
      <c r="D1139" s="27" t="s">
        <v>7945</v>
      </c>
      <c r="E1139" s="27" t="s">
        <v>7946</v>
      </c>
      <c r="F1139" s="27" t="s">
        <v>7947</v>
      </c>
      <c r="G1139" s="28"/>
      <c r="H1139" s="6" t="s">
        <v>63</v>
      </c>
      <c r="I1139" s="6" t="s">
        <v>62</v>
      </c>
      <c r="J1139" s="6" t="s">
        <v>63</v>
      </c>
      <c r="K1139" s="6" t="s">
        <v>63</v>
      </c>
      <c r="L1139" s="6" t="s">
        <v>64</v>
      </c>
      <c r="M1139" s="28"/>
      <c r="N1139" s="27" t="s">
        <v>7948</v>
      </c>
      <c r="O1139" s="6" t="s">
        <v>2411</v>
      </c>
      <c r="P1139" s="28"/>
      <c r="Q1139" s="6" t="s">
        <v>67</v>
      </c>
      <c r="R1139" s="6" t="s">
        <v>1093</v>
      </c>
      <c r="S1139" s="28"/>
      <c r="T1139" s="6" t="s">
        <v>6138</v>
      </c>
      <c r="U1139" s="7" t="n">
        <v>4</v>
      </c>
      <c r="V1139" s="7" t="n">
        <v>4</v>
      </c>
      <c r="W1139" s="8" t="s">
        <v>7949</v>
      </c>
      <c r="X1139" s="8" t="s">
        <v>7949</v>
      </c>
      <c r="Y1139" s="8" t="s">
        <v>2854</v>
      </c>
      <c r="Z1139" s="8" t="s">
        <v>2854</v>
      </c>
      <c r="AA1139" s="7" t="n">
        <v>353</v>
      </c>
      <c r="AB1139" s="7" t="n">
        <v>255</v>
      </c>
      <c r="AC1139" s="7" t="n">
        <v>257</v>
      </c>
      <c r="AD1139" s="7" t="n">
        <v>3</v>
      </c>
      <c r="AE1139" s="7" t="n">
        <v>3</v>
      </c>
      <c r="AF1139" s="7" t="n">
        <v>17</v>
      </c>
      <c r="AG1139" s="7" t="n">
        <v>17</v>
      </c>
      <c r="AH1139" s="7" t="n">
        <v>5</v>
      </c>
      <c r="AI1139" s="7" t="n">
        <v>5</v>
      </c>
      <c r="AJ1139" s="7" t="n">
        <v>5</v>
      </c>
      <c r="AK1139" s="7" t="n">
        <v>5</v>
      </c>
      <c r="AL1139" s="7" t="n">
        <v>11</v>
      </c>
      <c r="AM1139" s="7" t="n">
        <v>11</v>
      </c>
      <c r="AN1139" s="7" t="n">
        <v>2</v>
      </c>
      <c r="AO1139" s="7" t="n">
        <v>2</v>
      </c>
      <c r="AP1139" s="7" t="n">
        <v>0</v>
      </c>
      <c r="AQ1139" s="7" t="n">
        <v>0</v>
      </c>
      <c r="AR1139" s="6" t="s">
        <v>63</v>
      </c>
      <c r="AS1139" s="6" t="s">
        <v>57</v>
      </c>
      <c r="AT1139" s="9" t="str">
        <f aca="false">HYPERLINK("http://catalog.hathitrust.org/Record/001954278","HathiTrust Record")</f>
        <v>HathiTrust Record</v>
      </c>
      <c r="AU1139" s="9" t="str">
        <f aca="false">HYPERLINK("https://creighton-primo.hosted.exlibrisgroup.com/primo-explore/search?tab=default_tab&amp;search_scope=EVERYTHING&amp;vid=01CRU&amp;lang=en_US&amp;offset=0&amp;query=any,contains,991001750289702656","Catalog Record")</f>
        <v>Catalog Record</v>
      </c>
      <c r="AV1139" s="9" t="str">
        <f aca="false">HYPERLINK("http://www.worldcat.org/oclc/22179307","WorldCat Record")</f>
        <v>WorldCat Record</v>
      </c>
      <c r="AW1139" s="6" t="s">
        <v>7950</v>
      </c>
      <c r="AX1139" s="6" t="s">
        <v>7951</v>
      </c>
      <c r="AY1139" s="6" t="s">
        <v>7952</v>
      </c>
      <c r="AZ1139" s="6" t="s">
        <v>7952</v>
      </c>
      <c r="BA1139" s="6" t="s">
        <v>7953</v>
      </c>
      <c r="BB1139" s="6" t="s">
        <v>7954</v>
      </c>
      <c r="BC1139" s="6" t="s">
        <v>7955</v>
      </c>
      <c r="BE1139" s="15" t="s">
        <v>2145</v>
      </c>
      <c r="BF1139" s="6" t="s">
        <v>7956</v>
      </c>
    </row>
    <row r="1140" customFormat="false" ht="174.5" hidden="false" customHeight="false" outlineLevel="0" collapsed="false">
      <c r="A1140" s="26" t="s">
        <v>57</v>
      </c>
      <c r="B1140" s="27" t="s">
        <v>2129</v>
      </c>
      <c r="C1140" s="27" t="s">
        <v>2130</v>
      </c>
      <c r="D1140" s="27" t="s">
        <v>7957</v>
      </c>
      <c r="E1140" s="27" t="s">
        <v>7958</v>
      </c>
      <c r="F1140" s="27" t="s">
        <v>7959</v>
      </c>
      <c r="G1140" s="28"/>
      <c r="H1140" s="6" t="s">
        <v>63</v>
      </c>
      <c r="I1140" s="6" t="s">
        <v>62</v>
      </c>
      <c r="J1140" s="6" t="s">
        <v>63</v>
      </c>
      <c r="K1140" s="6" t="s">
        <v>63</v>
      </c>
      <c r="L1140" s="6" t="s">
        <v>64</v>
      </c>
      <c r="M1140" s="27" t="s">
        <v>7960</v>
      </c>
      <c r="N1140" s="27" t="s">
        <v>7961</v>
      </c>
      <c r="O1140" s="6" t="s">
        <v>2136</v>
      </c>
      <c r="P1140" s="28"/>
      <c r="Q1140" s="6" t="s">
        <v>67</v>
      </c>
      <c r="R1140" s="6" t="s">
        <v>384</v>
      </c>
      <c r="S1140" s="28"/>
      <c r="T1140" s="6" t="s">
        <v>6138</v>
      </c>
      <c r="U1140" s="7" t="n">
        <v>5</v>
      </c>
      <c r="V1140" s="7" t="n">
        <v>5</v>
      </c>
      <c r="W1140" s="8" t="s">
        <v>4027</v>
      </c>
      <c r="X1140" s="8" t="s">
        <v>4027</v>
      </c>
      <c r="Y1140" s="8" t="s">
        <v>7062</v>
      </c>
      <c r="Z1140" s="8" t="s">
        <v>7062</v>
      </c>
      <c r="AA1140" s="7" t="n">
        <v>121</v>
      </c>
      <c r="AB1140" s="7" t="n">
        <v>99</v>
      </c>
      <c r="AC1140" s="7" t="n">
        <v>912</v>
      </c>
      <c r="AD1140" s="7" t="n">
        <v>3</v>
      </c>
      <c r="AE1140" s="7" t="n">
        <v>7</v>
      </c>
      <c r="AF1140" s="7" t="n">
        <v>9</v>
      </c>
      <c r="AG1140" s="7" t="n">
        <v>47</v>
      </c>
      <c r="AH1140" s="7" t="n">
        <v>5</v>
      </c>
      <c r="AI1140" s="7" t="n">
        <v>22</v>
      </c>
      <c r="AJ1140" s="7" t="n">
        <v>2</v>
      </c>
      <c r="AK1140" s="7" t="n">
        <v>8</v>
      </c>
      <c r="AL1140" s="7" t="n">
        <v>6</v>
      </c>
      <c r="AM1140" s="7" t="n">
        <v>24</v>
      </c>
      <c r="AN1140" s="7" t="n">
        <v>1</v>
      </c>
      <c r="AO1140" s="7" t="n">
        <v>5</v>
      </c>
      <c r="AP1140" s="7" t="n">
        <v>0</v>
      </c>
      <c r="AQ1140" s="7" t="n">
        <v>0</v>
      </c>
      <c r="AR1140" s="6" t="s">
        <v>63</v>
      </c>
      <c r="AS1140" s="6" t="s">
        <v>63</v>
      </c>
      <c r="AT1140" s="28"/>
      <c r="AU1140" s="9" t="str">
        <f aca="false">HYPERLINK("https://creighton-primo.hosted.exlibrisgroup.com/primo-explore/search?tab=default_tab&amp;search_scope=EVERYTHING&amp;vid=01CRU&amp;lang=en_US&amp;offset=0&amp;query=any,contains,991005184659702656","Catalog Record")</f>
        <v>Catalog Record</v>
      </c>
      <c r="AV1140" s="9" t="str">
        <f aca="false">HYPERLINK("http://www.worldcat.org/oclc/7965370","WorldCat Record")</f>
        <v>WorldCat Record</v>
      </c>
      <c r="AW1140" s="6" t="s">
        <v>7962</v>
      </c>
      <c r="AX1140" s="6" t="s">
        <v>7963</v>
      </c>
      <c r="AY1140" s="6" t="s">
        <v>7964</v>
      </c>
      <c r="AZ1140" s="6" t="s">
        <v>7964</v>
      </c>
      <c r="BA1140" s="6" t="s">
        <v>7965</v>
      </c>
      <c r="BB1140" s="28"/>
      <c r="BC1140" s="6" t="s">
        <v>7966</v>
      </c>
      <c r="BE1140" s="15" t="s">
        <v>2145</v>
      </c>
      <c r="BF1140" s="6" t="s">
        <v>7967</v>
      </c>
    </row>
    <row r="1141" customFormat="false" ht="94" hidden="false" customHeight="false" outlineLevel="0" collapsed="false">
      <c r="A1141" s="26" t="s">
        <v>63</v>
      </c>
      <c r="B1141" s="27" t="s">
        <v>2129</v>
      </c>
      <c r="C1141" s="27" t="s">
        <v>2130</v>
      </c>
      <c r="D1141" s="27" t="s">
        <v>7968</v>
      </c>
      <c r="E1141" s="27" t="s">
        <v>7969</v>
      </c>
      <c r="F1141" s="27" t="s">
        <v>7970</v>
      </c>
      <c r="G1141" s="28"/>
      <c r="H1141" s="6" t="s">
        <v>63</v>
      </c>
      <c r="I1141" s="6" t="s">
        <v>62</v>
      </c>
      <c r="J1141" s="6" t="s">
        <v>63</v>
      </c>
      <c r="K1141" s="6" t="s">
        <v>63</v>
      </c>
      <c r="L1141" s="6" t="s">
        <v>64</v>
      </c>
      <c r="M1141" s="27" t="s">
        <v>7971</v>
      </c>
      <c r="N1141" s="27" t="s">
        <v>7972</v>
      </c>
      <c r="O1141" s="6" t="s">
        <v>3029</v>
      </c>
      <c r="P1141" s="28"/>
      <c r="Q1141" s="6" t="s">
        <v>67</v>
      </c>
      <c r="R1141" s="6" t="s">
        <v>68</v>
      </c>
      <c r="S1141" s="28"/>
      <c r="T1141" s="6" t="s">
        <v>6138</v>
      </c>
      <c r="U1141" s="7" t="n">
        <v>6</v>
      </c>
      <c r="V1141" s="7" t="n">
        <v>6</v>
      </c>
      <c r="W1141" s="8" t="s">
        <v>5336</v>
      </c>
      <c r="X1141" s="8" t="s">
        <v>5336</v>
      </c>
      <c r="Y1141" s="8" t="s">
        <v>7928</v>
      </c>
      <c r="Z1141" s="8" t="s">
        <v>7928</v>
      </c>
      <c r="AA1141" s="7" t="n">
        <v>737</v>
      </c>
      <c r="AB1141" s="7" t="n">
        <v>576</v>
      </c>
      <c r="AC1141" s="7" t="n">
        <v>699</v>
      </c>
      <c r="AD1141" s="7" t="n">
        <v>5</v>
      </c>
      <c r="AE1141" s="7" t="n">
        <v>6</v>
      </c>
      <c r="AF1141" s="7" t="n">
        <v>33</v>
      </c>
      <c r="AG1141" s="7" t="n">
        <v>39</v>
      </c>
      <c r="AH1141" s="7" t="n">
        <v>14</v>
      </c>
      <c r="AI1141" s="7" t="n">
        <v>16</v>
      </c>
      <c r="AJ1141" s="7" t="n">
        <v>9</v>
      </c>
      <c r="AK1141" s="7" t="n">
        <v>10</v>
      </c>
      <c r="AL1141" s="7" t="n">
        <v>17</v>
      </c>
      <c r="AM1141" s="7" t="n">
        <v>21</v>
      </c>
      <c r="AN1141" s="7" t="n">
        <v>3</v>
      </c>
      <c r="AO1141" s="7" t="n">
        <v>4</v>
      </c>
      <c r="AP1141" s="7" t="n">
        <v>0</v>
      </c>
      <c r="AQ1141" s="7" t="n">
        <v>0</v>
      </c>
      <c r="AR1141" s="6" t="s">
        <v>63</v>
      </c>
      <c r="AS1141" s="6" t="s">
        <v>57</v>
      </c>
      <c r="AT1141" s="9" t="str">
        <f aca="false">HYPERLINK("http://catalog.hathitrust.org/Record/001383909","HathiTrust Record")</f>
        <v>HathiTrust Record</v>
      </c>
      <c r="AU1141" s="9" t="str">
        <f aca="false">HYPERLINK("https://creighton-primo.hosted.exlibrisgroup.com/primo-explore/search?tab=default_tab&amp;search_scope=EVERYTHING&amp;vid=01CRU&amp;lang=en_US&amp;offset=0&amp;query=any,contains,991002561079702656","Catalog Record")</f>
        <v>Catalog Record</v>
      </c>
      <c r="AV1141" s="9" t="str">
        <f aca="false">HYPERLINK("http://www.worldcat.org/oclc/371755","WorldCat Record")</f>
        <v>WorldCat Record</v>
      </c>
      <c r="AW1141" s="6" t="s">
        <v>7973</v>
      </c>
      <c r="AX1141" s="6" t="s">
        <v>7974</v>
      </c>
      <c r="AY1141" s="6" t="s">
        <v>7975</v>
      </c>
      <c r="AZ1141" s="6" t="s">
        <v>7975</v>
      </c>
      <c r="BA1141" s="6" t="s">
        <v>7976</v>
      </c>
      <c r="BB1141" s="28"/>
      <c r="BC1141" s="6" t="s">
        <v>7977</v>
      </c>
      <c r="BE1141" s="15" t="s">
        <v>2145</v>
      </c>
      <c r="BF1141" s="6" t="s">
        <v>7978</v>
      </c>
    </row>
    <row r="1142" customFormat="false" ht="186" hidden="false" customHeight="false" outlineLevel="0" collapsed="false">
      <c r="A1142" s="26" t="s">
        <v>63</v>
      </c>
      <c r="B1142" s="27" t="s">
        <v>2129</v>
      </c>
      <c r="C1142" s="27" t="s">
        <v>2130</v>
      </c>
      <c r="D1142" s="27" t="s">
        <v>7979</v>
      </c>
      <c r="E1142" s="27" t="s">
        <v>7980</v>
      </c>
      <c r="F1142" s="27" t="s">
        <v>7981</v>
      </c>
      <c r="G1142" s="28"/>
      <c r="H1142" s="6" t="s">
        <v>63</v>
      </c>
      <c r="I1142" s="6" t="s">
        <v>62</v>
      </c>
      <c r="J1142" s="6" t="s">
        <v>63</v>
      </c>
      <c r="K1142" s="6" t="s">
        <v>63</v>
      </c>
      <c r="L1142" s="6" t="s">
        <v>64</v>
      </c>
      <c r="M1142" s="27" t="s">
        <v>7982</v>
      </c>
      <c r="N1142" s="27" t="s">
        <v>7983</v>
      </c>
      <c r="O1142" s="6" t="s">
        <v>233</v>
      </c>
      <c r="P1142" s="28"/>
      <c r="Q1142" s="6" t="s">
        <v>67</v>
      </c>
      <c r="R1142" s="6" t="s">
        <v>802</v>
      </c>
      <c r="S1142" s="28"/>
      <c r="T1142" s="6" t="s">
        <v>6138</v>
      </c>
      <c r="U1142" s="7" t="n">
        <v>4</v>
      </c>
      <c r="V1142" s="7" t="n">
        <v>4</v>
      </c>
      <c r="W1142" s="8" t="s">
        <v>7984</v>
      </c>
      <c r="X1142" s="8" t="s">
        <v>7984</v>
      </c>
      <c r="Y1142" s="8" t="s">
        <v>7928</v>
      </c>
      <c r="Z1142" s="8" t="s">
        <v>7928</v>
      </c>
      <c r="AA1142" s="7" t="n">
        <v>508</v>
      </c>
      <c r="AB1142" s="7" t="n">
        <v>387</v>
      </c>
      <c r="AC1142" s="7" t="n">
        <v>560</v>
      </c>
      <c r="AD1142" s="7" t="n">
        <v>2</v>
      </c>
      <c r="AE1142" s="7" t="n">
        <v>3</v>
      </c>
      <c r="AF1142" s="7" t="n">
        <v>25</v>
      </c>
      <c r="AG1142" s="7" t="n">
        <v>36</v>
      </c>
      <c r="AH1142" s="7" t="n">
        <v>12</v>
      </c>
      <c r="AI1142" s="7" t="n">
        <v>16</v>
      </c>
      <c r="AJ1142" s="7" t="n">
        <v>6</v>
      </c>
      <c r="AK1142" s="7" t="n">
        <v>9</v>
      </c>
      <c r="AL1142" s="7" t="n">
        <v>16</v>
      </c>
      <c r="AM1142" s="7" t="n">
        <v>22</v>
      </c>
      <c r="AN1142" s="7" t="n">
        <v>1</v>
      </c>
      <c r="AO1142" s="7" t="n">
        <v>2</v>
      </c>
      <c r="AP1142" s="7" t="n">
        <v>0</v>
      </c>
      <c r="AQ1142" s="7" t="n">
        <v>0</v>
      </c>
      <c r="AR1142" s="6" t="s">
        <v>63</v>
      </c>
      <c r="AS1142" s="6" t="s">
        <v>57</v>
      </c>
      <c r="AT1142" s="9" t="str">
        <f aca="false">HYPERLINK("http://catalog.hathitrust.org/Record/007120719","HathiTrust Record")</f>
        <v>HathiTrust Record</v>
      </c>
      <c r="AU1142" s="9" t="str">
        <f aca="false">HYPERLINK("https://creighton-primo.hosted.exlibrisgroup.com/primo-explore/search?tab=default_tab&amp;search_scope=EVERYTHING&amp;vid=01CRU&amp;lang=en_US&amp;offset=0&amp;query=any,contains,991002096089702656","Catalog Record")</f>
        <v>Catalog Record</v>
      </c>
      <c r="AV1142" s="9" t="str">
        <f aca="false">HYPERLINK("http://www.worldcat.org/oclc/265645","WorldCat Record")</f>
        <v>WorldCat Record</v>
      </c>
      <c r="AW1142" s="6" t="s">
        <v>7985</v>
      </c>
      <c r="AX1142" s="6" t="s">
        <v>7986</v>
      </c>
      <c r="AY1142" s="6" t="s">
        <v>7987</v>
      </c>
      <c r="AZ1142" s="6" t="s">
        <v>7987</v>
      </c>
      <c r="BA1142" s="6" t="s">
        <v>7988</v>
      </c>
      <c r="BB1142" s="28"/>
      <c r="BC1142" s="6" t="s">
        <v>7989</v>
      </c>
      <c r="BE1142" s="15" t="s">
        <v>2145</v>
      </c>
      <c r="BF1142" s="6" t="s">
        <v>7990</v>
      </c>
    </row>
    <row r="1143" customFormat="false" ht="128.5" hidden="false" customHeight="false" outlineLevel="0" collapsed="false">
      <c r="A1143" s="26" t="s">
        <v>63</v>
      </c>
      <c r="B1143" s="27" t="s">
        <v>2129</v>
      </c>
      <c r="C1143" s="27" t="s">
        <v>2130</v>
      </c>
      <c r="D1143" s="27" t="s">
        <v>7991</v>
      </c>
      <c r="E1143" s="27" t="s">
        <v>7992</v>
      </c>
      <c r="F1143" s="27" t="s">
        <v>7993</v>
      </c>
      <c r="G1143" s="28"/>
      <c r="H1143" s="6" t="s">
        <v>63</v>
      </c>
      <c r="I1143" s="6" t="s">
        <v>62</v>
      </c>
      <c r="J1143" s="6" t="s">
        <v>57</v>
      </c>
      <c r="K1143" s="6" t="s">
        <v>63</v>
      </c>
      <c r="L1143" s="6" t="s">
        <v>64</v>
      </c>
      <c r="M1143" s="27" t="s">
        <v>7994</v>
      </c>
      <c r="N1143" s="27" t="s">
        <v>7995</v>
      </c>
      <c r="O1143" s="6" t="s">
        <v>122</v>
      </c>
      <c r="P1143" s="27" t="s">
        <v>4146</v>
      </c>
      <c r="Q1143" s="6" t="s">
        <v>67</v>
      </c>
      <c r="R1143" s="6" t="s">
        <v>181</v>
      </c>
      <c r="S1143" s="28"/>
      <c r="T1143" s="6" t="s">
        <v>6138</v>
      </c>
      <c r="U1143" s="7" t="n">
        <v>4</v>
      </c>
      <c r="V1143" s="7" t="n">
        <v>9</v>
      </c>
      <c r="W1143" s="8" t="s">
        <v>7996</v>
      </c>
      <c r="X1143" s="8" t="s">
        <v>7996</v>
      </c>
      <c r="Y1143" s="8" t="s">
        <v>7928</v>
      </c>
      <c r="Z1143" s="8" t="s">
        <v>7062</v>
      </c>
      <c r="AA1143" s="7" t="n">
        <v>348</v>
      </c>
      <c r="AB1143" s="7" t="n">
        <v>303</v>
      </c>
      <c r="AC1143" s="7" t="n">
        <v>548</v>
      </c>
      <c r="AD1143" s="7" t="n">
        <v>2</v>
      </c>
      <c r="AE1143" s="7" t="n">
        <v>2</v>
      </c>
      <c r="AF1143" s="7" t="n">
        <v>13</v>
      </c>
      <c r="AG1143" s="7" t="n">
        <v>30</v>
      </c>
      <c r="AH1143" s="7" t="n">
        <v>7</v>
      </c>
      <c r="AI1143" s="7" t="n">
        <v>14</v>
      </c>
      <c r="AJ1143" s="7" t="n">
        <v>4</v>
      </c>
      <c r="AK1143" s="7" t="n">
        <v>6</v>
      </c>
      <c r="AL1143" s="7" t="n">
        <v>6</v>
      </c>
      <c r="AM1143" s="7" t="n">
        <v>18</v>
      </c>
      <c r="AN1143" s="7" t="n">
        <v>1</v>
      </c>
      <c r="AO1143" s="7" t="n">
        <v>1</v>
      </c>
      <c r="AP1143" s="7" t="n">
        <v>0</v>
      </c>
      <c r="AQ1143" s="7" t="n">
        <v>0</v>
      </c>
      <c r="AR1143" s="6" t="s">
        <v>63</v>
      </c>
      <c r="AS1143" s="6" t="s">
        <v>63</v>
      </c>
      <c r="AT1143" s="28"/>
      <c r="AU1143" s="9" t="str">
        <f aca="false">HYPERLINK("https://creighton-primo.hosted.exlibrisgroup.com/primo-explore/search?tab=default_tab&amp;search_scope=EVERYTHING&amp;vid=01CRU&amp;lang=en_US&amp;offset=0&amp;query=any,contains,991003952429702656","Catalog Record")</f>
        <v>Catalog Record</v>
      </c>
      <c r="AV1143" s="9" t="str">
        <f aca="false">HYPERLINK("http://www.worldcat.org/oclc/1959170","WorldCat Record")</f>
        <v>WorldCat Record</v>
      </c>
      <c r="AW1143" s="6" t="s">
        <v>7997</v>
      </c>
      <c r="AX1143" s="6" t="s">
        <v>7998</v>
      </c>
      <c r="AY1143" s="6" t="s">
        <v>7999</v>
      </c>
      <c r="AZ1143" s="6" t="s">
        <v>7999</v>
      </c>
      <c r="BA1143" s="6" t="s">
        <v>8000</v>
      </c>
      <c r="BB1143" s="28"/>
      <c r="BC1143" s="6" t="s">
        <v>8001</v>
      </c>
      <c r="BE1143" s="15" t="s">
        <v>2145</v>
      </c>
      <c r="BF1143" s="6" t="s">
        <v>8002</v>
      </c>
    </row>
    <row r="1144" customFormat="false" ht="128.5" hidden="false" customHeight="false" outlineLevel="0" collapsed="false">
      <c r="A1144" s="26" t="s">
        <v>63</v>
      </c>
      <c r="B1144" s="27" t="s">
        <v>2129</v>
      </c>
      <c r="C1144" s="27" t="s">
        <v>2130</v>
      </c>
      <c r="D1144" s="27" t="s">
        <v>7991</v>
      </c>
      <c r="E1144" s="27" t="s">
        <v>7992</v>
      </c>
      <c r="F1144" s="27" t="s">
        <v>7993</v>
      </c>
      <c r="G1144" s="28"/>
      <c r="H1144" s="6" t="s">
        <v>63</v>
      </c>
      <c r="I1144" s="6" t="s">
        <v>62</v>
      </c>
      <c r="J1144" s="6" t="s">
        <v>57</v>
      </c>
      <c r="K1144" s="6" t="s">
        <v>63</v>
      </c>
      <c r="L1144" s="6" t="s">
        <v>64</v>
      </c>
      <c r="M1144" s="27" t="s">
        <v>7994</v>
      </c>
      <c r="N1144" s="27" t="s">
        <v>7995</v>
      </c>
      <c r="O1144" s="6" t="s">
        <v>122</v>
      </c>
      <c r="P1144" s="27" t="s">
        <v>4146</v>
      </c>
      <c r="Q1144" s="6" t="s">
        <v>67</v>
      </c>
      <c r="R1144" s="6" t="s">
        <v>181</v>
      </c>
      <c r="S1144" s="28"/>
      <c r="T1144" s="6" t="s">
        <v>6138</v>
      </c>
      <c r="U1144" s="7" t="n">
        <v>1</v>
      </c>
      <c r="V1144" s="7" t="n">
        <v>9</v>
      </c>
      <c r="W1144" s="28"/>
      <c r="X1144" s="8" t="s">
        <v>7996</v>
      </c>
      <c r="Y1144" s="8" t="s">
        <v>7928</v>
      </c>
      <c r="Z1144" s="8" t="s">
        <v>7062</v>
      </c>
      <c r="AA1144" s="7" t="n">
        <v>348</v>
      </c>
      <c r="AB1144" s="7" t="n">
        <v>303</v>
      </c>
      <c r="AC1144" s="7" t="n">
        <v>548</v>
      </c>
      <c r="AD1144" s="7" t="n">
        <v>2</v>
      </c>
      <c r="AE1144" s="7" t="n">
        <v>2</v>
      </c>
      <c r="AF1144" s="7" t="n">
        <v>13</v>
      </c>
      <c r="AG1144" s="7" t="n">
        <v>30</v>
      </c>
      <c r="AH1144" s="7" t="n">
        <v>7</v>
      </c>
      <c r="AI1144" s="7" t="n">
        <v>14</v>
      </c>
      <c r="AJ1144" s="7" t="n">
        <v>4</v>
      </c>
      <c r="AK1144" s="7" t="n">
        <v>6</v>
      </c>
      <c r="AL1144" s="7" t="n">
        <v>6</v>
      </c>
      <c r="AM1144" s="7" t="n">
        <v>18</v>
      </c>
      <c r="AN1144" s="7" t="n">
        <v>1</v>
      </c>
      <c r="AO1144" s="7" t="n">
        <v>1</v>
      </c>
      <c r="AP1144" s="7" t="n">
        <v>0</v>
      </c>
      <c r="AQ1144" s="7" t="n">
        <v>0</v>
      </c>
      <c r="AR1144" s="6" t="s">
        <v>63</v>
      </c>
      <c r="AS1144" s="6" t="s">
        <v>63</v>
      </c>
      <c r="AT1144" s="28"/>
      <c r="AU1144" s="9" t="str">
        <f aca="false">HYPERLINK("https://creighton-primo.hosted.exlibrisgroup.com/primo-explore/search?tab=default_tab&amp;search_scope=EVERYTHING&amp;vid=01CRU&amp;lang=en_US&amp;offset=0&amp;query=any,contains,991003952429702656","Catalog Record")</f>
        <v>Catalog Record</v>
      </c>
      <c r="AV1144" s="9" t="str">
        <f aca="false">HYPERLINK("http://www.worldcat.org/oclc/1959170","WorldCat Record")</f>
        <v>WorldCat Record</v>
      </c>
      <c r="AW1144" s="6" t="s">
        <v>7997</v>
      </c>
      <c r="AX1144" s="6" t="s">
        <v>7998</v>
      </c>
      <c r="AY1144" s="6" t="s">
        <v>7999</v>
      </c>
      <c r="AZ1144" s="6" t="s">
        <v>7999</v>
      </c>
      <c r="BA1144" s="6" t="s">
        <v>8000</v>
      </c>
      <c r="BB1144" s="28"/>
      <c r="BC1144" s="6" t="s">
        <v>8003</v>
      </c>
      <c r="BE1144" s="15" t="s">
        <v>2145</v>
      </c>
      <c r="BF1144" s="6" t="s">
        <v>8004</v>
      </c>
    </row>
    <row r="1145" customFormat="false" ht="128.5" hidden="false" customHeight="false" outlineLevel="0" collapsed="false">
      <c r="A1145" s="26" t="s">
        <v>63</v>
      </c>
      <c r="B1145" s="27" t="s">
        <v>2129</v>
      </c>
      <c r="C1145" s="27" t="s">
        <v>2130</v>
      </c>
      <c r="D1145" s="27" t="s">
        <v>7991</v>
      </c>
      <c r="E1145" s="27" t="s">
        <v>7992</v>
      </c>
      <c r="F1145" s="27" t="s">
        <v>7993</v>
      </c>
      <c r="G1145" s="28"/>
      <c r="H1145" s="6" t="s">
        <v>63</v>
      </c>
      <c r="I1145" s="6" t="s">
        <v>62</v>
      </c>
      <c r="J1145" s="6" t="s">
        <v>57</v>
      </c>
      <c r="K1145" s="6" t="s">
        <v>63</v>
      </c>
      <c r="L1145" s="6" t="s">
        <v>64</v>
      </c>
      <c r="M1145" s="27" t="s">
        <v>7994</v>
      </c>
      <c r="N1145" s="27" t="s">
        <v>7995</v>
      </c>
      <c r="O1145" s="6" t="s">
        <v>122</v>
      </c>
      <c r="P1145" s="27" t="s">
        <v>4146</v>
      </c>
      <c r="Q1145" s="6" t="s">
        <v>67</v>
      </c>
      <c r="R1145" s="6" t="s">
        <v>181</v>
      </c>
      <c r="S1145" s="28"/>
      <c r="T1145" s="6" t="s">
        <v>6138</v>
      </c>
      <c r="U1145" s="7" t="n">
        <v>4</v>
      </c>
      <c r="V1145" s="7" t="n">
        <v>9</v>
      </c>
      <c r="W1145" s="8" t="s">
        <v>8005</v>
      </c>
      <c r="X1145" s="8" t="s">
        <v>7996</v>
      </c>
      <c r="Y1145" s="8" t="s">
        <v>7062</v>
      </c>
      <c r="Z1145" s="8" t="s">
        <v>7062</v>
      </c>
      <c r="AA1145" s="7" t="n">
        <v>348</v>
      </c>
      <c r="AB1145" s="7" t="n">
        <v>303</v>
      </c>
      <c r="AC1145" s="7" t="n">
        <v>548</v>
      </c>
      <c r="AD1145" s="7" t="n">
        <v>2</v>
      </c>
      <c r="AE1145" s="7" t="n">
        <v>2</v>
      </c>
      <c r="AF1145" s="7" t="n">
        <v>13</v>
      </c>
      <c r="AG1145" s="7" t="n">
        <v>30</v>
      </c>
      <c r="AH1145" s="7" t="n">
        <v>7</v>
      </c>
      <c r="AI1145" s="7" t="n">
        <v>14</v>
      </c>
      <c r="AJ1145" s="7" t="n">
        <v>4</v>
      </c>
      <c r="AK1145" s="7" t="n">
        <v>6</v>
      </c>
      <c r="AL1145" s="7" t="n">
        <v>6</v>
      </c>
      <c r="AM1145" s="7" t="n">
        <v>18</v>
      </c>
      <c r="AN1145" s="7" t="n">
        <v>1</v>
      </c>
      <c r="AO1145" s="7" t="n">
        <v>1</v>
      </c>
      <c r="AP1145" s="7" t="n">
        <v>0</v>
      </c>
      <c r="AQ1145" s="7" t="n">
        <v>0</v>
      </c>
      <c r="AR1145" s="6" t="s">
        <v>63</v>
      </c>
      <c r="AS1145" s="6" t="s">
        <v>63</v>
      </c>
      <c r="AT1145" s="28"/>
      <c r="AU1145" s="9" t="str">
        <f aca="false">HYPERLINK("https://creighton-primo.hosted.exlibrisgroup.com/primo-explore/search?tab=default_tab&amp;search_scope=EVERYTHING&amp;vid=01CRU&amp;lang=en_US&amp;offset=0&amp;query=any,contains,991003952429702656","Catalog Record")</f>
        <v>Catalog Record</v>
      </c>
      <c r="AV1145" s="9" t="str">
        <f aca="false">HYPERLINK("http://www.worldcat.org/oclc/1959170","WorldCat Record")</f>
        <v>WorldCat Record</v>
      </c>
      <c r="AW1145" s="6" t="s">
        <v>7997</v>
      </c>
      <c r="AX1145" s="6" t="s">
        <v>7998</v>
      </c>
      <c r="AY1145" s="6" t="s">
        <v>7999</v>
      </c>
      <c r="AZ1145" s="6" t="s">
        <v>7999</v>
      </c>
      <c r="BA1145" s="6" t="s">
        <v>8000</v>
      </c>
      <c r="BB1145" s="28"/>
      <c r="BC1145" s="6" t="s">
        <v>8006</v>
      </c>
      <c r="BE1145" s="15" t="s">
        <v>2145</v>
      </c>
      <c r="BF1145" s="6" t="s">
        <v>8007</v>
      </c>
    </row>
    <row r="1146" customFormat="false" ht="71" hidden="false" customHeight="false" outlineLevel="0" collapsed="false">
      <c r="A1146" s="26" t="s">
        <v>63</v>
      </c>
      <c r="B1146" s="27" t="s">
        <v>2129</v>
      </c>
      <c r="C1146" s="27" t="s">
        <v>2130</v>
      </c>
      <c r="D1146" s="27" t="s">
        <v>8008</v>
      </c>
      <c r="E1146" s="27" t="s">
        <v>8009</v>
      </c>
      <c r="F1146" s="27" t="s">
        <v>8010</v>
      </c>
      <c r="G1146" s="28"/>
      <c r="H1146" s="6" t="s">
        <v>63</v>
      </c>
      <c r="I1146" s="6" t="s">
        <v>62</v>
      </c>
      <c r="J1146" s="6" t="s">
        <v>63</v>
      </c>
      <c r="K1146" s="6" t="s">
        <v>63</v>
      </c>
      <c r="L1146" s="6" t="s">
        <v>64</v>
      </c>
      <c r="M1146" s="27" t="s">
        <v>8011</v>
      </c>
      <c r="N1146" s="27" t="s">
        <v>8012</v>
      </c>
      <c r="O1146" s="6" t="s">
        <v>2369</v>
      </c>
      <c r="P1146" s="28"/>
      <c r="Q1146" s="6" t="s">
        <v>67</v>
      </c>
      <c r="R1146" s="6" t="s">
        <v>68</v>
      </c>
      <c r="S1146" s="28"/>
      <c r="T1146" s="6" t="s">
        <v>6138</v>
      </c>
      <c r="U1146" s="7" t="n">
        <v>3</v>
      </c>
      <c r="V1146" s="7" t="n">
        <v>3</v>
      </c>
      <c r="W1146" s="8" t="s">
        <v>8013</v>
      </c>
      <c r="X1146" s="8" t="s">
        <v>8013</v>
      </c>
      <c r="Y1146" s="8" t="s">
        <v>7928</v>
      </c>
      <c r="Z1146" s="8" t="s">
        <v>7928</v>
      </c>
      <c r="AA1146" s="7" t="n">
        <v>409</v>
      </c>
      <c r="AB1146" s="7" t="n">
        <v>353</v>
      </c>
      <c r="AC1146" s="7" t="n">
        <v>452</v>
      </c>
      <c r="AD1146" s="7" t="n">
        <v>1</v>
      </c>
      <c r="AE1146" s="7" t="n">
        <v>3</v>
      </c>
      <c r="AF1146" s="7" t="n">
        <v>18</v>
      </c>
      <c r="AG1146" s="7" t="n">
        <v>29</v>
      </c>
      <c r="AH1146" s="7" t="n">
        <v>8</v>
      </c>
      <c r="AI1146" s="7" t="n">
        <v>9</v>
      </c>
      <c r="AJ1146" s="7" t="n">
        <v>5</v>
      </c>
      <c r="AK1146" s="7" t="n">
        <v>7</v>
      </c>
      <c r="AL1146" s="7" t="n">
        <v>14</v>
      </c>
      <c r="AM1146" s="7" t="n">
        <v>22</v>
      </c>
      <c r="AN1146" s="7" t="n">
        <v>0</v>
      </c>
      <c r="AO1146" s="7" t="n">
        <v>2</v>
      </c>
      <c r="AP1146" s="7" t="n">
        <v>0</v>
      </c>
      <c r="AQ1146" s="7" t="n">
        <v>0</v>
      </c>
      <c r="AR1146" s="6" t="s">
        <v>63</v>
      </c>
      <c r="AS1146" s="6" t="s">
        <v>57</v>
      </c>
      <c r="AT1146" s="9" t="str">
        <f aca="false">HYPERLINK("http://catalog.hathitrust.org/Record/001395915","HathiTrust Record")</f>
        <v>HathiTrust Record</v>
      </c>
      <c r="AU1146" s="9" t="str">
        <f aca="false">HYPERLINK("https://creighton-primo.hosted.exlibrisgroup.com/primo-explore/search?tab=default_tab&amp;search_scope=EVERYTHING&amp;vid=01CRU&amp;lang=en_US&amp;offset=0&amp;query=any,contains,991002561109702656","Catalog Record")</f>
        <v>Catalog Record</v>
      </c>
      <c r="AV1146" s="9" t="str">
        <f aca="false">HYPERLINK("http://www.worldcat.org/oclc/371757","WorldCat Record")</f>
        <v>WorldCat Record</v>
      </c>
      <c r="AW1146" s="6" t="s">
        <v>8014</v>
      </c>
      <c r="AX1146" s="6" t="s">
        <v>8015</v>
      </c>
      <c r="AY1146" s="6" t="s">
        <v>8016</v>
      </c>
      <c r="AZ1146" s="6" t="s">
        <v>8016</v>
      </c>
      <c r="BA1146" s="6" t="s">
        <v>8017</v>
      </c>
      <c r="BB1146" s="28"/>
      <c r="BC1146" s="6" t="s">
        <v>8018</v>
      </c>
      <c r="BE1146" s="15" t="s">
        <v>2145</v>
      </c>
      <c r="BF1146" s="6" t="s">
        <v>8019</v>
      </c>
    </row>
    <row r="1147" customFormat="false" ht="117" hidden="false" customHeight="false" outlineLevel="0" collapsed="false">
      <c r="A1147" s="26" t="s">
        <v>63</v>
      </c>
      <c r="B1147" s="27" t="s">
        <v>2129</v>
      </c>
      <c r="C1147" s="27" t="s">
        <v>2130</v>
      </c>
      <c r="D1147" s="27" t="s">
        <v>8020</v>
      </c>
      <c r="E1147" s="27" t="s">
        <v>8021</v>
      </c>
      <c r="F1147" s="27" t="s">
        <v>8022</v>
      </c>
      <c r="G1147" s="28"/>
      <c r="H1147" s="6" t="s">
        <v>63</v>
      </c>
      <c r="I1147" s="6" t="s">
        <v>62</v>
      </c>
      <c r="J1147" s="6" t="s">
        <v>63</v>
      </c>
      <c r="K1147" s="6" t="s">
        <v>63</v>
      </c>
      <c r="L1147" s="6" t="s">
        <v>64</v>
      </c>
      <c r="M1147" s="27" t="s">
        <v>8023</v>
      </c>
      <c r="N1147" s="27" t="s">
        <v>8024</v>
      </c>
      <c r="O1147" s="6" t="s">
        <v>2426</v>
      </c>
      <c r="P1147" s="28"/>
      <c r="Q1147" s="6" t="s">
        <v>67</v>
      </c>
      <c r="R1147" s="6" t="s">
        <v>802</v>
      </c>
      <c r="S1147" s="28"/>
      <c r="T1147" s="6" t="s">
        <v>6138</v>
      </c>
      <c r="U1147" s="7" t="n">
        <v>7</v>
      </c>
      <c r="V1147" s="7" t="n">
        <v>7</v>
      </c>
      <c r="W1147" s="8" t="s">
        <v>8025</v>
      </c>
      <c r="X1147" s="8" t="s">
        <v>8025</v>
      </c>
      <c r="Y1147" s="8" t="s">
        <v>7928</v>
      </c>
      <c r="Z1147" s="8" t="s">
        <v>7928</v>
      </c>
      <c r="AA1147" s="7" t="n">
        <v>313</v>
      </c>
      <c r="AB1147" s="7" t="n">
        <v>215</v>
      </c>
      <c r="AC1147" s="7" t="n">
        <v>233</v>
      </c>
      <c r="AD1147" s="7" t="n">
        <v>4</v>
      </c>
      <c r="AE1147" s="7" t="n">
        <v>4</v>
      </c>
      <c r="AF1147" s="7" t="n">
        <v>16</v>
      </c>
      <c r="AG1147" s="7" t="n">
        <v>17</v>
      </c>
      <c r="AH1147" s="7" t="n">
        <v>4</v>
      </c>
      <c r="AI1147" s="7" t="n">
        <v>5</v>
      </c>
      <c r="AJ1147" s="7" t="n">
        <v>4</v>
      </c>
      <c r="AK1147" s="7" t="n">
        <v>4</v>
      </c>
      <c r="AL1147" s="7" t="n">
        <v>10</v>
      </c>
      <c r="AM1147" s="7" t="n">
        <v>11</v>
      </c>
      <c r="AN1147" s="7" t="n">
        <v>3</v>
      </c>
      <c r="AO1147" s="7" t="n">
        <v>3</v>
      </c>
      <c r="AP1147" s="7" t="n">
        <v>0</v>
      </c>
      <c r="AQ1147" s="7" t="n">
        <v>0</v>
      </c>
      <c r="AR1147" s="6" t="s">
        <v>63</v>
      </c>
      <c r="AS1147" s="6" t="s">
        <v>57</v>
      </c>
      <c r="AT1147" s="9" t="str">
        <f aca="false">HYPERLINK("http://catalog.hathitrust.org/Record/000223687","HathiTrust Record")</f>
        <v>HathiTrust Record</v>
      </c>
      <c r="AU1147" s="9" t="str">
        <f aca="false">HYPERLINK("https://creighton-primo.hosted.exlibrisgroup.com/primo-explore/search?tab=default_tab&amp;search_scope=EVERYTHING&amp;vid=01CRU&amp;lang=en_US&amp;offset=0&amp;query=any,contains,991003654209702656","Catalog Record")</f>
        <v>Catalog Record</v>
      </c>
      <c r="AV1147" s="9" t="str">
        <f aca="false">HYPERLINK("http://www.worldcat.org/oclc/1257550","WorldCat Record")</f>
        <v>WorldCat Record</v>
      </c>
      <c r="AW1147" s="6" t="s">
        <v>8026</v>
      </c>
      <c r="AX1147" s="6" t="s">
        <v>8027</v>
      </c>
      <c r="AY1147" s="6" t="s">
        <v>8028</v>
      </c>
      <c r="AZ1147" s="6" t="s">
        <v>8028</v>
      </c>
      <c r="BA1147" s="6" t="s">
        <v>8029</v>
      </c>
      <c r="BB1147" s="6" t="s">
        <v>8030</v>
      </c>
      <c r="BC1147" s="6" t="s">
        <v>8031</v>
      </c>
      <c r="BE1147" s="15" t="s">
        <v>2145</v>
      </c>
      <c r="BF1147" s="6" t="s">
        <v>8032</v>
      </c>
    </row>
    <row r="1148" customFormat="false" ht="140" hidden="false" customHeight="false" outlineLevel="0" collapsed="false">
      <c r="A1148" s="26" t="s">
        <v>63</v>
      </c>
      <c r="B1148" s="27" t="s">
        <v>2129</v>
      </c>
      <c r="C1148" s="27" t="s">
        <v>2130</v>
      </c>
      <c r="D1148" s="27" t="s">
        <v>8033</v>
      </c>
      <c r="E1148" s="27" t="s">
        <v>8034</v>
      </c>
      <c r="F1148" s="27" t="s">
        <v>8035</v>
      </c>
      <c r="G1148" s="28"/>
      <c r="H1148" s="6" t="s">
        <v>63</v>
      </c>
      <c r="I1148" s="6" t="s">
        <v>62</v>
      </c>
      <c r="J1148" s="6" t="s">
        <v>63</v>
      </c>
      <c r="K1148" s="6" t="s">
        <v>63</v>
      </c>
      <c r="L1148" s="6" t="s">
        <v>64</v>
      </c>
      <c r="M1148" s="28"/>
      <c r="N1148" s="27" t="s">
        <v>8036</v>
      </c>
      <c r="O1148" s="6" t="s">
        <v>7428</v>
      </c>
      <c r="P1148" s="28"/>
      <c r="Q1148" s="6" t="s">
        <v>67</v>
      </c>
      <c r="R1148" s="6" t="s">
        <v>401</v>
      </c>
      <c r="S1148" s="27" t="s">
        <v>8037</v>
      </c>
      <c r="T1148" s="6" t="s">
        <v>6138</v>
      </c>
      <c r="U1148" s="7" t="n">
        <v>4</v>
      </c>
      <c r="V1148" s="7" t="n">
        <v>4</v>
      </c>
      <c r="W1148" s="8" t="s">
        <v>8038</v>
      </c>
      <c r="X1148" s="8" t="s">
        <v>8038</v>
      </c>
      <c r="Y1148" s="8" t="s">
        <v>7928</v>
      </c>
      <c r="Z1148" s="8" t="s">
        <v>7928</v>
      </c>
      <c r="AA1148" s="7" t="n">
        <v>202</v>
      </c>
      <c r="AB1148" s="7" t="n">
        <v>171</v>
      </c>
      <c r="AC1148" s="7" t="n">
        <v>174</v>
      </c>
      <c r="AD1148" s="7" t="n">
        <v>3</v>
      </c>
      <c r="AE1148" s="7" t="n">
        <v>3</v>
      </c>
      <c r="AF1148" s="7" t="n">
        <v>9</v>
      </c>
      <c r="AG1148" s="7" t="n">
        <v>10</v>
      </c>
      <c r="AH1148" s="7" t="n">
        <v>1</v>
      </c>
      <c r="AI1148" s="7" t="n">
        <v>1</v>
      </c>
      <c r="AJ1148" s="7" t="n">
        <v>4</v>
      </c>
      <c r="AK1148" s="7" t="n">
        <v>5</v>
      </c>
      <c r="AL1148" s="7" t="n">
        <v>5</v>
      </c>
      <c r="AM1148" s="7" t="n">
        <v>6</v>
      </c>
      <c r="AN1148" s="7" t="n">
        <v>1</v>
      </c>
      <c r="AO1148" s="7" t="n">
        <v>1</v>
      </c>
      <c r="AP1148" s="7" t="n">
        <v>0</v>
      </c>
      <c r="AQ1148" s="7" t="n">
        <v>0</v>
      </c>
      <c r="AR1148" s="6" t="s">
        <v>63</v>
      </c>
      <c r="AS1148" s="6" t="s">
        <v>57</v>
      </c>
      <c r="AT1148" s="9" t="str">
        <f aca="false">HYPERLINK("http://catalog.hathitrust.org/Record/004460982","HathiTrust Record")</f>
        <v>HathiTrust Record</v>
      </c>
      <c r="AU1148" s="9" t="str">
        <f aca="false">HYPERLINK("https://creighton-primo.hosted.exlibrisgroup.com/primo-explore/search?tab=default_tab&amp;search_scope=EVERYTHING&amp;vid=01CRU&amp;lang=en_US&amp;offset=0&amp;query=any,contains,991004308979702656","Catalog Record")</f>
        <v>Catalog Record</v>
      </c>
      <c r="AV1148" s="9" t="str">
        <f aca="false">HYPERLINK("http://www.worldcat.org/oclc/2985848","WorldCat Record")</f>
        <v>WorldCat Record</v>
      </c>
      <c r="AW1148" s="6" t="s">
        <v>8039</v>
      </c>
      <c r="AX1148" s="6" t="s">
        <v>8040</v>
      </c>
      <c r="AY1148" s="6" t="s">
        <v>8041</v>
      </c>
      <c r="AZ1148" s="6" t="s">
        <v>8041</v>
      </c>
      <c r="BA1148" s="6" t="s">
        <v>8042</v>
      </c>
      <c r="BB1148" s="6" t="s">
        <v>8043</v>
      </c>
      <c r="BC1148" s="6" t="s">
        <v>8044</v>
      </c>
      <c r="BE1148" s="15" t="s">
        <v>2145</v>
      </c>
      <c r="BF1148" s="6" t="s">
        <v>8045</v>
      </c>
    </row>
    <row r="1149" customFormat="false" ht="71" hidden="false" customHeight="false" outlineLevel="0" collapsed="false">
      <c r="A1149" s="26" t="s">
        <v>63</v>
      </c>
      <c r="B1149" s="27" t="s">
        <v>2129</v>
      </c>
      <c r="C1149" s="27" t="s">
        <v>2130</v>
      </c>
      <c r="D1149" s="27" t="s">
        <v>8046</v>
      </c>
      <c r="E1149" s="27" t="s">
        <v>8047</v>
      </c>
      <c r="F1149" s="27" t="s">
        <v>8048</v>
      </c>
      <c r="G1149" s="28"/>
      <c r="H1149" s="6" t="s">
        <v>63</v>
      </c>
      <c r="I1149" s="6" t="s">
        <v>62</v>
      </c>
      <c r="J1149" s="6" t="s">
        <v>63</v>
      </c>
      <c r="K1149" s="6" t="s">
        <v>63</v>
      </c>
      <c r="L1149" s="6" t="s">
        <v>64</v>
      </c>
      <c r="M1149" s="28"/>
      <c r="N1149" s="27" t="s">
        <v>8049</v>
      </c>
      <c r="O1149" s="6" t="s">
        <v>2893</v>
      </c>
      <c r="P1149" s="28"/>
      <c r="Q1149" s="6" t="s">
        <v>67</v>
      </c>
      <c r="R1149" s="6" t="s">
        <v>68</v>
      </c>
      <c r="S1149" s="28"/>
      <c r="T1149" s="6" t="s">
        <v>6138</v>
      </c>
      <c r="U1149" s="7" t="n">
        <v>5</v>
      </c>
      <c r="V1149" s="7" t="n">
        <v>5</v>
      </c>
      <c r="W1149" s="8" t="s">
        <v>2412</v>
      </c>
      <c r="X1149" s="8" t="s">
        <v>2412</v>
      </c>
      <c r="Y1149" s="8" t="s">
        <v>7403</v>
      </c>
      <c r="Z1149" s="8" t="s">
        <v>7403</v>
      </c>
      <c r="AA1149" s="7" t="n">
        <v>620</v>
      </c>
      <c r="AB1149" s="7" t="n">
        <v>555</v>
      </c>
      <c r="AC1149" s="7" t="n">
        <v>580</v>
      </c>
      <c r="AD1149" s="7" t="n">
        <v>3</v>
      </c>
      <c r="AE1149" s="7" t="n">
        <v>3</v>
      </c>
      <c r="AF1149" s="7" t="n">
        <v>21</v>
      </c>
      <c r="AG1149" s="7" t="n">
        <v>21</v>
      </c>
      <c r="AH1149" s="7" t="n">
        <v>8</v>
      </c>
      <c r="AI1149" s="7" t="n">
        <v>8</v>
      </c>
      <c r="AJ1149" s="7" t="n">
        <v>6</v>
      </c>
      <c r="AK1149" s="7" t="n">
        <v>6</v>
      </c>
      <c r="AL1149" s="7" t="n">
        <v>12</v>
      </c>
      <c r="AM1149" s="7" t="n">
        <v>12</v>
      </c>
      <c r="AN1149" s="7" t="n">
        <v>2</v>
      </c>
      <c r="AO1149" s="7" t="n">
        <v>2</v>
      </c>
      <c r="AP1149" s="7" t="n">
        <v>0</v>
      </c>
      <c r="AQ1149" s="7" t="n">
        <v>0</v>
      </c>
      <c r="AR1149" s="6" t="s">
        <v>63</v>
      </c>
      <c r="AS1149" s="6" t="s">
        <v>57</v>
      </c>
      <c r="AT1149" s="9" t="str">
        <f aca="false">HYPERLINK("http://catalog.hathitrust.org/Record/006199472","HathiTrust Record")</f>
        <v>HathiTrust Record</v>
      </c>
      <c r="AU1149" s="9" t="str">
        <f aca="false">HYPERLINK("https://creighton-primo.hosted.exlibrisgroup.com/primo-explore/search?tab=default_tab&amp;search_scope=EVERYTHING&amp;vid=01CRU&amp;lang=en_US&amp;offset=0&amp;query=any,contains,991003863479702656","Catalog Record")</f>
        <v>Catalog Record</v>
      </c>
      <c r="AV1149" s="9" t="str">
        <f aca="false">HYPERLINK("http://www.worldcat.org/oclc/1672617","WorldCat Record")</f>
        <v>WorldCat Record</v>
      </c>
      <c r="AW1149" s="6" t="s">
        <v>8050</v>
      </c>
      <c r="AX1149" s="6" t="s">
        <v>8051</v>
      </c>
      <c r="AY1149" s="6" t="s">
        <v>8052</v>
      </c>
      <c r="AZ1149" s="6" t="s">
        <v>8052</v>
      </c>
      <c r="BA1149" s="6" t="s">
        <v>8053</v>
      </c>
      <c r="BB1149" s="6" t="s">
        <v>8054</v>
      </c>
      <c r="BC1149" s="6" t="s">
        <v>8055</v>
      </c>
      <c r="BE1149" s="15" t="s">
        <v>2145</v>
      </c>
      <c r="BF1149" s="6" t="s">
        <v>8056</v>
      </c>
    </row>
    <row r="1150" customFormat="false" ht="105.5" hidden="false" customHeight="false" outlineLevel="0" collapsed="false">
      <c r="A1150" s="26" t="s">
        <v>63</v>
      </c>
      <c r="B1150" s="27" t="s">
        <v>2129</v>
      </c>
      <c r="C1150" s="27" t="s">
        <v>2130</v>
      </c>
      <c r="D1150" s="27" t="s">
        <v>8057</v>
      </c>
      <c r="E1150" s="27" t="s">
        <v>8058</v>
      </c>
      <c r="F1150" s="27" t="s">
        <v>8059</v>
      </c>
      <c r="G1150" s="28"/>
      <c r="H1150" s="6" t="s">
        <v>63</v>
      </c>
      <c r="I1150" s="6" t="s">
        <v>62</v>
      </c>
      <c r="J1150" s="6" t="s">
        <v>63</v>
      </c>
      <c r="K1150" s="6" t="s">
        <v>63</v>
      </c>
      <c r="L1150" s="6" t="s">
        <v>64</v>
      </c>
      <c r="M1150" s="27" t="s">
        <v>8060</v>
      </c>
      <c r="N1150" s="27" t="s">
        <v>8061</v>
      </c>
      <c r="O1150" s="6" t="s">
        <v>233</v>
      </c>
      <c r="P1150" s="28"/>
      <c r="Q1150" s="6" t="s">
        <v>67</v>
      </c>
      <c r="R1150" s="6" t="s">
        <v>68</v>
      </c>
      <c r="S1150" s="28"/>
      <c r="T1150" s="6" t="s">
        <v>6138</v>
      </c>
      <c r="U1150" s="7" t="n">
        <v>1</v>
      </c>
      <c r="V1150" s="7" t="n">
        <v>1</v>
      </c>
      <c r="W1150" s="8" t="s">
        <v>8062</v>
      </c>
      <c r="X1150" s="8" t="s">
        <v>8062</v>
      </c>
      <c r="Y1150" s="8" t="s">
        <v>7403</v>
      </c>
      <c r="Z1150" s="8" t="s">
        <v>7403</v>
      </c>
      <c r="AA1150" s="7" t="n">
        <v>400</v>
      </c>
      <c r="AB1150" s="7" t="n">
        <v>337</v>
      </c>
      <c r="AC1150" s="7" t="n">
        <v>342</v>
      </c>
      <c r="AD1150" s="7" t="n">
        <v>3</v>
      </c>
      <c r="AE1150" s="7" t="n">
        <v>3</v>
      </c>
      <c r="AF1150" s="7" t="n">
        <v>32</v>
      </c>
      <c r="AG1150" s="7" t="n">
        <v>32</v>
      </c>
      <c r="AH1150" s="7" t="n">
        <v>8</v>
      </c>
      <c r="AI1150" s="7" t="n">
        <v>8</v>
      </c>
      <c r="AJ1150" s="7" t="n">
        <v>8</v>
      </c>
      <c r="AK1150" s="7" t="n">
        <v>8</v>
      </c>
      <c r="AL1150" s="7" t="n">
        <v>25</v>
      </c>
      <c r="AM1150" s="7" t="n">
        <v>25</v>
      </c>
      <c r="AN1150" s="7" t="n">
        <v>1</v>
      </c>
      <c r="AO1150" s="7" t="n">
        <v>1</v>
      </c>
      <c r="AP1150" s="7" t="n">
        <v>0</v>
      </c>
      <c r="AQ1150" s="7" t="n">
        <v>0</v>
      </c>
      <c r="AR1150" s="6" t="s">
        <v>63</v>
      </c>
      <c r="AS1150" s="6" t="s">
        <v>63</v>
      </c>
      <c r="AT1150" s="28"/>
      <c r="AU1150" s="9" t="str">
        <f aca="false">HYPERLINK("https://creighton-primo.hosted.exlibrisgroup.com/primo-explore/search?tab=default_tab&amp;search_scope=EVERYTHING&amp;vid=01CRU&amp;lang=en_US&amp;offset=0&amp;query=any,contains,991002404779702656","Catalog Record")</f>
        <v>Catalog Record</v>
      </c>
      <c r="AV1150" s="9" t="str">
        <f aca="false">HYPERLINK("http://www.worldcat.org/oclc/338537","WorldCat Record")</f>
        <v>WorldCat Record</v>
      </c>
      <c r="AW1150" s="6" t="s">
        <v>8063</v>
      </c>
      <c r="AX1150" s="6" t="s">
        <v>8064</v>
      </c>
      <c r="AY1150" s="6" t="s">
        <v>8065</v>
      </c>
      <c r="AZ1150" s="6" t="s">
        <v>8065</v>
      </c>
      <c r="BA1150" s="6" t="s">
        <v>8066</v>
      </c>
      <c r="BB1150" s="28"/>
      <c r="BC1150" s="6" t="s">
        <v>8067</v>
      </c>
      <c r="BE1150" s="15" t="s">
        <v>2145</v>
      </c>
      <c r="BF1150" s="6" t="s">
        <v>8068</v>
      </c>
    </row>
    <row r="1151" customFormat="false" ht="105.5" hidden="false" customHeight="false" outlineLevel="0" collapsed="false">
      <c r="A1151" s="26" t="s">
        <v>63</v>
      </c>
      <c r="B1151" s="27" t="s">
        <v>2129</v>
      </c>
      <c r="C1151" s="27" t="s">
        <v>2130</v>
      </c>
      <c r="D1151" s="27" t="s">
        <v>8069</v>
      </c>
      <c r="E1151" s="27" t="s">
        <v>8070</v>
      </c>
      <c r="F1151" s="27" t="s">
        <v>8071</v>
      </c>
      <c r="G1151" s="28"/>
      <c r="H1151" s="6" t="s">
        <v>63</v>
      </c>
      <c r="I1151" s="6" t="s">
        <v>62</v>
      </c>
      <c r="J1151" s="6" t="s">
        <v>63</v>
      </c>
      <c r="K1151" s="6" t="s">
        <v>63</v>
      </c>
      <c r="L1151" s="6" t="s">
        <v>64</v>
      </c>
      <c r="M1151" s="27" t="s">
        <v>8072</v>
      </c>
      <c r="N1151" s="27" t="s">
        <v>8073</v>
      </c>
      <c r="O1151" s="6" t="s">
        <v>233</v>
      </c>
      <c r="P1151" s="28"/>
      <c r="Q1151" s="6" t="s">
        <v>67</v>
      </c>
      <c r="R1151" s="6" t="s">
        <v>401</v>
      </c>
      <c r="S1151" s="27" t="s">
        <v>8074</v>
      </c>
      <c r="T1151" s="6" t="s">
        <v>6138</v>
      </c>
      <c r="U1151" s="7" t="n">
        <v>4</v>
      </c>
      <c r="V1151" s="7" t="n">
        <v>4</v>
      </c>
      <c r="W1151" s="8" t="s">
        <v>8075</v>
      </c>
      <c r="X1151" s="8" t="s">
        <v>8075</v>
      </c>
      <c r="Y1151" s="8" t="s">
        <v>7403</v>
      </c>
      <c r="Z1151" s="8" t="s">
        <v>7403</v>
      </c>
      <c r="AA1151" s="7" t="n">
        <v>559</v>
      </c>
      <c r="AB1151" s="7" t="n">
        <v>530</v>
      </c>
      <c r="AC1151" s="7" t="n">
        <v>872</v>
      </c>
      <c r="AD1151" s="7" t="n">
        <v>5</v>
      </c>
      <c r="AE1151" s="7" t="n">
        <v>5</v>
      </c>
      <c r="AF1151" s="7" t="n">
        <v>31</v>
      </c>
      <c r="AG1151" s="7" t="n">
        <v>43</v>
      </c>
      <c r="AH1151" s="7" t="n">
        <v>10</v>
      </c>
      <c r="AI1151" s="7" t="n">
        <v>18</v>
      </c>
      <c r="AJ1151" s="7" t="n">
        <v>7</v>
      </c>
      <c r="AK1151" s="7" t="n">
        <v>9</v>
      </c>
      <c r="AL1151" s="7" t="n">
        <v>17</v>
      </c>
      <c r="AM1151" s="7" t="n">
        <v>24</v>
      </c>
      <c r="AN1151" s="7" t="n">
        <v>4</v>
      </c>
      <c r="AO1151" s="7" t="n">
        <v>4</v>
      </c>
      <c r="AP1151" s="7" t="n">
        <v>0</v>
      </c>
      <c r="AQ1151" s="7" t="n">
        <v>0</v>
      </c>
      <c r="AR1151" s="6" t="s">
        <v>63</v>
      </c>
      <c r="AS1151" s="6" t="s">
        <v>63</v>
      </c>
      <c r="AT1151" s="28"/>
      <c r="AU1151" s="9" t="str">
        <f aca="false">HYPERLINK("https://creighton-primo.hosted.exlibrisgroup.com/primo-explore/search?tab=default_tab&amp;search_scope=EVERYTHING&amp;vid=01CRU&amp;lang=en_US&amp;offset=0&amp;query=any,contains,991003310369702656","Catalog Record")</f>
        <v>Catalog Record</v>
      </c>
      <c r="AV1151" s="9" t="str">
        <f aca="false">HYPERLINK("http://www.worldcat.org/oclc/369743","WorldCat Record")</f>
        <v>WorldCat Record</v>
      </c>
      <c r="AW1151" s="6" t="s">
        <v>8076</v>
      </c>
      <c r="AX1151" s="6" t="s">
        <v>8077</v>
      </c>
      <c r="AY1151" s="6" t="s">
        <v>8078</v>
      </c>
      <c r="AZ1151" s="6" t="s">
        <v>8078</v>
      </c>
      <c r="BA1151" s="6" t="s">
        <v>8079</v>
      </c>
      <c r="BB1151" s="28"/>
      <c r="BC1151" s="6" t="s">
        <v>8080</v>
      </c>
      <c r="BE1151" s="15" t="s">
        <v>2145</v>
      </c>
      <c r="BF1151" s="6" t="s">
        <v>8081</v>
      </c>
    </row>
    <row r="1152" customFormat="false" ht="128.5" hidden="false" customHeight="false" outlineLevel="0" collapsed="false">
      <c r="A1152" s="26" t="s">
        <v>63</v>
      </c>
      <c r="B1152" s="27" t="s">
        <v>2129</v>
      </c>
      <c r="C1152" s="27" t="s">
        <v>2130</v>
      </c>
      <c r="D1152" s="27" t="s">
        <v>8082</v>
      </c>
      <c r="E1152" s="27" t="s">
        <v>8083</v>
      </c>
      <c r="F1152" s="27" t="s">
        <v>8084</v>
      </c>
      <c r="G1152" s="28"/>
      <c r="H1152" s="6" t="s">
        <v>63</v>
      </c>
      <c r="I1152" s="6" t="s">
        <v>62</v>
      </c>
      <c r="J1152" s="6" t="s">
        <v>63</v>
      </c>
      <c r="K1152" s="6" t="s">
        <v>63</v>
      </c>
      <c r="L1152" s="6" t="s">
        <v>64</v>
      </c>
      <c r="M1152" s="27" t="s">
        <v>8085</v>
      </c>
      <c r="N1152" s="27" t="s">
        <v>8086</v>
      </c>
      <c r="O1152" s="6" t="s">
        <v>2369</v>
      </c>
      <c r="P1152" s="28"/>
      <c r="Q1152" s="6" t="s">
        <v>67</v>
      </c>
      <c r="R1152" s="6" t="s">
        <v>318</v>
      </c>
      <c r="S1152" s="28"/>
      <c r="T1152" s="6" t="s">
        <v>6138</v>
      </c>
      <c r="U1152" s="7" t="n">
        <v>3</v>
      </c>
      <c r="V1152" s="7" t="n">
        <v>3</v>
      </c>
      <c r="W1152" s="8" t="s">
        <v>8087</v>
      </c>
      <c r="X1152" s="8" t="s">
        <v>8087</v>
      </c>
      <c r="Y1152" s="8" t="s">
        <v>7403</v>
      </c>
      <c r="Z1152" s="8" t="s">
        <v>7403</v>
      </c>
      <c r="AA1152" s="7" t="n">
        <v>426</v>
      </c>
      <c r="AB1152" s="7" t="n">
        <v>371</v>
      </c>
      <c r="AC1152" s="7" t="n">
        <v>419</v>
      </c>
      <c r="AD1152" s="7" t="n">
        <v>2</v>
      </c>
      <c r="AE1152" s="7" t="n">
        <v>3</v>
      </c>
      <c r="AF1152" s="7" t="n">
        <v>19</v>
      </c>
      <c r="AG1152" s="7" t="n">
        <v>20</v>
      </c>
      <c r="AH1152" s="7" t="n">
        <v>7</v>
      </c>
      <c r="AI1152" s="7" t="n">
        <v>7</v>
      </c>
      <c r="AJ1152" s="7" t="n">
        <v>7</v>
      </c>
      <c r="AK1152" s="7" t="n">
        <v>7</v>
      </c>
      <c r="AL1152" s="7" t="n">
        <v>12</v>
      </c>
      <c r="AM1152" s="7" t="n">
        <v>12</v>
      </c>
      <c r="AN1152" s="7" t="n">
        <v>1</v>
      </c>
      <c r="AO1152" s="7" t="n">
        <v>2</v>
      </c>
      <c r="AP1152" s="7" t="n">
        <v>0</v>
      </c>
      <c r="AQ1152" s="7" t="n">
        <v>0</v>
      </c>
      <c r="AR1152" s="6" t="s">
        <v>63</v>
      </c>
      <c r="AS1152" s="6" t="s">
        <v>57</v>
      </c>
      <c r="AT1152" s="9" t="str">
        <f aca="false">HYPERLINK("http://catalog.hathitrust.org/Record/001380397","HathiTrust Record")</f>
        <v>HathiTrust Record</v>
      </c>
      <c r="AU1152" s="9" t="str">
        <f aca="false">HYPERLINK("https://creighton-primo.hosted.exlibrisgroup.com/primo-explore/search?tab=default_tab&amp;search_scope=EVERYTHING&amp;vid=01CRU&amp;lang=en_US&amp;offset=0&amp;query=any,contains,991003333049702656","Catalog Record")</f>
        <v>Catalog Record</v>
      </c>
      <c r="AV1152" s="9" t="str">
        <f aca="false">HYPERLINK("http://www.worldcat.org/oclc/864649","WorldCat Record")</f>
        <v>WorldCat Record</v>
      </c>
      <c r="AW1152" s="6" t="s">
        <v>8088</v>
      </c>
      <c r="AX1152" s="6" t="s">
        <v>8089</v>
      </c>
      <c r="AY1152" s="6" t="s">
        <v>8090</v>
      </c>
      <c r="AZ1152" s="6" t="s">
        <v>8090</v>
      </c>
      <c r="BA1152" s="6" t="s">
        <v>8091</v>
      </c>
      <c r="BB1152" s="28"/>
      <c r="BC1152" s="6" t="s">
        <v>8092</v>
      </c>
      <c r="BE1152" s="15" t="s">
        <v>2145</v>
      </c>
      <c r="BF1152" s="6" t="s">
        <v>8093</v>
      </c>
    </row>
    <row r="1153" customFormat="false" ht="82.5" hidden="false" customHeight="false" outlineLevel="0" collapsed="false">
      <c r="A1153" s="26" t="s">
        <v>63</v>
      </c>
      <c r="B1153" s="27" t="s">
        <v>2129</v>
      </c>
      <c r="C1153" s="27" t="s">
        <v>2130</v>
      </c>
      <c r="D1153" s="27" t="s">
        <v>8094</v>
      </c>
      <c r="E1153" s="27" t="s">
        <v>8095</v>
      </c>
      <c r="F1153" s="27" t="s">
        <v>8096</v>
      </c>
      <c r="G1153" s="28"/>
      <c r="H1153" s="6" t="s">
        <v>63</v>
      </c>
      <c r="I1153" s="6" t="s">
        <v>62</v>
      </c>
      <c r="J1153" s="6" t="s">
        <v>63</v>
      </c>
      <c r="K1153" s="6" t="s">
        <v>63</v>
      </c>
      <c r="L1153" s="6" t="s">
        <v>64</v>
      </c>
      <c r="M1153" s="27" t="s">
        <v>8097</v>
      </c>
      <c r="N1153" s="27" t="s">
        <v>8098</v>
      </c>
      <c r="O1153" s="6" t="s">
        <v>167</v>
      </c>
      <c r="P1153" s="28"/>
      <c r="Q1153" s="6" t="s">
        <v>67</v>
      </c>
      <c r="R1153" s="6" t="s">
        <v>123</v>
      </c>
      <c r="S1153" s="28"/>
      <c r="T1153" s="6" t="s">
        <v>6138</v>
      </c>
      <c r="U1153" s="7" t="n">
        <v>2</v>
      </c>
      <c r="V1153" s="7" t="n">
        <v>2</v>
      </c>
      <c r="W1153" s="8" t="s">
        <v>8087</v>
      </c>
      <c r="X1153" s="8" t="s">
        <v>8087</v>
      </c>
      <c r="Y1153" s="8" t="s">
        <v>6522</v>
      </c>
      <c r="Z1153" s="8" t="s">
        <v>6522</v>
      </c>
      <c r="AA1153" s="7" t="n">
        <v>199</v>
      </c>
      <c r="AB1153" s="7" t="n">
        <v>182</v>
      </c>
      <c r="AC1153" s="7" t="n">
        <v>352</v>
      </c>
      <c r="AD1153" s="7" t="n">
        <v>1</v>
      </c>
      <c r="AE1153" s="7" t="n">
        <v>2</v>
      </c>
      <c r="AF1153" s="7" t="n">
        <v>9</v>
      </c>
      <c r="AG1153" s="7" t="n">
        <v>13</v>
      </c>
      <c r="AH1153" s="7" t="n">
        <v>3</v>
      </c>
      <c r="AI1153" s="7" t="n">
        <v>6</v>
      </c>
      <c r="AJ1153" s="7" t="n">
        <v>2</v>
      </c>
      <c r="AK1153" s="7" t="n">
        <v>2</v>
      </c>
      <c r="AL1153" s="7" t="n">
        <v>5</v>
      </c>
      <c r="AM1153" s="7" t="n">
        <v>7</v>
      </c>
      <c r="AN1153" s="7" t="n">
        <v>0</v>
      </c>
      <c r="AO1153" s="7" t="n">
        <v>1</v>
      </c>
      <c r="AP1153" s="7" t="n">
        <v>0</v>
      </c>
      <c r="AQ1153" s="7" t="n">
        <v>0</v>
      </c>
      <c r="AR1153" s="6" t="s">
        <v>63</v>
      </c>
      <c r="AS1153" s="6" t="s">
        <v>63</v>
      </c>
      <c r="AT1153" s="28"/>
      <c r="AU1153" s="9" t="str">
        <f aca="false">HYPERLINK("https://creighton-primo.hosted.exlibrisgroup.com/primo-explore/search?tab=default_tab&amp;search_scope=EVERYTHING&amp;vid=01CRU&amp;lang=en_US&amp;offset=0&amp;query=any,contains,991003755639702656","Catalog Record")</f>
        <v>Catalog Record</v>
      </c>
      <c r="AV1153" s="9" t="str">
        <f aca="false">HYPERLINK("http://www.worldcat.org/oclc/1435870","WorldCat Record")</f>
        <v>WorldCat Record</v>
      </c>
      <c r="AW1153" s="6" t="s">
        <v>8099</v>
      </c>
      <c r="AX1153" s="6" t="s">
        <v>8100</v>
      </c>
      <c r="AY1153" s="6" t="s">
        <v>8101</v>
      </c>
      <c r="AZ1153" s="6" t="s">
        <v>8101</v>
      </c>
      <c r="BA1153" s="6" t="s">
        <v>8102</v>
      </c>
      <c r="BB1153" s="28"/>
      <c r="BC1153" s="6" t="s">
        <v>8103</v>
      </c>
      <c r="BE1153" s="15" t="s">
        <v>2145</v>
      </c>
      <c r="BF1153" s="6" t="s">
        <v>8104</v>
      </c>
    </row>
    <row r="1154" customFormat="false" ht="151.5" hidden="false" customHeight="false" outlineLevel="0" collapsed="false">
      <c r="A1154" s="26" t="s">
        <v>63</v>
      </c>
      <c r="B1154" s="27" t="s">
        <v>2129</v>
      </c>
      <c r="C1154" s="27" t="s">
        <v>2130</v>
      </c>
      <c r="D1154" s="27" t="s">
        <v>8105</v>
      </c>
      <c r="E1154" s="27" t="s">
        <v>8106</v>
      </c>
      <c r="F1154" s="27" t="s">
        <v>8107</v>
      </c>
      <c r="G1154" s="28"/>
      <c r="H1154" s="6" t="s">
        <v>63</v>
      </c>
      <c r="I1154" s="6" t="s">
        <v>62</v>
      </c>
      <c r="J1154" s="6" t="s">
        <v>63</v>
      </c>
      <c r="K1154" s="6" t="s">
        <v>63</v>
      </c>
      <c r="L1154" s="6" t="s">
        <v>64</v>
      </c>
      <c r="M1154" s="27" t="s">
        <v>8108</v>
      </c>
      <c r="N1154" s="27" t="s">
        <v>553</v>
      </c>
      <c r="O1154" s="6" t="s">
        <v>2262</v>
      </c>
      <c r="P1154" s="28"/>
      <c r="Q1154" s="6" t="s">
        <v>67</v>
      </c>
      <c r="R1154" s="6" t="s">
        <v>384</v>
      </c>
      <c r="S1154" s="28"/>
      <c r="T1154" s="6" t="s">
        <v>6138</v>
      </c>
      <c r="U1154" s="7" t="n">
        <v>1</v>
      </c>
      <c r="V1154" s="7" t="n">
        <v>1</v>
      </c>
      <c r="W1154" s="8" t="s">
        <v>8109</v>
      </c>
      <c r="X1154" s="8" t="s">
        <v>8109</v>
      </c>
      <c r="Y1154" s="8" t="s">
        <v>7928</v>
      </c>
      <c r="Z1154" s="8" t="s">
        <v>7928</v>
      </c>
      <c r="AA1154" s="7" t="n">
        <v>428</v>
      </c>
      <c r="AB1154" s="7" t="n">
        <v>289</v>
      </c>
      <c r="AC1154" s="7" t="n">
        <v>292</v>
      </c>
      <c r="AD1154" s="7" t="n">
        <v>4</v>
      </c>
      <c r="AE1154" s="7" t="n">
        <v>4</v>
      </c>
      <c r="AF1154" s="7" t="n">
        <v>16</v>
      </c>
      <c r="AG1154" s="7" t="n">
        <v>16</v>
      </c>
      <c r="AH1154" s="7" t="n">
        <v>3</v>
      </c>
      <c r="AI1154" s="7" t="n">
        <v>3</v>
      </c>
      <c r="AJ1154" s="7" t="n">
        <v>4</v>
      </c>
      <c r="AK1154" s="7" t="n">
        <v>4</v>
      </c>
      <c r="AL1154" s="7" t="n">
        <v>11</v>
      </c>
      <c r="AM1154" s="7" t="n">
        <v>11</v>
      </c>
      <c r="AN1154" s="7" t="n">
        <v>3</v>
      </c>
      <c r="AO1154" s="7" t="n">
        <v>3</v>
      </c>
      <c r="AP1154" s="7" t="n">
        <v>0</v>
      </c>
      <c r="AQ1154" s="7" t="n">
        <v>0</v>
      </c>
      <c r="AR1154" s="6" t="s">
        <v>63</v>
      </c>
      <c r="AS1154" s="6" t="s">
        <v>63</v>
      </c>
      <c r="AT1154" s="28"/>
      <c r="AU1154" s="9" t="str">
        <f aca="false">HYPERLINK("https://creighton-primo.hosted.exlibrisgroup.com/primo-explore/search?tab=default_tab&amp;search_scope=EVERYTHING&amp;vid=01CRU&amp;lang=en_US&amp;offset=0&amp;query=any,contains,991000662769702656","Catalog Record")</f>
        <v>Catalog Record</v>
      </c>
      <c r="AV1154" s="9" t="str">
        <f aca="false">HYPERLINK("http://www.worldcat.org/oclc/12262176","WorldCat Record")</f>
        <v>WorldCat Record</v>
      </c>
      <c r="AW1154" s="6" t="s">
        <v>8110</v>
      </c>
      <c r="AX1154" s="6" t="s">
        <v>8111</v>
      </c>
      <c r="AY1154" s="6" t="s">
        <v>8112</v>
      </c>
      <c r="AZ1154" s="6" t="s">
        <v>8112</v>
      </c>
      <c r="BA1154" s="6" t="s">
        <v>8113</v>
      </c>
      <c r="BB1154" s="6" t="s">
        <v>8114</v>
      </c>
      <c r="BC1154" s="6" t="s">
        <v>8115</v>
      </c>
      <c r="BE1154" s="15" t="s">
        <v>2145</v>
      </c>
      <c r="BF1154" s="6" t="s">
        <v>8116</v>
      </c>
    </row>
    <row r="1155" customFormat="false" ht="94" hidden="false" customHeight="false" outlineLevel="0" collapsed="false">
      <c r="A1155" s="26" t="s">
        <v>63</v>
      </c>
      <c r="B1155" s="27" t="s">
        <v>2129</v>
      </c>
      <c r="C1155" s="27" t="s">
        <v>2130</v>
      </c>
      <c r="D1155" s="27" t="s">
        <v>8117</v>
      </c>
      <c r="E1155" s="27" t="s">
        <v>8118</v>
      </c>
      <c r="F1155" s="27" t="s">
        <v>8119</v>
      </c>
      <c r="G1155" s="28"/>
      <c r="H1155" s="6" t="s">
        <v>63</v>
      </c>
      <c r="I1155" s="6" t="s">
        <v>62</v>
      </c>
      <c r="J1155" s="6" t="s">
        <v>63</v>
      </c>
      <c r="K1155" s="6" t="s">
        <v>57</v>
      </c>
      <c r="L1155" s="6" t="s">
        <v>64</v>
      </c>
      <c r="M1155" s="27" t="s">
        <v>8120</v>
      </c>
      <c r="N1155" s="27" t="s">
        <v>8121</v>
      </c>
      <c r="O1155" s="6" t="s">
        <v>8122</v>
      </c>
      <c r="P1155" s="28"/>
      <c r="Q1155" s="6" t="s">
        <v>67</v>
      </c>
      <c r="R1155" s="6" t="s">
        <v>123</v>
      </c>
      <c r="S1155" s="28"/>
      <c r="T1155" s="6" t="s">
        <v>6138</v>
      </c>
      <c r="U1155" s="7" t="n">
        <v>7</v>
      </c>
      <c r="V1155" s="7" t="n">
        <v>7</v>
      </c>
      <c r="W1155" s="8" t="s">
        <v>8123</v>
      </c>
      <c r="X1155" s="8" t="s">
        <v>8123</v>
      </c>
      <c r="Y1155" s="8" t="s">
        <v>7928</v>
      </c>
      <c r="Z1155" s="8" t="s">
        <v>7928</v>
      </c>
      <c r="AA1155" s="7" t="n">
        <v>210</v>
      </c>
      <c r="AB1155" s="7" t="n">
        <v>162</v>
      </c>
      <c r="AC1155" s="7" t="n">
        <v>813</v>
      </c>
      <c r="AD1155" s="7" t="n">
        <v>2</v>
      </c>
      <c r="AE1155" s="7" t="n">
        <v>6</v>
      </c>
      <c r="AF1155" s="7" t="n">
        <v>9</v>
      </c>
      <c r="AG1155" s="7" t="n">
        <v>37</v>
      </c>
      <c r="AH1155" s="7" t="n">
        <v>2</v>
      </c>
      <c r="AI1155" s="7" t="n">
        <v>13</v>
      </c>
      <c r="AJ1155" s="7" t="n">
        <v>2</v>
      </c>
      <c r="AK1155" s="7" t="n">
        <v>8</v>
      </c>
      <c r="AL1155" s="7" t="n">
        <v>5</v>
      </c>
      <c r="AM1155" s="7" t="n">
        <v>19</v>
      </c>
      <c r="AN1155" s="7" t="n">
        <v>1</v>
      </c>
      <c r="AO1155" s="7" t="n">
        <v>4</v>
      </c>
      <c r="AP1155" s="7" t="n">
        <v>0</v>
      </c>
      <c r="AQ1155" s="7" t="n">
        <v>0</v>
      </c>
      <c r="AR1155" s="6" t="s">
        <v>57</v>
      </c>
      <c r="AS1155" s="6" t="s">
        <v>63</v>
      </c>
      <c r="AT1155" s="9" t="str">
        <f aca="false">HYPERLINK("http://catalog.hathitrust.org/Record/001383949","HathiTrust Record")</f>
        <v>HathiTrust Record</v>
      </c>
      <c r="AU1155" s="9" t="str">
        <f aca="false">HYPERLINK("https://creighton-primo.hosted.exlibrisgroup.com/primo-explore/search?tab=default_tab&amp;search_scope=EVERYTHING&amp;vid=01CRU&amp;lang=en_US&amp;offset=0&amp;query=any,contains,991002068359702656","Catalog Record")</f>
        <v>Catalog Record</v>
      </c>
      <c r="AV1155" s="9" t="str">
        <f aca="false">HYPERLINK("http://www.worldcat.org/oclc/263290","WorldCat Record")</f>
        <v>WorldCat Record</v>
      </c>
      <c r="AW1155" s="6" t="s">
        <v>8124</v>
      </c>
      <c r="AX1155" s="6" t="s">
        <v>8125</v>
      </c>
      <c r="AY1155" s="6" t="s">
        <v>8126</v>
      </c>
      <c r="AZ1155" s="6" t="s">
        <v>8126</v>
      </c>
      <c r="BA1155" s="6" t="s">
        <v>8127</v>
      </c>
      <c r="BB1155" s="28"/>
      <c r="BC1155" s="6" t="s">
        <v>8128</v>
      </c>
      <c r="BE1155" s="15" t="s">
        <v>2145</v>
      </c>
      <c r="BF1155" s="6" t="s">
        <v>8129</v>
      </c>
    </row>
    <row r="1156" customFormat="false" ht="82.5" hidden="false" customHeight="false" outlineLevel="0" collapsed="false">
      <c r="A1156" s="26" t="s">
        <v>63</v>
      </c>
      <c r="B1156" s="27" t="s">
        <v>2129</v>
      </c>
      <c r="C1156" s="27" t="s">
        <v>2130</v>
      </c>
      <c r="D1156" s="27" t="s">
        <v>8130</v>
      </c>
      <c r="E1156" s="27" t="s">
        <v>8131</v>
      </c>
      <c r="F1156" s="27" t="s">
        <v>8132</v>
      </c>
      <c r="G1156" s="28"/>
      <c r="H1156" s="6" t="s">
        <v>63</v>
      </c>
      <c r="I1156" s="6" t="s">
        <v>62</v>
      </c>
      <c r="J1156" s="6" t="s">
        <v>63</v>
      </c>
      <c r="K1156" s="6" t="s">
        <v>57</v>
      </c>
      <c r="L1156" s="6" t="s">
        <v>64</v>
      </c>
      <c r="M1156" s="27" t="s">
        <v>8120</v>
      </c>
      <c r="N1156" s="27" t="s">
        <v>8133</v>
      </c>
      <c r="O1156" s="6" t="s">
        <v>4833</v>
      </c>
      <c r="P1156" s="28"/>
      <c r="Q1156" s="6" t="s">
        <v>67</v>
      </c>
      <c r="R1156" s="6" t="s">
        <v>384</v>
      </c>
      <c r="S1156" s="27" t="s">
        <v>8134</v>
      </c>
      <c r="T1156" s="6" t="s">
        <v>6138</v>
      </c>
      <c r="U1156" s="7" t="n">
        <v>3</v>
      </c>
      <c r="V1156" s="7" t="n">
        <v>3</v>
      </c>
      <c r="W1156" s="8" t="s">
        <v>8135</v>
      </c>
      <c r="X1156" s="8" t="s">
        <v>8135</v>
      </c>
      <c r="Y1156" s="8" t="s">
        <v>7928</v>
      </c>
      <c r="Z1156" s="8" t="s">
        <v>7928</v>
      </c>
      <c r="AA1156" s="7" t="n">
        <v>507</v>
      </c>
      <c r="AB1156" s="7" t="n">
        <v>443</v>
      </c>
      <c r="AC1156" s="7" t="n">
        <v>813</v>
      </c>
      <c r="AD1156" s="7" t="n">
        <v>5</v>
      </c>
      <c r="AE1156" s="7" t="n">
        <v>6</v>
      </c>
      <c r="AF1156" s="7" t="n">
        <v>24</v>
      </c>
      <c r="AG1156" s="7" t="n">
        <v>37</v>
      </c>
      <c r="AH1156" s="7" t="n">
        <v>9</v>
      </c>
      <c r="AI1156" s="7" t="n">
        <v>13</v>
      </c>
      <c r="AJ1156" s="7" t="n">
        <v>6</v>
      </c>
      <c r="AK1156" s="7" t="n">
        <v>8</v>
      </c>
      <c r="AL1156" s="7" t="n">
        <v>11</v>
      </c>
      <c r="AM1156" s="7" t="n">
        <v>19</v>
      </c>
      <c r="AN1156" s="7" t="n">
        <v>3</v>
      </c>
      <c r="AO1156" s="7" t="n">
        <v>4</v>
      </c>
      <c r="AP1156" s="7" t="n">
        <v>0</v>
      </c>
      <c r="AQ1156" s="7" t="n">
        <v>0</v>
      </c>
      <c r="AR1156" s="6" t="s">
        <v>63</v>
      </c>
      <c r="AS1156" s="6" t="s">
        <v>57</v>
      </c>
      <c r="AT1156" s="9" t="str">
        <f aca="false">HYPERLINK("http://catalog.hathitrust.org/Record/001915678","HathiTrust Record")</f>
        <v>HathiTrust Record</v>
      </c>
      <c r="AU1156" s="9" t="str">
        <f aca="false">HYPERLINK("https://creighton-primo.hosted.exlibrisgroup.com/primo-explore/search?tab=default_tab&amp;search_scope=EVERYTHING&amp;vid=01CRU&amp;lang=en_US&amp;offset=0&amp;query=any,contains,991003403069702656","Catalog Record")</f>
        <v>Catalog Record</v>
      </c>
      <c r="AV1156" s="9" t="str">
        <f aca="false">HYPERLINK("http://www.worldcat.org/oclc/942523","WorldCat Record")</f>
        <v>WorldCat Record</v>
      </c>
      <c r="AW1156" s="6" t="s">
        <v>8124</v>
      </c>
      <c r="AX1156" s="6" t="s">
        <v>8136</v>
      </c>
      <c r="AY1156" s="6" t="s">
        <v>8137</v>
      </c>
      <c r="AZ1156" s="6" t="s">
        <v>8137</v>
      </c>
      <c r="BA1156" s="6" t="s">
        <v>8138</v>
      </c>
      <c r="BB1156" s="28"/>
      <c r="BC1156" s="6" t="s">
        <v>8139</v>
      </c>
      <c r="BE1156" s="15" t="s">
        <v>2145</v>
      </c>
      <c r="BF1156" s="6" t="s">
        <v>8140</v>
      </c>
    </row>
    <row r="1157" customFormat="false" ht="186" hidden="false" customHeight="false" outlineLevel="0" collapsed="false">
      <c r="A1157" s="26" t="s">
        <v>63</v>
      </c>
      <c r="B1157" s="27" t="s">
        <v>2129</v>
      </c>
      <c r="C1157" s="27" t="s">
        <v>2130</v>
      </c>
      <c r="D1157" s="27" t="s">
        <v>8141</v>
      </c>
      <c r="E1157" s="27" t="s">
        <v>8142</v>
      </c>
      <c r="F1157" s="27" t="s">
        <v>8143</v>
      </c>
      <c r="G1157" s="28"/>
      <c r="H1157" s="6" t="s">
        <v>63</v>
      </c>
      <c r="I1157" s="6" t="s">
        <v>62</v>
      </c>
      <c r="J1157" s="6" t="s">
        <v>63</v>
      </c>
      <c r="K1157" s="6" t="s">
        <v>63</v>
      </c>
      <c r="L1157" s="6" t="s">
        <v>64</v>
      </c>
      <c r="M1157" s="27" t="s">
        <v>8144</v>
      </c>
      <c r="N1157" s="27" t="s">
        <v>8145</v>
      </c>
      <c r="O1157" s="6" t="s">
        <v>8146</v>
      </c>
      <c r="P1157" s="28"/>
      <c r="Q1157" s="6" t="s">
        <v>67</v>
      </c>
      <c r="R1157" s="6" t="s">
        <v>384</v>
      </c>
      <c r="S1157" s="28"/>
      <c r="T1157" s="6" t="s">
        <v>6138</v>
      </c>
      <c r="U1157" s="7" t="n">
        <v>3</v>
      </c>
      <c r="V1157" s="7" t="n">
        <v>3</v>
      </c>
      <c r="W1157" s="8" t="s">
        <v>8147</v>
      </c>
      <c r="X1157" s="8" t="s">
        <v>8147</v>
      </c>
      <c r="Y1157" s="8" t="s">
        <v>7928</v>
      </c>
      <c r="Z1157" s="8" t="s">
        <v>7928</v>
      </c>
      <c r="AA1157" s="7" t="n">
        <v>184</v>
      </c>
      <c r="AB1157" s="7" t="n">
        <v>119</v>
      </c>
      <c r="AC1157" s="7" t="n">
        <v>1063</v>
      </c>
      <c r="AD1157" s="7" t="n">
        <v>2</v>
      </c>
      <c r="AE1157" s="7" t="n">
        <v>4</v>
      </c>
      <c r="AF1157" s="7" t="n">
        <v>9</v>
      </c>
      <c r="AG1157" s="7" t="n">
        <v>49</v>
      </c>
      <c r="AH1157" s="7" t="n">
        <v>4</v>
      </c>
      <c r="AI1157" s="7" t="n">
        <v>19</v>
      </c>
      <c r="AJ1157" s="7" t="n">
        <v>2</v>
      </c>
      <c r="AK1157" s="7" t="n">
        <v>10</v>
      </c>
      <c r="AL1157" s="7" t="n">
        <v>4</v>
      </c>
      <c r="AM1157" s="7" t="n">
        <v>26</v>
      </c>
      <c r="AN1157" s="7" t="n">
        <v>1</v>
      </c>
      <c r="AO1157" s="7" t="n">
        <v>3</v>
      </c>
      <c r="AP1157" s="7" t="n">
        <v>1</v>
      </c>
      <c r="AQ1157" s="7" t="n">
        <v>4</v>
      </c>
      <c r="AR1157" s="6" t="s">
        <v>63</v>
      </c>
      <c r="AS1157" s="6" t="s">
        <v>63</v>
      </c>
      <c r="AT1157" s="28"/>
      <c r="AU1157" s="9" t="str">
        <f aca="false">HYPERLINK("https://creighton-primo.hosted.exlibrisgroup.com/primo-explore/search?tab=default_tab&amp;search_scope=EVERYTHING&amp;vid=01CRU&amp;lang=en_US&amp;offset=0&amp;query=any,contains,991004538199702656","Catalog Record")</f>
        <v>Catalog Record</v>
      </c>
      <c r="AV1157" s="9" t="str">
        <f aca="false">HYPERLINK("http://www.worldcat.org/oclc/3881309","WorldCat Record")</f>
        <v>WorldCat Record</v>
      </c>
      <c r="AW1157" s="6" t="s">
        <v>8148</v>
      </c>
      <c r="AX1157" s="6" t="s">
        <v>8149</v>
      </c>
      <c r="AY1157" s="6" t="s">
        <v>8150</v>
      </c>
      <c r="AZ1157" s="6" t="s">
        <v>8150</v>
      </c>
      <c r="BA1157" s="6" t="s">
        <v>8151</v>
      </c>
      <c r="BB1157" s="28"/>
      <c r="BC1157" s="6" t="s">
        <v>8152</v>
      </c>
      <c r="BE1157" s="15" t="s">
        <v>2145</v>
      </c>
      <c r="BF1157" s="6" t="s">
        <v>8153</v>
      </c>
    </row>
    <row r="1158" customFormat="false" ht="48" hidden="false" customHeight="false" outlineLevel="0" collapsed="false">
      <c r="A1158" s="26" t="s">
        <v>63</v>
      </c>
      <c r="B1158" s="27" t="s">
        <v>2129</v>
      </c>
      <c r="C1158" s="27" t="s">
        <v>2130</v>
      </c>
      <c r="D1158" s="27" t="s">
        <v>8154</v>
      </c>
      <c r="E1158" s="27" t="s">
        <v>8155</v>
      </c>
      <c r="F1158" s="27" t="s">
        <v>8156</v>
      </c>
      <c r="G1158" s="28"/>
      <c r="H1158" s="6" t="s">
        <v>63</v>
      </c>
      <c r="I1158" s="6" t="s">
        <v>62</v>
      </c>
      <c r="J1158" s="6" t="s">
        <v>63</v>
      </c>
      <c r="K1158" s="6" t="s">
        <v>63</v>
      </c>
      <c r="L1158" s="6" t="s">
        <v>64</v>
      </c>
      <c r="M1158" s="27" t="s">
        <v>8157</v>
      </c>
      <c r="N1158" s="27" t="s">
        <v>8158</v>
      </c>
      <c r="O1158" s="6" t="s">
        <v>122</v>
      </c>
      <c r="P1158" s="28"/>
      <c r="Q1158" s="6" t="s">
        <v>67</v>
      </c>
      <c r="R1158" s="6" t="s">
        <v>384</v>
      </c>
      <c r="S1158" s="28"/>
      <c r="T1158" s="6" t="s">
        <v>6138</v>
      </c>
      <c r="U1158" s="7" t="n">
        <v>5</v>
      </c>
      <c r="V1158" s="7" t="n">
        <v>5</v>
      </c>
      <c r="W1158" s="8" t="s">
        <v>3852</v>
      </c>
      <c r="X1158" s="8" t="s">
        <v>3852</v>
      </c>
      <c r="Y1158" s="8" t="s">
        <v>7928</v>
      </c>
      <c r="Z1158" s="8" t="s">
        <v>7928</v>
      </c>
      <c r="AA1158" s="7" t="n">
        <v>282</v>
      </c>
      <c r="AB1158" s="7" t="n">
        <v>213</v>
      </c>
      <c r="AC1158" s="7" t="n">
        <v>519</v>
      </c>
      <c r="AD1158" s="7" t="n">
        <v>3</v>
      </c>
      <c r="AE1158" s="7" t="n">
        <v>4</v>
      </c>
      <c r="AF1158" s="7" t="n">
        <v>10</v>
      </c>
      <c r="AG1158" s="7" t="n">
        <v>24</v>
      </c>
      <c r="AH1158" s="7" t="n">
        <v>4</v>
      </c>
      <c r="AI1158" s="7" t="n">
        <v>8</v>
      </c>
      <c r="AJ1158" s="7" t="n">
        <v>2</v>
      </c>
      <c r="AK1158" s="7" t="n">
        <v>5</v>
      </c>
      <c r="AL1158" s="7" t="n">
        <v>6</v>
      </c>
      <c r="AM1158" s="7" t="n">
        <v>13</v>
      </c>
      <c r="AN1158" s="7" t="n">
        <v>2</v>
      </c>
      <c r="AO1158" s="7" t="n">
        <v>3</v>
      </c>
      <c r="AP1158" s="7" t="n">
        <v>0</v>
      </c>
      <c r="AQ1158" s="7" t="n">
        <v>0</v>
      </c>
      <c r="AR1158" s="6" t="s">
        <v>63</v>
      </c>
      <c r="AS1158" s="6" t="s">
        <v>57</v>
      </c>
      <c r="AT1158" s="9" t="str">
        <f aca="false">HYPERLINK("http://catalog.hathitrust.org/Record/004460996","HathiTrust Record")</f>
        <v>HathiTrust Record</v>
      </c>
      <c r="AU1158" s="9" t="str">
        <f aca="false">HYPERLINK("https://creighton-primo.hosted.exlibrisgroup.com/primo-explore/search?tab=default_tab&amp;search_scope=EVERYTHING&amp;vid=01CRU&amp;lang=en_US&amp;offset=0&amp;query=any,contains,991003990729702656","Catalog Record")</f>
        <v>Catalog Record</v>
      </c>
      <c r="AV1158" s="9" t="str">
        <f aca="false">HYPERLINK("http://www.worldcat.org/oclc/2045424","WorldCat Record")</f>
        <v>WorldCat Record</v>
      </c>
      <c r="AW1158" s="6" t="s">
        <v>8159</v>
      </c>
      <c r="AX1158" s="6" t="s">
        <v>8160</v>
      </c>
      <c r="AY1158" s="6" t="s">
        <v>8161</v>
      </c>
      <c r="AZ1158" s="6" t="s">
        <v>8161</v>
      </c>
      <c r="BA1158" s="6" t="s">
        <v>8162</v>
      </c>
      <c r="BB1158" s="28"/>
      <c r="BC1158" s="6" t="s">
        <v>8163</v>
      </c>
      <c r="BE1158" s="15" t="s">
        <v>2145</v>
      </c>
      <c r="BF1158" s="6" t="s">
        <v>8164</v>
      </c>
    </row>
    <row r="1159" customFormat="false" ht="71" hidden="false" customHeight="false" outlineLevel="0" collapsed="false">
      <c r="A1159" s="26" t="s">
        <v>63</v>
      </c>
      <c r="B1159" s="27" t="s">
        <v>2129</v>
      </c>
      <c r="C1159" s="27" t="s">
        <v>2130</v>
      </c>
      <c r="D1159" s="27" t="s">
        <v>8165</v>
      </c>
      <c r="E1159" s="27" t="s">
        <v>8166</v>
      </c>
      <c r="F1159" s="27" t="s">
        <v>8167</v>
      </c>
      <c r="G1159" s="28"/>
      <c r="H1159" s="6" t="s">
        <v>63</v>
      </c>
      <c r="I1159" s="6" t="s">
        <v>62</v>
      </c>
      <c r="J1159" s="6" t="s">
        <v>63</v>
      </c>
      <c r="K1159" s="6" t="s">
        <v>63</v>
      </c>
      <c r="L1159" s="6" t="s">
        <v>64</v>
      </c>
      <c r="M1159" s="27" t="s">
        <v>6956</v>
      </c>
      <c r="N1159" s="27" t="s">
        <v>8168</v>
      </c>
      <c r="O1159" s="6" t="s">
        <v>4869</v>
      </c>
      <c r="P1159" s="28"/>
      <c r="Q1159" s="6" t="s">
        <v>67</v>
      </c>
      <c r="R1159" s="6" t="s">
        <v>68</v>
      </c>
      <c r="S1159" s="28"/>
      <c r="T1159" s="6" t="s">
        <v>6138</v>
      </c>
      <c r="U1159" s="7" t="n">
        <v>4</v>
      </c>
      <c r="V1159" s="7" t="n">
        <v>4</v>
      </c>
      <c r="W1159" s="8" t="s">
        <v>8169</v>
      </c>
      <c r="X1159" s="8" t="s">
        <v>8169</v>
      </c>
      <c r="Y1159" s="8" t="s">
        <v>7928</v>
      </c>
      <c r="Z1159" s="8" t="s">
        <v>7928</v>
      </c>
      <c r="AA1159" s="7" t="n">
        <v>498</v>
      </c>
      <c r="AB1159" s="7" t="n">
        <v>457</v>
      </c>
      <c r="AC1159" s="7" t="n">
        <v>463</v>
      </c>
      <c r="AD1159" s="7" t="n">
        <v>4</v>
      </c>
      <c r="AE1159" s="7" t="n">
        <v>4</v>
      </c>
      <c r="AF1159" s="7" t="n">
        <v>23</v>
      </c>
      <c r="AG1159" s="7" t="n">
        <v>23</v>
      </c>
      <c r="AH1159" s="7" t="n">
        <v>11</v>
      </c>
      <c r="AI1159" s="7" t="n">
        <v>11</v>
      </c>
      <c r="AJ1159" s="7" t="n">
        <v>3</v>
      </c>
      <c r="AK1159" s="7" t="n">
        <v>3</v>
      </c>
      <c r="AL1159" s="7" t="n">
        <v>11</v>
      </c>
      <c r="AM1159" s="7" t="n">
        <v>11</v>
      </c>
      <c r="AN1159" s="7" t="n">
        <v>3</v>
      </c>
      <c r="AO1159" s="7" t="n">
        <v>3</v>
      </c>
      <c r="AP1159" s="7" t="n">
        <v>0</v>
      </c>
      <c r="AQ1159" s="7" t="n">
        <v>0</v>
      </c>
      <c r="AR1159" s="6" t="s">
        <v>63</v>
      </c>
      <c r="AS1159" s="6" t="s">
        <v>57</v>
      </c>
      <c r="AT1159" s="9" t="str">
        <f aca="false">HYPERLINK("http://catalog.hathitrust.org/Record/001383953","HathiTrust Record")</f>
        <v>HathiTrust Record</v>
      </c>
      <c r="AU1159" s="9" t="str">
        <f aca="false">HYPERLINK("https://creighton-primo.hosted.exlibrisgroup.com/primo-explore/search?tab=default_tab&amp;search_scope=EVERYTHING&amp;vid=01CRU&amp;lang=en_US&amp;offset=0&amp;query=any,contains,991004609369702656","Catalog Record")</f>
        <v>Catalog Record</v>
      </c>
      <c r="AV1159" s="9" t="str">
        <f aca="false">HYPERLINK("http://www.worldcat.org/oclc/4208453","WorldCat Record")</f>
        <v>WorldCat Record</v>
      </c>
      <c r="AW1159" s="6" t="s">
        <v>8170</v>
      </c>
      <c r="AX1159" s="6" t="s">
        <v>8171</v>
      </c>
      <c r="AY1159" s="6" t="s">
        <v>8172</v>
      </c>
      <c r="AZ1159" s="6" t="s">
        <v>8172</v>
      </c>
      <c r="BA1159" s="6" t="s">
        <v>8173</v>
      </c>
      <c r="BB1159" s="28"/>
      <c r="BC1159" s="6" t="s">
        <v>8174</v>
      </c>
      <c r="BE1159" s="15" t="s">
        <v>2145</v>
      </c>
      <c r="BF1159" s="6" t="s">
        <v>8175</v>
      </c>
    </row>
    <row r="1160" customFormat="false" ht="82.5" hidden="false" customHeight="false" outlineLevel="0" collapsed="false">
      <c r="A1160" s="26" t="s">
        <v>63</v>
      </c>
      <c r="B1160" s="27" t="s">
        <v>2129</v>
      </c>
      <c r="C1160" s="27" t="s">
        <v>2130</v>
      </c>
      <c r="D1160" s="27" t="s">
        <v>8176</v>
      </c>
      <c r="E1160" s="27" t="s">
        <v>8177</v>
      </c>
      <c r="F1160" s="27" t="s">
        <v>8178</v>
      </c>
      <c r="G1160" s="28"/>
      <c r="H1160" s="6" t="s">
        <v>63</v>
      </c>
      <c r="I1160" s="6" t="s">
        <v>62</v>
      </c>
      <c r="J1160" s="6" t="s">
        <v>63</v>
      </c>
      <c r="K1160" s="6" t="s">
        <v>63</v>
      </c>
      <c r="L1160" s="6" t="s">
        <v>64</v>
      </c>
      <c r="M1160" s="27" t="s">
        <v>8179</v>
      </c>
      <c r="N1160" s="27" t="s">
        <v>7972</v>
      </c>
      <c r="O1160" s="6" t="s">
        <v>3029</v>
      </c>
      <c r="P1160" s="28"/>
      <c r="Q1160" s="6" t="s">
        <v>67</v>
      </c>
      <c r="R1160" s="6" t="s">
        <v>68</v>
      </c>
      <c r="S1160" s="28"/>
      <c r="T1160" s="6" t="s">
        <v>6138</v>
      </c>
      <c r="U1160" s="7" t="n">
        <v>5</v>
      </c>
      <c r="V1160" s="7" t="n">
        <v>5</v>
      </c>
      <c r="W1160" s="8" t="s">
        <v>8180</v>
      </c>
      <c r="X1160" s="8" t="s">
        <v>8180</v>
      </c>
      <c r="Y1160" s="8" t="s">
        <v>7928</v>
      </c>
      <c r="Z1160" s="8" t="s">
        <v>7928</v>
      </c>
      <c r="AA1160" s="7" t="n">
        <v>478</v>
      </c>
      <c r="AB1160" s="7" t="n">
        <v>453</v>
      </c>
      <c r="AC1160" s="7" t="n">
        <v>481</v>
      </c>
      <c r="AD1160" s="7" t="n">
        <v>3</v>
      </c>
      <c r="AE1160" s="7" t="n">
        <v>3</v>
      </c>
      <c r="AF1160" s="7" t="n">
        <v>23</v>
      </c>
      <c r="AG1160" s="7" t="n">
        <v>24</v>
      </c>
      <c r="AH1160" s="7" t="n">
        <v>4</v>
      </c>
      <c r="AI1160" s="7" t="n">
        <v>4</v>
      </c>
      <c r="AJ1160" s="7" t="n">
        <v>7</v>
      </c>
      <c r="AK1160" s="7" t="n">
        <v>8</v>
      </c>
      <c r="AL1160" s="7" t="n">
        <v>14</v>
      </c>
      <c r="AM1160" s="7" t="n">
        <v>15</v>
      </c>
      <c r="AN1160" s="7" t="n">
        <v>2</v>
      </c>
      <c r="AO1160" s="7" t="n">
        <v>2</v>
      </c>
      <c r="AP1160" s="7" t="n">
        <v>3</v>
      </c>
      <c r="AQ1160" s="7" t="n">
        <v>3</v>
      </c>
      <c r="AR1160" s="6" t="s">
        <v>63</v>
      </c>
      <c r="AS1160" s="6" t="s">
        <v>63</v>
      </c>
      <c r="AT1160" s="28"/>
      <c r="AU1160" s="9" t="str">
        <f aca="false">HYPERLINK("https://creighton-primo.hosted.exlibrisgroup.com/primo-explore/search?tab=default_tab&amp;search_scope=EVERYTHING&amp;vid=01CRU&amp;lang=en_US&amp;offset=0&amp;query=any,contains,991002560929702656","Catalog Record")</f>
        <v>Catalog Record</v>
      </c>
      <c r="AV1160" s="9" t="str">
        <f aca="false">HYPERLINK("http://www.worldcat.org/oclc/371740","WorldCat Record")</f>
        <v>WorldCat Record</v>
      </c>
      <c r="AW1160" s="6" t="s">
        <v>8181</v>
      </c>
      <c r="AX1160" s="6" t="s">
        <v>8182</v>
      </c>
      <c r="AY1160" s="6" t="s">
        <v>8183</v>
      </c>
      <c r="AZ1160" s="6" t="s">
        <v>8183</v>
      </c>
      <c r="BA1160" s="6" t="s">
        <v>8184</v>
      </c>
      <c r="BB1160" s="28"/>
      <c r="BC1160" s="6" t="s">
        <v>8185</v>
      </c>
      <c r="BE1160" s="15" t="s">
        <v>2145</v>
      </c>
      <c r="BF1160" s="6" t="s">
        <v>8186</v>
      </c>
    </row>
    <row r="1161" customFormat="false" ht="94" hidden="false" customHeight="false" outlineLevel="0" collapsed="false">
      <c r="A1161" s="26" t="s">
        <v>63</v>
      </c>
      <c r="B1161" s="27" t="s">
        <v>2129</v>
      </c>
      <c r="C1161" s="27" t="s">
        <v>2130</v>
      </c>
      <c r="D1161" s="27" t="s">
        <v>8187</v>
      </c>
      <c r="E1161" s="27" t="s">
        <v>8188</v>
      </c>
      <c r="F1161" s="27" t="s">
        <v>8189</v>
      </c>
      <c r="G1161" s="28"/>
      <c r="H1161" s="6" t="s">
        <v>63</v>
      </c>
      <c r="I1161" s="6" t="s">
        <v>62</v>
      </c>
      <c r="J1161" s="6" t="s">
        <v>63</v>
      </c>
      <c r="K1161" s="6" t="s">
        <v>57</v>
      </c>
      <c r="L1161" s="6" t="s">
        <v>64</v>
      </c>
      <c r="M1161" s="27" t="s">
        <v>8190</v>
      </c>
      <c r="N1161" s="27" t="s">
        <v>8191</v>
      </c>
      <c r="O1161" s="6" t="s">
        <v>2396</v>
      </c>
      <c r="P1161" s="28"/>
      <c r="Q1161" s="6" t="s">
        <v>67</v>
      </c>
      <c r="R1161" s="6" t="s">
        <v>68</v>
      </c>
      <c r="S1161" s="28"/>
      <c r="T1161" s="6" t="s">
        <v>6138</v>
      </c>
      <c r="U1161" s="7" t="n">
        <v>2</v>
      </c>
      <c r="V1161" s="7" t="n">
        <v>2</v>
      </c>
      <c r="W1161" s="8" t="s">
        <v>8109</v>
      </c>
      <c r="X1161" s="8" t="s">
        <v>8109</v>
      </c>
      <c r="Y1161" s="8" t="s">
        <v>7928</v>
      </c>
      <c r="Z1161" s="8" t="s">
        <v>7928</v>
      </c>
      <c r="AA1161" s="7" t="n">
        <v>107</v>
      </c>
      <c r="AB1161" s="7" t="n">
        <v>106</v>
      </c>
      <c r="AC1161" s="7" t="n">
        <v>780</v>
      </c>
      <c r="AD1161" s="7" t="n">
        <v>1</v>
      </c>
      <c r="AE1161" s="7" t="n">
        <v>3</v>
      </c>
      <c r="AF1161" s="7" t="n">
        <v>2</v>
      </c>
      <c r="AG1161" s="7" t="n">
        <v>39</v>
      </c>
      <c r="AH1161" s="7" t="n">
        <v>0</v>
      </c>
      <c r="AI1161" s="7" t="n">
        <v>18</v>
      </c>
      <c r="AJ1161" s="7" t="n">
        <v>1</v>
      </c>
      <c r="AK1161" s="7" t="n">
        <v>7</v>
      </c>
      <c r="AL1161" s="7" t="n">
        <v>1</v>
      </c>
      <c r="AM1161" s="7" t="n">
        <v>22</v>
      </c>
      <c r="AN1161" s="7" t="n">
        <v>0</v>
      </c>
      <c r="AO1161" s="7" t="n">
        <v>2</v>
      </c>
      <c r="AP1161" s="7" t="n">
        <v>0</v>
      </c>
      <c r="AQ1161" s="7" t="n">
        <v>1</v>
      </c>
      <c r="AR1161" s="6" t="s">
        <v>63</v>
      </c>
      <c r="AS1161" s="6" t="s">
        <v>57</v>
      </c>
      <c r="AT1161" s="9" t="str">
        <f aca="false">HYPERLINK("http://catalog.hathitrust.org/Record/008002126","HathiTrust Record")</f>
        <v>HathiTrust Record</v>
      </c>
      <c r="AU1161" s="9" t="str">
        <f aca="false">HYPERLINK("https://creighton-primo.hosted.exlibrisgroup.com/primo-explore/search?tab=default_tab&amp;search_scope=EVERYTHING&amp;vid=01CRU&amp;lang=en_US&amp;offset=0&amp;query=any,contains,991003937819702656","Catalog Record")</f>
        <v>Catalog Record</v>
      </c>
      <c r="AV1161" s="9" t="str">
        <f aca="false">HYPERLINK("http://www.worldcat.org/oclc/767971433","WorldCat Record")</f>
        <v>WorldCat Record</v>
      </c>
      <c r="AW1161" s="6" t="s">
        <v>8192</v>
      </c>
      <c r="AX1161" s="6" t="s">
        <v>8193</v>
      </c>
      <c r="AY1161" s="6" t="s">
        <v>8194</v>
      </c>
      <c r="AZ1161" s="6" t="s">
        <v>8194</v>
      </c>
      <c r="BA1161" s="6" t="s">
        <v>8195</v>
      </c>
      <c r="BB1161" s="28"/>
      <c r="BC1161" s="6" t="s">
        <v>8196</v>
      </c>
      <c r="BE1161" s="15" t="s">
        <v>2145</v>
      </c>
      <c r="BF1161" s="6" t="s">
        <v>8197</v>
      </c>
    </row>
    <row r="1162" customFormat="false" ht="105.5" hidden="false" customHeight="false" outlineLevel="0" collapsed="false">
      <c r="A1162" s="26" t="s">
        <v>63</v>
      </c>
      <c r="B1162" s="27" t="s">
        <v>2129</v>
      </c>
      <c r="C1162" s="27" t="s">
        <v>2130</v>
      </c>
      <c r="D1162" s="27" t="s">
        <v>8198</v>
      </c>
      <c r="E1162" s="27" t="s">
        <v>8199</v>
      </c>
      <c r="F1162" s="27" t="s">
        <v>8200</v>
      </c>
      <c r="G1162" s="28"/>
      <c r="H1162" s="6" t="s">
        <v>63</v>
      </c>
      <c r="I1162" s="6" t="s">
        <v>62</v>
      </c>
      <c r="J1162" s="6" t="s">
        <v>63</v>
      </c>
      <c r="K1162" s="6" t="s">
        <v>63</v>
      </c>
      <c r="L1162" s="6" t="s">
        <v>64</v>
      </c>
      <c r="M1162" s="27" t="s">
        <v>8201</v>
      </c>
      <c r="N1162" s="27" t="s">
        <v>8202</v>
      </c>
      <c r="O1162" s="6" t="s">
        <v>4053</v>
      </c>
      <c r="P1162" s="28"/>
      <c r="Q1162" s="6" t="s">
        <v>67</v>
      </c>
      <c r="R1162" s="6" t="s">
        <v>123</v>
      </c>
      <c r="S1162" s="28"/>
      <c r="T1162" s="6" t="s">
        <v>6138</v>
      </c>
      <c r="U1162" s="7" t="n">
        <v>2</v>
      </c>
      <c r="V1162" s="7" t="n">
        <v>2</v>
      </c>
      <c r="W1162" s="8" t="s">
        <v>8203</v>
      </c>
      <c r="X1162" s="8" t="s">
        <v>8203</v>
      </c>
      <c r="Y1162" s="8" t="s">
        <v>7928</v>
      </c>
      <c r="Z1162" s="8" t="s">
        <v>7928</v>
      </c>
      <c r="AA1162" s="7" t="n">
        <v>76</v>
      </c>
      <c r="AB1162" s="7" t="n">
        <v>70</v>
      </c>
      <c r="AC1162" s="7" t="n">
        <v>124</v>
      </c>
      <c r="AD1162" s="7" t="n">
        <v>1</v>
      </c>
      <c r="AE1162" s="7" t="n">
        <v>3</v>
      </c>
      <c r="AF1162" s="7" t="n">
        <v>2</v>
      </c>
      <c r="AG1162" s="7" t="n">
        <v>5</v>
      </c>
      <c r="AH1162" s="7" t="n">
        <v>0</v>
      </c>
      <c r="AI1162" s="7" t="n">
        <v>1</v>
      </c>
      <c r="AJ1162" s="7" t="n">
        <v>2</v>
      </c>
      <c r="AK1162" s="7" t="n">
        <v>2</v>
      </c>
      <c r="AL1162" s="7" t="n">
        <v>2</v>
      </c>
      <c r="AM1162" s="7" t="n">
        <v>3</v>
      </c>
      <c r="AN1162" s="7" t="n">
        <v>0</v>
      </c>
      <c r="AO1162" s="7" t="n">
        <v>2</v>
      </c>
      <c r="AP1162" s="7" t="n">
        <v>0</v>
      </c>
      <c r="AQ1162" s="7" t="n">
        <v>0</v>
      </c>
      <c r="AR1162" s="6" t="s">
        <v>63</v>
      </c>
      <c r="AS1162" s="6" t="s">
        <v>63</v>
      </c>
      <c r="AT1162" s="9" t="str">
        <f aca="false">HYPERLINK("http://catalog.hathitrust.org/Record/001383971","HathiTrust Record")</f>
        <v>HathiTrust Record</v>
      </c>
      <c r="AU1162" s="9" t="str">
        <f aca="false">HYPERLINK("https://creighton-primo.hosted.exlibrisgroup.com/primo-explore/search?tab=default_tab&amp;search_scope=EVERYTHING&amp;vid=01CRU&amp;lang=en_US&amp;offset=0&amp;query=any,contains,991003544629702656","Catalog Record")</f>
        <v>Catalog Record</v>
      </c>
      <c r="AV1162" s="9" t="str">
        <f aca="false">HYPERLINK("http://www.worldcat.org/oclc/1110580","WorldCat Record")</f>
        <v>WorldCat Record</v>
      </c>
      <c r="AW1162" s="6" t="s">
        <v>8204</v>
      </c>
      <c r="AX1162" s="6" t="s">
        <v>8205</v>
      </c>
      <c r="AY1162" s="6" t="s">
        <v>8206</v>
      </c>
      <c r="AZ1162" s="6" t="s">
        <v>8206</v>
      </c>
      <c r="BA1162" s="6" t="s">
        <v>8207</v>
      </c>
      <c r="BB1162" s="28"/>
      <c r="BC1162" s="6" t="s">
        <v>8208</v>
      </c>
      <c r="BE1162" s="15" t="s">
        <v>2145</v>
      </c>
      <c r="BF1162" s="6" t="s">
        <v>8209</v>
      </c>
    </row>
    <row r="1163" customFormat="false" ht="243.5" hidden="false" customHeight="false" outlineLevel="0" collapsed="false">
      <c r="A1163" s="26" t="s">
        <v>63</v>
      </c>
      <c r="B1163" s="27" t="s">
        <v>2129</v>
      </c>
      <c r="C1163" s="27" t="s">
        <v>2130</v>
      </c>
      <c r="D1163" s="27" t="s">
        <v>8210</v>
      </c>
      <c r="E1163" s="27" t="s">
        <v>8211</v>
      </c>
      <c r="F1163" s="27" t="s">
        <v>8212</v>
      </c>
      <c r="G1163" s="28"/>
      <c r="H1163" s="6" t="s">
        <v>63</v>
      </c>
      <c r="I1163" s="6" t="s">
        <v>62</v>
      </c>
      <c r="J1163" s="6" t="s">
        <v>63</v>
      </c>
      <c r="K1163" s="6" t="s">
        <v>63</v>
      </c>
      <c r="L1163" s="6" t="s">
        <v>64</v>
      </c>
      <c r="M1163" s="27" t="s">
        <v>8213</v>
      </c>
      <c r="N1163" s="27" t="s">
        <v>8214</v>
      </c>
      <c r="O1163" s="6" t="s">
        <v>2975</v>
      </c>
      <c r="P1163" s="28"/>
      <c r="Q1163" s="6" t="s">
        <v>67</v>
      </c>
      <c r="R1163" s="6" t="s">
        <v>68</v>
      </c>
      <c r="S1163" s="28"/>
      <c r="T1163" s="6" t="s">
        <v>6138</v>
      </c>
      <c r="U1163" s="7" t="n">
        <v>3</v>
      </c>
      <c r="V1163" s="7" t="n">
        <v>3</v>
      </c>
      <c r="W1163" s="8" t="s">
        <v>8215</v>
      </c>
      <c r="X1163" s="8" t="s">
        <v>8215</v>
      </c>
      <c r="Y1163" s="8" t="s">
        <v>7403</v>
      </c>
      <c r="Z1163" s="8" t="s">
        <v>7403</v>
      </c>
      <c r="AA1163" s="7" t="n">
        <v>372</v>
      </c>
      <c r="AB1163" s="7" t="n">
        <v>350</v>
      </c>
      <c r="AC1163" s="7" t="n">
        <v>454</v>
      </c>
      <c r="AD1163" s="7" t="n">
        <v>2</v>
      </c>
      <c r="AE1163" s="7" t="n">
        <v>3</v>
      </c>
      <c r="AF1163" s="7" t="n">
        <v>21</v>
      </c>
      <c r="AG1163" s="7" t="n">
        <v>24</v>
      </c>
      <c r="AH1163" s="7" t="n">
        <v>8</v>
      </c>
      <c r="AI1163" s="7" t="n">
        <v>8</v>
      </c>
      <c r="AJ1163" s="7" t="n">
        <v>6</v>
      </c>
      <c r="AK1163" s="7" t="n">
        <v>7</v>
      </c>
      <c r="AL1163" s="7" t="n">
        <v>10</v>
      </c>
      <c r="AM1163" s="7" t="n">
        <v>11</v>
      </c>
      <c r="AN1163" s="7" t="n">
        <v>1</v>
      </c>
      <c r="AO1163" s="7" t="n">
        <v>2</v>
      </c>
      <c r="AP1163" s="7" t="n">
        <v>0</v>
      </c>
      <c r="AQ1163" s="7" t="n">
        <v>0</v>
      </c>
      <c r="AR1163" s="6" t="s">
        <v>63</v>
      </c>
      <c r="AS1163" s="6" t="s">
        <v>57</v>
      </c>
      <c r="AT1163" s="9" t="str">
        <f aca="false">HYPERLINK("http://catalog.hathitrust.org/Record/001380400","HathiTrust Record")</f>
        <v>HathiTrust Record</v>
      </c>
      <c r="AU1163" s="9" t="str">
        <f aca="false">HYPERLINK("https://creighton-primo.hosted.exlibrisgroup.com/primo-explore/search?tab=default_tab&amp;search_scope=EVERYTHING&amp;vid=01CRU&amp;lang=en_US&amp;offset=0&amp;query=any,contains,991000109379702656","Catalog Record")</f>
        <v>Catalog Record</v>
      </c>
      <c r="AV1163" s="9" t="str">
        <f aca="false">HYPERLINK("http://www.worldcat.org/oclc/47518","WorldCat Record")</f>
        <v>WorldCat Record</v>
      </c>
      <c r="AW1163" s="6" t="s">
        <v>8216</v>
      </c>
      <c r="AX1163" s="6" t="s">
        <v>8217</v>
      </c>
      <c r="AY1163" s="6" t="s">
        <v>8218</v>
      </c>
      <c r="AZ1163" s="6" t="s">
        <v>8218</v>
      </c>
      <c r="BA1163" s="6" t="s">
        <v>8219</v>
      </c>
      <c r="BB1163" s="28"/>
      <c r="BC1163" s="6" t="s">
        <v>8220</v>
      </c>
      <c r="BE1163" s="15" t="s">
        <v>2145</v>
      </c>
      <c r="BF1163" s="6" t="s">
        <v>8221</v>
      </c>
    </row>
    <row r="1164" customFormat="false" ht="186" hidden="false" customHeight="false" outlineLevel="0" collapsed="false">
      <c r="A1164" s="26" t="s">
        <v>63</v>
      </c>
      <c r="B1164" s="27" t="s">
        <v>2129</v>
      </c>
      <c r="C1164" s="27" t="s">
        <v>2130</v>
      </c>
      <c r="D1164" s="27" t="s">
        <v>8222</v>
      </c>
      <c r="E1164" s="27" t="s">
        <v>8223</v>
      </c>
      <c r="F1164" s="27" t="s">
        <v>8224</v>
      </c>
      <c r="G1164" s="28"/>
      <c r="H1164" s="6" t="s">
        <v>63</v>
      </c>
      <c r="I1164" s="6" t="s">
        <v>62</v>
      </c>
      <c r="J1164" s="6" t="s">
        <v>63</v>
      </c>
      <c r="K1164" s="6" t="s">
        <v>63</v>
      </c>
      <c r="L1164" s="6" t="s">
        <v>64</v>
      </c>
      <c r="M1164" s="27" t="s">
        <v>8190</v>
      </c>
      <c r="N1164" s="27" t="s">
        <v>8225</v>
      </c>
      <c r="O1164" s="6" t="s">
        <v>2396</v>
      </c>
      <c r="P1164" s="28"/>
      <c r="Q1164" s="6" t="s">
        <v>67</v>
      </c>
      <c r="R1164" s="6" t="s">
        <v>123</v>
      </c>
      <c r="S1164" s="28"/>
      <c r="T1164" s="6" t="s">
        <v>6138</v>
      </c>
      <c r="U1164" s="7" t="n">
        <v>2</v>
      </c>
      <c r="V1164" s="7" t="n">
        <v>2</v>
      </c>
      <c r="W1164" s="8" t="s">
        <v>8226</v>
      </c>
      <c r="X1164" s="8" t="s">
        <v>8226</v>
      </c>
      <c r="Y1164" s="8" t="s">
        <v>4159</v>
      </c>
      <c r="Z1164" s="8" t="s">
        <v>4159</v>
      </c>
      <c r="AA1164" s="7" t="n">
        <v>464</v>
      </c>
      <c r="AB1164" s="7" t="n">
        <v>439</v>
      </c>
      <c r="AC1164" s="7" t="n">
        <v>534</v>
      </c>
      <c r="AD1164" s="7" t="n">
        <v>4</v>
      </c>
      <c r="AE1164" s="7" t="n">
        <v>4</v>
      </c>
      <c r="AF1164" s="7" t="n">
        <v>29</v>
      </c>
      <c r="AG1164" s="7" t="n">
        <v>33</v>
      </c>
      <c r="AH1164" s="7" t="n">
        <v>11</v>
      </c>
      <c r="AI1164" s="7" t="n">
        <v>12</v>
      </c>
      <c r="AJ1164" s="7" t="n">
        <v>5</v>
      </c>
      <c r="AK1164" s="7" t="n">
        <v>6</v>
      </c>
      <c r="AL1164" s="7" t="n">
        <v>14</v>
      </c>
      <c r="AM1164" s="7" t="n">
        <v>17</v>
      </c>
      <c r="AN1164" s="7" t="n">
        <v>3</v>
      </c>
      <c r="AO1164" s="7" t="n">
        <v>3</v>
      </c>
      <c r="AP1164" s="7" t="n">
        <v>0</v>
      </c>
      <c r="AQ1164" s="7" t="n">
        <v>0</v>
      </c>
      <c r="AR1164" s="6" t="s">
        <v>63</v>
      </c>
      <c r="AS1164" s="6" t="s">
        <v>57</v>
      </c>
      <c r="AT1164" s="9" t="str">
        <f aca="false">HYPERLINK("http://catalog.hathitrust.org/Record/001384005","HathiTrust Record")</f>
        <v>HathiTrust Record</v>
      </c>
      <c r="AU1164" s="9" t="str">
        <f aca="false">HYPERLINK("https://creighton-primo.hosted.exlibrisgroup.com/primo-explore/search?tab=default_tab&amp;search_scope=EVERYTHING&amp;vid=01CRU&amp;lang=en_US&amp;offset=0&amp;query=any,contains,991002938199702656","Catalog Record")</f>
        <v>Catalog Record</v>
      </c>
      <c r="AV1164" s="9" t="str">
        <f aca="false">HYPERLINK("http://www.worldcat.org/oclc/534490","WorldCat Record")</f>
        <v>WorldCat Record</v>
      </c>
      <c r="AW1164" s="6" t="s">
        <v>8227</v>
      </c>
      <c r="AX1164" s="6" t="s">
        <v>8228</v>
      </c>
      <c r="AY1164" s="6" t="s">
        <v>8229</v>
      </c>
      <c r="AZ1164" s="6" t="s">
        <v>8229</v>
      </c>
      <c r="BA1164" s="6" t="s">
        <v>8230</v>
      </c>
      <c r="BB1164" s="28"/>
      <c r="BC1164" s="6" t="s">
        <v>8231</v>
      </c>
      <c r="BE1164" s="15" t="s">
        <v>2145</v>
      </c>
      <c r="BF1164" s="6" t="s">
        <v>8232</v>
      </c>
    </row>
    <row r="1165" customFormat="false" ht="174.5" hidden="false" customHeight="false" outlineLevel="0" collapsed="false">
      <c r="A1165" s="26" t="s">
        <v>63</v>
      </c>
      <c r="B1165" s="27" t="s">
        <v>2129</v>
      </c>
      <c r="C1165" s="27" t="s">
        <v>2130</v>
      </c>
      <c r="D1165" s="27" t="s">
        <v>8233</v>
      </c>
      <c r="E1165" s="27" t="s">
        <v>8234</v>
      </c>
      <c r="F1165" s="27" t="s">
        <v>8235</v>
      </c>
      <c r="G1165" s="28"/>
      <c r="H1165" s="6" t="s">
        <v>63</v>
      </c>
      <c r="I1165" s="6" t="s">
        <v>62</v>
      </c>
      <c r="J1165" s="6" t="s">
        <v>63</v>
      </c>
      <c r="K1165" s="6" t="s">
        <v>63</v>
      </c>
      <c r="L1165" s="6" t="s">
        <v>64</v>
      </c>
      <c r="M1165" s="27" t="s">
        <v>7262</v>
      </c>
      <c r="N1165" s="27" t="s">
        <v>8236</v>
      </c>
      <c r="O1165" s="6" t="s">
        <v>2467</v>
      </c>
      <c r="P1165" s="28"/>
      <c r="Q1165" s="6" t="s">
        <v>67</v>
      </c>
      <c r="R1165" s="6" t="s">
        <v>384</v>
      </c>
      <c r="S1165" s="27" t="s">
        <v>8237</v>
      </c>
      <c r="T1165" s="6" t="s">
        <v>6138</v>
      </c>
      <c r="U1165" s="7" t="n">
        <v>5</v>
      </c>
      <c r="V1165" s="7" t="n">
        <v>5</v>
      </c>
      <c r="W1165" s="8" t="s">
        <v>6271</v>
      </c>
      <c r="X1165" s="8" t="s">
        <v>6271</v>
      </c>
      <c r="Y1165" s="8" t="s">
        <v>7928</v>
      </c>
      <c r="Z1165" s="8" t="s">
        <v>7928</v>
      </c>
      <c r="AA1165" s="7" t="n">
        <v>165</v>
      </c>
      <c r="AB1165" s="7" t="n">
        <v>122</v>
      </c>
      <c r="AC1165" s="7" t="n">
        <v>566</v>
      </c>
      <c r="AD1165" s="7" t="n">
        <v>1</v>
      </c>
      <c r="AE1165" s="7" t="n">
        <v>4</v>
      </c>
      <c r="AF1165" s="7" t="n">
        <v>5</v>
      </c>
      <c r="AG1165" s="7" t="n">
        <v>31</v>
      </c>
      <c r="AH1165" s="7" t="n">
        <v>2</v>
      </c>
      <c r="AI1165" s="7" t="n">
        <v>15</v>
      </c>
      <c r="AJ1165" s="7" t="n">
        <v>1</v>
      </c>
      <c r="AK1165" s="7" t="n">
        <v>4</v>
      </c>
      <c r="AL1165" s="7" t="n">
        <v>2</v>
      </c>
      <c r="AM1165" s="7" t="n">
        <v>18</v>
      </c>
      <c r="AN1165" s="7" t="n">
        <v>0</v>
      </c>
      <c r="AO1165" s="7" t="n">
        <v>3</v>
      </c>
      <c r="AP1165" s="7" t="n">
        <v>0</v>
      </c>
      <c r="AQ1165" s="7" t="n">
        <v>0</v>
      </c>
      <c r="AR1165" s="6" t="s">
        <v>63</v>
      </c>
      <c r="AS1165" s="6" t="s">
        <v>57</v>
      </c>
      <c r="AT1165" s="9" t="str">
        <f aca="false">HYPERLINK("http://catalog.hathitrust.org/Record/102068657","HathiTrust Record")</f>
        <v>HathiTrust Record</v>
      </c>
      <c r="AU1165" s="9" t="str">
        <f aca="false">HYPERLINK("https://creighton-primo.hosted.exlibrisgroup.com/primo-explore/search?tab=default_tab&amp;search_scope=EVERYTHING&amp;vid=01CRU&amp;lang=en_US&amp;offset=0&amp;query=any,contains,991000489279702656","Catalog Record")</f>
        <v>Catalog Record</v>
      </c>
      <c r="AV1165" s="9" t="str">
        <f aca="false">HYPERLINK("http://www.worldcat.org/oclc/79868","WorldCat Record")</f>
        <v>WorldCat Record</v>
      </c>
      <c r="AW1165" s="6" t="s">
        <v>8238</v>
      </c>
      <c r="AX1165" s="6" t="s">
        <v>8239</v>
      </c>
      <c r="AY1165" s="6" t="s">
        <v>8240</v>
      </c>
      <c r="AZ1165" s="6" t="s">
        <v>8240</v>
      </c>
      <c r="BA1165" s="6" t="s">
        <v>8241</v>
      </c>
      <c r="BB1165" s="28"/>
      <c r="BC1165" s="6" t="s">
        <v>8242</v>
      </c>
      <c r="BE1165" s="15" t="s">
        <v>2145</v>
      </c>
      <c r="BF1165" s="6" t="s">
        <v>8243</v>
      </c>
    </row>
    <row r="1166" customFormat="false" ht="94" hidden="false" customHeight="false" outlineLevel="0" collapsed="false">
      <c r="A1166" s="26" t="s">
        <v>63</v>
      </c>
      <c r="B1166" s="27" t="s">
        <v>2129</v>
      </c>
      <c r="C1166" s="27" t="s">
        <v>2130</v>
      </c>
      <c r="D1166" s="27" t="s">
        <v>8244</v>
      </c>
      <c r="E1166" s="27" t="s">
        <v>8245</v>
      </c>
      <c r="F1166" s="27" t="s">
        <v>8246</v>
      </c>
      <c r="G1166" s="28"/>
      <c r="H1166" s="6" t="s">
        <v>63</v>
      </c>
      <c r="I1166" s="6" t="s">
        <v>62</v>
      </c>
      <c r="J1166" s="6" t="s">
        <v>63</v>
      </c>
      <c r="K1166" s="6" t="s">
        <v>63</v>
      </c>
      <c r="L1166" s="6" t="s">
        <v>64</v>
      </c>
      <c r="M1166" s="27" t="s">
        <v>8247</v>
      </c>
      <c r="N1166" s="27" t="s">
        <v>8248</v>
      </c>
      <c r="O1166" s="6" t="s">
        <v>195</v>
      </c>
      <c r="P1166" s="28"/>
      <c r="Q1166" s="6" t="s">
        <v>67</v>
      </c>
      <c r="R1166" s="6" t="s">
        <v>384</v>
      </c>
      <c r="S1166" s="28"/>
      <c r="T1166" s="6" t="s">
        <v>6138</v>
      </c>
      <c r="U1166" s="7" t="n">
        <v>4</v>
      </c>
      <c r="V1166" s="7" t="n">
        <v>4</v>
      </c>
      <c r="W1166" s="8" t="s">
        <v>8249</v>
      </c>
      <c r="X1166" s="8" t="s">
        <v>8249</v>
      </c>
      <c r="Y1166" s="8" t="s">
        <v>7928</v>
      </c>
      <c r="Z1166" s="8" t="s">
        <v>7928</v>
      </c>
      <c r="AA1166" s="7" t="n">
        <v>394</v>
      </c>
      <c r="AB1166" s="7" t="n">
        <v>214</v>
      </c>
      <c r="AC1166" s="7" t="n">
        <v>892</v>
      </c>
      <c r="AD1166" s="7" t="n">
        <v>2</v>
      </c>
      <c r="AE1166" s="7" t="n">
        <v>6</v>
      </c>
      <c r="AF1166" s="7" t="n">
        <v>14</v>
      </c>
      <c r="AG1166" s="7" t="n">
        <v>45</v>
      </c>
      <c r="AH1166" s="7" t="n">
        <v>4</v>
      </c>
      <c r="AI1166" s="7" t="n">
        <v>17</v>
      </c>
      <c r="AJ1166" s="7" t="n">
        <v>3</v>
      </c>
      <c r="AK1166" s="7" t="n">
        <v>9</v>
      </c>
      <c r="AL1166" s="7" t="n">
        <v>10</v>
      </c>
      <c r="AM1166" s="7" t="n">
        <v>24</v>
      </c>
      <c r="AN1166" s="7" t="n">
        <v>1</v>
      </c>
      <c r="AO1166" s="7" t="n">
        <v>5</v>
      </c>
      <c r="AP1166" s="7" t="n">
        <v>1</v>
      </c>
      <c r="AQ1166" s="7" t="n">
        <v>1</v>
      </c>
      <c r="AR1166" s="6" t="s">
        <v>63</v>
      </c>
      <c r="AS1166" s="6" t="s">
        <v>57</v>
      </c>
      <c r="AT1166" s="9" t="str">
        <f aca="false">HYPERLINK("http://catalog.hathitrust.org/Record/001384010","HathiTrust Record")</f>
        <v>HathiTrust Record</v>
      </c>
      <c r="AU1166" s="9" t="str">
        <f aca="false">HYPERLINK("https://creighton-primo.hosted.exlibrisgroup.com/primo-explore/search?tab=default_tab&amp;search_scope=EVERYTHING&amp;vid=01CRU&amp;lang=en_US&amp;offset=0&amp;query=any,contains,991004339209702656","Catalog Record")</f>
        <v>Catalog Record</v>
      </c>
      <c r="AV1166" s="9" t="str">
        <f aca="false">HYPERLINK("http://www.worldcat.org/oclc/3084682","WorldCat Record")</f>
        <v>WorldCat Record</v>
      </c>
      <c r="AW1166" s="6" t="s">
        <v>8250</v>
      </c>
      <c r="AX1166" s="6" t="s">
        <v>8251</v>
      </c>
      <c r="AY1166" s="6" t="s">
        <v>8252</v>
      </c>
      <c r="AZ1166" s="6" t="s">
        <v>8252</v>
      </c>
      <c r="BA1166" s="6" t="s">
        <v>8253</v>
      </c>
      <c r="BB1166" s="28"/>
      <c r="BC1166" s="6" t="s">
        <v>8254</v>
      </c>
      <c r="BE1166" s="15" t="s">
        <v>2145</v>
      </c>
      <c r="BF1166" s="6" t="s">
        <v>8255</v>
      </c>
    </row>
    <row r="1167" customFormat="false" ht="94" hidden="false" customHeight="false" outlineLevel="0" collapsed="false">
      <c r="A1167" s="26" t="s">
        <v>63</v>
      </c>
      <c r="B1167" s="27" t="s">
        <v>2129</v>
      </c>
      <c r="C1167" s="27" t="s">
        <v>2130</v>
      </c>
      <c r="D1167" s="27" t="s">
        <v>8256</v>
      </c>
      <c r="E1167" s="27" t="s">
        <v>8257</v>
      </c>
      <c r="F1167" s="27" t="s">
        <v>8258</v>
      </c>
      <c r="G1167" s="28"/>
      <c r="H1167" s="6" t="s">
        <v>63</v>
      </c>
      <c r="I1167" s="6" t="s">
        <v>62</v>
      </c>
      <c r="J1167" s="6" t="s">
        <v>63</v>
      </c>
      <c r="K1167" s="6" t="s">
        <v>63</v>
      </c>
      <c r="L1167" s="6" t="s">
        <v>64</v>
      </c>
      <c r="M1167" s="27" t="s">
        <v>8259</v>
      </c>
      <c r="N1167" s="27" t="s">
        <v>8260</v>
      </c>
      <c r="O1167" s="6" t="s">
        <v>2315</v>
      </c>
      <c r="P1167" s="28"/>
      <c r="Q1167" s="6" t="s">
        <v>67</v>
      </c>
      <c r="R1167" s="6" t="s">
        <v>384</v>
      </c>
      <c r="S1167" s="27" t="s">
        <v>8261</v>
      </c>
      <c r="T1167" s="6" t="s">
        <v>6138</v>
      </c>
      <c r="U1167" s="7" t="n">
        <v>6</v>
      </c>
      <c r="V1167" s="7" t="n">
        <v>6</v>
      </c>
      <c r="W1167" s="8" t="s">
        <v>8262</v>
      </c>
      <c r="X1167" s="8" t="s">
        <v>8262</v>
      </c>
      <c r="Y1167" s="8" t="s">
        <v>4948</v>
      </c>
      <c r="Z1167" s="8" t="s">
        <v>4948</v>
      </c>
      <c r="AA1167" s="7" t="n">
        <v>514</v>
      </c>
      <c r="AB1167" s="7" t="n">
        <v>346</v>
      </c>
      <c r="AC1167" s="7" t="n">
        <v>364</v>
      </c>
      <c r="AD1167" s="7" t="n">
        <v>2</v>
      </c>
      <c r="AE1167" s="7" t="n">
        <v>2</v>
      </c>
      <c r="AF1167" s="7" t="n">
        <v>17</v>
      </c>
      <c r="AG1167" s="7" t="n">
        <v>18</v>
      </c>
      <c r="AH1167" s="7" t="n">
        <v>8</v>
      </c>
      <c r="AI1167" s="7" t="n">
        <v>8</v>
      </c>
      <c r="AJ1167" s="7" t="n">
        <v>3</v>
      </c>
      <c r="AK1167" s="7" t="n">
        <v>4</v>
      </c>
      <c r="AL1167" s="7" t="n">
        <v>10</v>
      </c>
      <c r="AM1167" s="7" t="n">
        <v>11</v>
      </c>
      <c r="AN1167" s="7" t="n">
        <v>1</v>
      </c>
      <c r="AO1167" s="7" t="n">
        <v>1</v>
      </c>
      <c r="AP1167" s="7" t="n">
        <v>0</v>
      </c>
      <c r="AQ1167" s="7" t="n">
        <v>0</v>
      </c>
      <c r="AR1167" s="6" t="s">
        <v>63</v>
      </c>
      <c r="AS1167" s="6" t="s">
        <v>57</v>
      </c>
      <c r="AT1167" s="9" t="str">
        <f aca="false">HYPERLINK("http://catalog.hathitrust.org/Record/000662643","HathiTrust Record")</f>
        <v>HathiTrust Record</v>
      </c>
      <c r="AU1167" s="9" t="str">
        <f aca="false">HYPERLINK("https://creighton-primo.hosted.exlibrisgroup.com/primo-explore/search?tab=default_tab&amp;search_scope=EVERYTHING&amp;vid=01CRU&amp;lang=en_US&amp;offset=0&amp;query=any,contains,991000628619702656","Catalog Record")</f>
        <v>Catalog Record</v>
      </c>
      <c r="AV1167" s="9" t="str">
        <f aca="false">HYPERLINK("http://www.worldcat.org/oclc/12051074","WorldCat Record")</f>
        <v>WorldCat Record</v>
      </c>
      <c r="AW1167" s="6" t="s">
        <v>8263</v>
      </c>
      <c r="AX1167" s="6" t="s">
        <v>8264</v>
      </c>
      <c r="AY1167" s="6" t="s">
        <v>8265</v>
      </c>
      <c r="AZ1167" s="6" t="s">
        <v>8265</v>
      </c>
      <c r="BA1167" s="6" t="s">
        <v>8266</v>
      </c>
      <c r="BB1167" s="6" t="s">
        <v>8267</v>
      </c>
      <c r="BC1167" s="6" t="s">
        <v>8268</v>
      </c>
      <c r="BE1167" s="15" t="s">
        <v>2145</v>
      </c>
      <c r="BF1167" s="6" t="s">
        <v>8269</v>
      </c>
    </row>
    <row r="1168" customFormat="false" ht="59.5" hidden="false" customHeight="false" outlineLevel="0" collapsed="false">
      <c r="A1168" s="26" t="s">
        <v>63</v>
      </c>
      <c r="B1168" s="27" t="s">
        <v>2129</v>
      </c>
      <c r="C1168" s="27" t="s">
        <v>2130</v>
      </c>
      <c r="D1168" s="27" t="s">
        <v>8270</v>
      </c>
      <c r="E1168" s="27" t="s">
        <v>8271</v>
      </c>
      <c r="F1168" s="27" t="s">
        <v>8272</v>
      </c>
      <c r="G1168" s="28"/>
      <c r="H1168" s="6" t="s">
        <v>63</v>
      </c>
      <c r="I1168" s="6" t="s">
        <v>62</v>
      </c>
      <c r="J1168" s="6" t="s">
        <v>63</v>
      </c>
      <c r="K1168" s="6" t="s">
        <v>63</v>
      </c>
      <c r="L1168" s="6" t="s">
        <v>64</v>
      </c>
      <c r="M1168" s="27" t="s">
        <v>8273</v>
      </c>
      <c r="N1168" s="27" t="s">
        <v>8274</v>
      </c>
      <c r="O1168" s="6" t="s">
        <v>2369</v>
      </c>
      <c r="P1168" s="28"/>
      <c r="Q1168" s="6" t="s">
        <v>67</v>
      </c>
      <c r="R1168" s="6" t="s">
        <v>68</v>
      </c>
      <c r="S1168" s="27" t="s">
        <v>8275</v>
      </c>
      <c r="T1168" s="6" t="s">
        <v>6138</v>
      </c>
      <c r="U1168" s="7" t="n">
        <v>5</v>
      </c>
      <c r="V1168" s="7" t="n">
        <v>5</v>
      </c>
      <c r="W1168" s="8" t="s">
        <v>8276</v>
      </c>
      <c r="X1168" s="8" t="s">
        <v>8276</v>
      </c>
      <c r="Y1168" s="8" t="s">
        <v>7928</v>
      </c>
      <c r="Z1168" s="8" t="s">
        <v>7928</v>
      </c>
      <c r="AA1168" s="7" t="n">
        <v>1273</v>
      </c>
      <c r="AB1168" s="7" t="n">
        <v>1161</v>
      </c>
      <c r="AC1168" s="7" t="n">
        <v>1292</v>
      </c>
      <c r="AD1168" s="7" t="n">
        <v>12</v>
      </c>
      <c r="AE1168" s="7" t="n">
        <v>14</v>
      </c>
      <c r="AF1168" s="7" t="n">
        <v>47</v>
      </c>
      <c r="AG1168" s="7" t="n">
        <v>52</v>
      </c>
      <c r="AH1168" s="7" t="n">
        <v>19</v>
      </c>
      <c r="AI1168" s="7" t="n">
        <v>21</v>
      </c>
      <c r="AJ1168" s="7" t="n">
        <v>10</v>
      </c>
      <c r="AK1168" s="7" t="n">
        <v>10</v>
      </c>
      <c r="AL1168" s="7" t="n">
        <v>19</v>
      </c>
      <c r="AM1168" s="7" t="n">
        <v>20</v>
      </c>
      <c r="AN1168" s="7" t="n">
        <v>10</v>
      </c>
      <c r="AO1168" s="7" t="n">
        <v>12</v>
      </c>
      <c r="AP1168" s="7" t="n">
        <v>0</v>
      </c>
      <c r="AQ1168" s="7" t="n">
        <v>0</v>
      </c>
      <c r="AR1168" s="6" t="s">
        <v>63</v>
      </c>
      <c r="AS1168" s="6" t="s">
        <v>63</v>
      </c>
      <c r="AT1168" s="28"/>
      <c r="AU1168" s="9" t="str">
        <f aca="false">HYPERLINK("https://creighton-primo.hosted.exlibrisgroup.com/primo-explore/search?tab=default_tab&amp;search_scope=EVERYTHING&amp;vid=01CRU&amp;lang=en_US&amp;offset=0&amp;query=any,contains,991002556069702656","Catalog Record")</f>
        <v>Catalog Record</v>
      </c>
      <c r="AV1168" s="9" t="str">
        <f aca="false">HYPERLINK("http://www.worldcat.org/oclc/371169","WorldCat Record")</f>
        <v>WorldCat Record</v>
      </c>
      <c r="AW1168" s="6" t="s">
        <v>8277</v>
      </c>
      <c r="AX1168" s="6" t="s">
        <v>8278</v>
      </c>
      <c r="AY1168" s="6" t="s">
        <v>8279</v>
      </c>
      <c r="AZ1168" s="6" t="s">
        <v>8279</v>
      </c>
      <c r="BA1168" s="6" t="s">
        <v>8280</v>
      </c>
      <c r="BB1168" s="28"/>
      <c r="BC1168" s="6" t="s">
        <v>8281</v>
      </c>
      <c r="BE1168" s="15" t="s">
        <v>2145</v>
      </c>
      <c r="BF1168" s="6" t="s">
        <v>8282</v>
      </c>
    </row>
    <row r="1169" customFormat="false" ht="94" hidden="false" customHeight="false" outlineLevel="0" collapsed="false">
      <c r="A1169" s="26" t="s">
        <v>63</v>
      </c>
      <c r="B1169" s="27" t="s">
        <v>2129</v>
      </c>
      <c r="C1169" s="27" t="s">
        <v>2130</v>
      </c>
      <c r="D1169" s="27" t="s">
        <v>8283</v>
      </c>
      <c r="E1169" s="27" t="s">
        <v>8284</v>
      </c>
      <c r="F1169" s="27" t="s">
        <v>8285</v>
      </c>
      <c r="G1169" s="28"/>
      <c r="H1169" s="6" t="s">
        <v>63</v>
      </c>
      <c r="I1169" s="6" t="s">
        <v>62</v>
      </c>
      <c r="J1169" s="6" t="s">
        <v>63</v>
      </c>
      <c r="K1169" s="6" t="s">
        <v>63</v>
      </c>
      <c r="L1169" s="6" t="s">
        <v>64</v>
      </c>
      <c r="M1169" s="27" t="s">
        <v>8286</v>
      </c>
      <c r="N1169" s="27" t="s">
        <v>8287</v>
      </c>
      <c r="O1169" s="6" t="s">
        <v>3094</v>
      </c>
      <c r="P1169" s="28"/>
      <c r="Q1169" s="6" t="s">
        <v>67</v>
      </c>
      <c r="R1169" s="6" t="s">
        <v>8288</v>
      </c>
      <c r="S1169" s="27" t="s">
        <v>8289</v>
      </c>
      <c r="T1169" s="6" t="s">
        <v>6138</v>
      </c>
      <c r="U1169" s="7" t="n">
        <v>8</v>
      </c>
      <c r="V1169" s="7" t="n">
        <v>8</v>
      </c>
      <c r="W1169" s="8" t="s">
        <v>8290</v>
      </c>
      <c r="X1169" s="8" t="s">
        <v>8290</v>
      </c>
      <c r="Y1169" s="8" t="s">
        <v>7928</v>
      </c>
      <c r="Z1169" s="8" t="s">
        <v>7928</v>
      </c>
      <c r="AA1169" s="7" t="n">
        <v>151</v>
      </c>
      <c r="AB1169" s="7" t="n">
        <v>139</v>
      </c>
      <c r="AC1169" s="7" t="n">
        <v>278</v>
      </c>
      <c r="AD1169" s="7" t="n">
        <v>2</v>
      </c>
      <c r="AE1169" s="7" t="n">
        <v>2</v>
      </c>
      <c r="AF1169" s="7" t="n">
        <v>10</v>
      </c>
      <c r="AG1169" s="7" t="n">
        <v>14</v>
      </c>
      <c r="AH1169" s="7" t="n">
        <v>4</v>
      </c>
      <c r="AI1169" s="7" t="n">
        <v>5</v>
      </c>
      <c r="AJ1169" s="7" t="n">
        <v>4</v>
      </c>
      <c r="AK1169" s="7" t="n">
        <v>5</v>
      </c>
      <c r="AL1169" s="7" t="n">
        <v>3</v>
      </c>
      <c r="AM1169" s="7" t="n">
        <v>6</v>
      </c>
      <c r="AN1169" s="7" t="n">
        <v>1</v>
      </c>
      <c r="AO1169" s="7" t="n">
        <v>1</v>
      </c>
      <c r="AP1169" s="7" t="n">
        <v>0</v>
      </c>
      <c r="AQ1169" s="7" t="n">
        <v>0</v>
      </c>
      <c r="AR1169" s="6" t="s">
        <v>63</v>
      </c>
      <c r="AS1169" s="6" t="s">
        <v>63</v>
      </c>
      <c r="AT1169" s="28"/>
      <c r="AU1169" s="9" t="str">
        <f aca="false">HYPERLINK("https://creighton-primo.hosted.exlibrisgroup.com/primo-explore/search?tab=default_tab&amp;search_scope=EVERYTHING&amp;vid=01CRU&amp;lang=en_US&amp;offset=0&amp;query=any,contains,991004733609702656","Catalog Record")</f>
        <v>Catalog Record</v>
      </c>
      <c r="AV1169" s="9" t="str">
        <f aca="false">HYPERLINK("http://www.worldcat.org/oclc/4842909","WorldCat Record")</f>
        <v>WorldCat Record</v>
      </c>
      <c r="AW1169" s="6" t="s">
        <v>8291</v>
      </c>
      <c r="AX1169" s="6" t="s">
        <v>8292</v>
      </c>
      <c r="AY1169" s="6" t="s">
        <v>8293</v>
      </c>
      <c r="AZ1169" s="6" t="s">
        <v>8293</v>
      </c>
      <c r="BA1169" s="6" t="s">
        <v>8294</v>
      </c>
      <c r="BB1169" s="28"/>
      <c r="BC1169" s="6" t="s">
        <v>8295</v>
      </c>
      <c r="BE1169" s="15" t="s">
        <v>2145</v>
      </c>
      <c r="BF1169" s="6" t="s">
        <v>8296</v>
      </c>
    </row>
    <row r="1170" customFormat="false" ht="59.5" hidden="false" customHeight="false" outlineLevel="0" collapsed="false">
      <c r="A1170" s="26" t="s">
        <v>57</v>
      </c>
      <c r="B1170" s="27" t="s">
        <v>2129</v>
      </c>
      <c r="C1170" s="27" t="s">
        <v>2130</v>
      </c>
      <c r="D1170" s="27" t="s">
        <v>8297</v>
      </c>
      <c r="E1170" s="27" t="s">
        <v>8298</v>
      </c>
      <c r="F1170" s="27" t="s">
        <v>8299</v>
      </c>
      <c r="G1170" s="28"/>
      <c r="H1170" s="6" t="s">
        <v>63</v>
      </c>
      <c r="I1170" s="6" t="s">
        <v>62</v>
      </c>
      <c r="J1170" s="6" t="s">
        <v>63</v>
      </c>
      <c r="K1170" s="6" t="s">
        <v>63</v>
      </c>
      <c r="L1170" s="6" t="s">
        <v>64</v>
      </c>
      <c r="M1170" s="27" t="s">
        <v>8300</v>
      </c>
      <c r="N1170" s="27" t="s">
        <v>8301</v>
      </c>
      <c r="O1170" s="6" t="s">
        <v>264</v>
      </c>
      <c r="P1170" s="28"/>
      <c r="Q1170" s="6" t="s">
        <v>67</v>
      </c>
      <c r="R1170" s="6" t="s">
        <v>68</v>
      </c>
      <c r="S1170" s="28"/>
      <c r="T1170" s="6" t="s">
        <v>6138</v>
      </c>
      <c r="U1170" s="7" t="n">
        <v>3</v>
      </c>
      <c r="V1170" s="7" t="n">
        <v>3</v>
      </c>
      <c r="W1170" s="8" t="s">
        <v>8302</v>
      </c>
      <c r="X1170" s="8" t="s">
        <v>8302</v>
      </c>
      <c r="Y1170" s="8" t="s">
        <v>7928</v>
      </c>
      <c r="Z1170" s="8" t="s">
        <v>7928</v>
      </c>
      <c r="AA1170" s="7" t="n">
        <v>585</v>
      </c>
      <c r="AB1170" s="7" t="n">
        <v>512</v>
      </c>
      <c r="AC1170" s="7" t="n">
        <v>528</v>
      </c>
      <c r="AD1170" s="7" t="n">
        <v>3</v>
      </c>
      <c r="AE1170" s="7" t="n">
        <v>3</v>
      </c>
      <c r="AF1170" s="7" t="n">
        <v>25</v>
      </c>
      <c r="AG1170" s="7" t="n">
        <v>26</v>
      </c>
      <c r="AH1170" s="7" t="n">
        <v>9</v>
      </c>
      <c r="AI1170" s="7" t="n">
        <v>9</v>
      </c>
      <c r="AJ1170" s="7" t="n">
        <v>4</v>
      </c>
      <c r="AK1170" s="7" t="n">
        <v>5</v>
      </c>
      <c r="AL1170" s="7" t="n">
        <v>15</v>
      </c>
      <c r="AM1170" s="7" t="n">
        <v>15</v>
      </c>
      <c r="AN1170" s="7" t="n">
        <v>2</v>
      </c>
      <c r="AO1170" s="7" t="n">
        <v>2</v>
      </c>
      <c r="AP1170" s="7" t="n">
        <v>0</v>
      </c>
      <c r="AQ1170" s="7" t="n">
        <v>0</v>
      </c>
      <c r="AR1170" s="6" t="s">
        <v>63</v>
      </c>
      <c r="AS1170" s="6" t="s">
        <v>57</v>
      </c>
      <c r="AT1170" s="9" t="str">
        <f aca="false">HYPERLINK("http://catalog.hathitrust.org/Record/001384019","HathiTrust Record")</f>
        <v>HathiTrust Record</v>
      </c>
      <c r="AU1170" s="9" t="str">
        <f aca="false">HYPERLINK("https://creighton-primo.hosted.exlibrisgroup.com/primo-explore/search?tab=default_tab&amp;search_scope=EVERYTHING&amp;vid=01CRU&amp;lang=en_US&amp;offset=0&amp;query=any,contains,991000118949702656","Catalog Record")</f>
        <v>Catalog Record</v>
      </c>
      <c r="AV1170" s="9" t="str">
        <f aca="false">HYPERLINK("http://www.worldcat.org/oclc/49548","WorldCat Record")</f>
        <v>WorldCat Record</v>
      </c>
      <c r="AW1170" s="6" t="s">
        <v>8303</v>
      </c>
      <c r="AX1170" s="6" t="s">
        <v>8304</v>
      </c>
      <c r="AY1170" s="6" t="s">
        <v>8305</v>
      </c>
      <c r="AZ1170" s="6" t="s">
        <v>8305</v>
      </c>
      <c r="BA1170" s="6" t="s">
        <v>8306</v>
      </c>
      <c r="BB1170" s="28"/>
      <c r="BC1170" s="6" t="s">
        <v>8307</v>
      </c>
      <c r="BE1170" s="15" t="s">
        <v>2145</v>
      </c>
      <c r="BF1170" s="6" t="s">
        <v>8308</v>
      </c>
    </row>
    <row r="1171" customFormat="false" ht="94" hidden="false" customHeight="false" outlineLevel="0" collapsed="false">
      <c r="A1171" s="26" t="s">
        <v>57</v>
      </c>
      <c r="B1171" s="27" t="s">
        <v>2129</v>
      </c>
      <c r="C1171" s="27" t="s">
        <v>2130</v>
      </c>
      <c r="D1171" s="27" t="s">
        <v>8309</v>
      </c>
      <c r="E1171" s="27" t="s">
        <v>8310</v>
      </c>
      <c r="F1171" s="27" t="s">
        <v>8311</v>
      </c>
      <c r="G1171" s="28"/>
      <c r="H1171" s="6" t="s">
        <v>63</v>
      </c>
      <c r="I1171" s="6" t="s">
        <v>62</v>
      </c>
      <c r="J1171" s="6" t="s">
        <v>63</v>
      </c>
      <c r="K1171" s="6" t="s">
        <v>63</v>
      </c>
      <c r="L1171" s="6" t="s">
        <v>64</v>
      </c>
      <c r="M1171" s="27" t="s">
        <v>8300</v>
      </c>
      <c r="N1171" s="27" t="s">
        <v>8312</v>
      </c>
      <c r="O1171" s="6" t="s">
        <v>208</v>
      </c>
      <c r="P1171" s="27" t="s">
        <v>4594</v>
      </c>
      <c r="Q1171" s="6" t="s">
        <v>67</v>
      </c>
      <c r="R1171" s="6" t="s">
        <v>384</v>
      </c>
      <c r="S1171" s="28"/>
      <c r="T1171" s="6" t="s">
        <v>6138</v>
      </c>
      <c r="U1171" s="7" t="n">
        <v>7</v>
      </c>
      <c r="V1171" s="7" t="n">
        <v>7</v>
      </c>
      <c r="W1171" s="8" t="s">
        <v>8313</v>
      </c>
      <c r="X1171" s="8" t="s">
        <v>8313</v>
      </c>
      <c r="Y1171" s="8" t="s">
        <v>7928</v>
      </c>
      <c r="Z1171" s="8" t="s">
        <v>7928</v>
      </c>
      <c r="AA1171" s="7" t="n">
        <v>147</v>
      </c>
      <c r="AB1171" s="7" t="n">
        <v>43</v>
      </c>
      <c r="AC1171" s="7" t="n">
        <v>275</v>
      </c>
      <c r="AD1171" s="7" t="n">
        <v>2</v>
      </c>
      <c r="AE1171" s="7" t="n">
        <v>3</v>
      </c>
      <c r="AF1171" s="7" t="n">
        <v>1</v>
      </c>
      <c r="AG1171" s="7" t="n">
        <v>21</v>
      </c>
      <c r="AH1171" s="7" t="n">
        <v>0</v>
      </c>
      <c r="AI1171" s="7" t="n">
        <v>7</v>
      </c>
      <c r="AJ1171" s="7" t="n">
        <v>0</v>
      </c>
      <c r="AK1171" s="7" t="n">
        <v>5</v>
      </c>
      <c r="AL1171" s="7" t="n">
        <v>0</v>
      </c>
      <c r="AM1171" s="7" t="n">
        <v>13</v>
      </c>
      <c r="AN1171" s="7" t="n">
        <v>1</v>
      </c>
      <c r="AO1171" s="7" t="n">
        <v>2</v>
      </c>
      <c r="AP1171" s="7" t="n">
        <v>0</v>
      </c>
      <c r="AQ1171" s="7" t="n">
        <v>1</v>
      </c>
      <c r="AR1171" s="6" t="s">
        <v>63</v>
      </c>
      <c r="AS1171" s="6" t="s">
        <v>63</v>
      </c>
      <c r="AT1171" s="28"/>
      <c r="AU1171" s="9" t="str">
        <f aca="false">HYPERLINK("https://creighton-primo.hosted.exlibrisgroup.com/primo-explore/search?tab=default_tab&amp;search_scope=EVERYTHING&amp;vid=01CRU&amp;lang=en_US&amp;offset=0&amp;query=any,contains,991000927429702656","Catalog Record")</f>
        <v>Catalog Record</v>
      </c>
      <c r="AV1171" s="9" t="str">
        <f aca="false">HYPERLINK("http://www.worldcat.org/oclc/20759601","WorldCat Record")</f>
        <v>WorldCat Record</v>
      </c>
      <c r="AW1171" s="6" t="s">
        <v>8314</v>
      </c>
      <c r="AX1171" s="6" t="s">
        <v>8315</v>
      </c>
      <c r="AY1171" s="6" t="s">
        <v>8316</v>
      </c>
      <c r="AZ1171" s="6" t="s">
        <v>8316</v>
      </c>
      <c r="BA1171" s="6" t="s">
        <v>8317</v>
      </c>
      <c r="BB1171" s="6" t="s">
        <v>8318</v>
      </c>
      <c r="BC1171" s="6" t="s">
        <v>8319</v>
      </c>
      <c r="BE1171" s="15" t="s">
        <v>2145</v>
      </c>
      <c r="BF1171" s="6" t="s">
        <v>8320</v>
      </c>
    </row>
    <row r="1172" customFormat="false" ht="94" hidden="false" customHeight="false" outlineLevel="0" collapsed="false">
      <c r="A1172" s="26" t="s">
        <v>57</v>
      </c>
      <c r="B1172" s="27" t="s">
        <v>2129</v>
      </c>
      <c r="C1172" s="27" t="s">
        <v>2130</v>
      </c>
      <c r="D1172" s="27" t="s">
        <v>8321</v>
      </c>
      <c r="E1172" s="27" t="s">
        <v>8322</v>
      </c>
      <c r="F1172" s="27" t="s">
        <v>8323</v>
      </c>
      <c r="G1172" s="28"/>
      <c r="H1172" s="6" t="s">
        <v>63</v>
      </c>
      <c r="I1172" s="6" t="s">
        <v>62</v>
      </c>
      <c r="J1172" s="6" t="s">
        <v>63</v>
      </c>
      <c r="K1172" s="6" t="s">
        <v>63</v>
      </c>
      <c r="L1172" s="6" t="s">
        <v>64</v>
      </c>
      <c r="M1172" s="27" t="s">
        <v>8324</v>
      </c>
      <c r="N1172" s="27" t="s">
        <v>8325</v>
      </c>
      <c r="O1172" s="6" t="s">
        <v>152</v>
      </c>
      <c r="P1172" s="28"/>
      <c r="Q1172" s="6" t="s">
        <v>67</v>
      </c>
      <c r="R1172" s="6" t="s">
        <v>181</v>
      </c>
      <c r="S1172" s="28"/>
      <c r="T1172" s="6" t="s">
        <v>6138</v>
      </c>
      <c r="U1172" s="7" t="n">
        <v>5</v>
      </c>
      <c r="V1172" s="7" t="n">
        <v>5</v>
      </c>
      <c r="W1172" s="8" t="s">
        <v>8326</v>
      </c>
      <c r="X1172" s="8" t="s">
        <v>8326</v>
      </c>
      <c r="Y1172" s="8" t="s">
        <v>7928</v>
      </c>
      <c r="Z1172" s="8" t="s">
        <v>7928</v>
      </c>
      <c r="AA1172" s="7" t="n">
        <v>704</v>
      </c>
      <c r="AB1172" s="7" t="n">
        <v>557</v>
      </c>
      <c r="AC1172" s="7" t="n">
        <v>702</v>
      </c>
      <c r="AD1172" s="7" t="n">
        <v>5</v>
      </c>
      <c r="AE1172" s="7" t="n">
        <v>5</v>
      </c>
      <c r="AF1172" s="7" t="n">
        <v>31</v>
      </c>
      <c r="AG1172" s="7" t="n">
        <v>38</v>
      </c>
      <c r="AH1172" s="7" t="n">
        <v>8</v>
      </c>
      <c r="AI1172" s="7" t="n">
        <v>13</v>
      </c>
      <c r="AJ1172" s="7" t="n">
        <v>8</v>
      </c>
      <c r="AK1172" s="7" t="n">
        <v>11</v>
      </c>
      <c r="AL1172" s="7" t="n">
        <v>18</v>
      </c>
      <c r="AM1172" s="7" t="n">
        <v>19</v>
      </c>
      <c r="AN1172" s="7" t="n">
        <v>3</v>
      </c>
      <c r="AO1172" s="7" t="n">
        <v>3</v>
      </c>
      <c r="AP1172" s="7" t="n">
        <v>3</v>
      </c>
      <c r="AQ1172" s="7" t="n">
        <v>3</v>
      </c>
      <c r="AR1172" s="6" t="s">
        <v>63</v>
      </c>
      <c r="AS1172" s="6" t="s">
        <v>63</v>
      </c>
      <c r="AT1172" s="28"/>
      <c r="AU1172" s="9" t="str">
        <f aca="false">HYPERLINK("https://creighton-primo.hosted.exlibrisgroup.com/primo-explore/search?tab=default_tab&amp;search_scope=EVERYTHING&amp;vid=01CRU&amp;lang=en_US&amp;offset=0&amp;query=any,contains,991000227799702656","Catalog Record")</f>
        <v>Catalog Record</v>
      </c>
      <c r="AV1172" s="9" t="str">
        <f aca="false">HYPERLINK("http://www.worldcat.org/oclc/9621916","WorldCat Record")</f>
        <v>WorldCat Record</v>
      </c>
      <c r="AW1172" s="6" t="s">
        <v>8327</v>
      </c>
      <c r="AX1172" s="6" t="s">
        <v>8328</v>
      </c>
      <c r="AY1172" s="6" t="s">
        <v>8329</v>
      </c>
      <c r="AZ1172" s="6" t="s">
        <v>8329</v>
      </c>
      <c r="BA1172" s="6" t="s">
        <v>8330</v>
      </c>
      <c r="BB1172" s="6" t="s">
        <v>8331</v>
      </c>
      <c r="BC1172" s="6" t="s">
        <v>8332</v>
      </c>
      <c r="BE1172" s="15" t="s">
        <v>2145</v>
      </c>
      <c r="BF1172" s="6" t="s">
        <v>8333</v>
      </c>
    </row>
    <row r="1173" customFormat="false" ht="105.5" hidden="false" customHeight="false" outlineLevel="0" collapsed="false">
      <c r="A1173" s="26" t="s">
        <v>63</v>
      </c>
      <c r="B1173" s="27" t="s">
        <v>2129</v>
      </c>
      <c r="C1173" s="27" t="s">
        <v>2130</v>
      </c>
      <c r="D1173" s="27" t="s">
        <v>8334</v>
      </c>
      <c r="E1173" s="27" t="s">
        <v>8335</v>
      </c>
      <c r="F1173" s="27" t="s">
        <v>8336</v>
      </c>
      <c r="G1173" s="28"/>
      <c r="H1173" s="6" t="s">
        <v>63</v>
      </c>
      <c r="I1173" s="6" t="s">
        <v>62</v>
      </c>
      <c r="J1173" s="6" t="s">
        <v>63</v>
      </c>
      <c r="K1173" s="6" t="s">
        <v>63</v>
      </c>
      <c r="L1173" s="6" t="s">
        <v>64</v>
      </c>
      <c r="M1173" s="27" t="s">
        <v>8337</v>
      </c>
      <c r="N1173" s="27" t="s">
        <v>8338</v>
      </c>
      <c r="O1173" s="6" t="s">
        <v>2467</v>
      </c>
      <c r="P1173" s="28"/>
      <c r="Q1173" s="6" t="s">
        <v>67</v>
      </c>
      <c r="R1173" s="6" t="s">
        <v>802</v>
      </c>
      <c r="S1173" s="27" t="s">
        <v>8339</v>
      </c>
      <c r="T1173" s="6" t="s">
        <v>6138</v>
      </c>
      <c r="U1173" s="7" t="n">
        <v>7</v>
      </c>
      <c r="V1173" s="7" t="n">
        <v>7</v>
      </c>
      <c r="W1173" s="8" t="s">
        <v>8340</v>
      </c>
      <c r="X1173" s="8" t="s">
        <v>8340</v>
      </c>
      <c r="Y1173" s="8" t="s">
        <v>7928</v>
      </c>
      <c r="Z1173" s="8" t="s">
        <v>7928</v>
      </c>
      <c r="AA1173" s="7" t="n">
        <v>398</v>
      </c>
      <c r="AB1173" s="7" t="n">
        <v>320</v>
      </c>
      <c r="AC1173" s="7" t="n">
        <v>321</v>
      </c>
      <c r="AD1173" s="7" t="n">
        <v>4</v>
      </c>
      <c r="AE1173" s="7" t="n">
        <v>4</v>
      </c>
      <c r="AF1173" s="7" t="n">
        <v>21</v>
      </c>
      <c r="AG1173" s="7" t="n">
        <v>21</v>
      </c>
      <c r="AH1173" s="7" t="n">
        <v>5</v>
      </c>
      <c r="AI1173" s="7" t="n">
        <v>5</v>
      </c>
      <c r="AJ1173" s="7" t="n">
        <v>7</v>
      </c>
      <c r="AK1173" s="7" t="n">
        <v>7</v>
      </c>
      <c r="AL1173" s="7" t="n">
        <v>13</v>
      </c>
      <c r="AM1173" s="7" t="n">
        <v>13</v>
      </c>
      <c r="AN1173" s="7" t="n">
        <v>3</v>
      </c>
      <c r="AO1173" s="7" t="n">
        <v>3</v>
      </c>
      <c r="AP1173" s="7" t="n">
        <v>0</v>
      </c>
      <c r="AQ1173" s="7" t="n">
        <v>0</v>
      </c>
      <c r="AR1173" s="6" t="s">
        <v>63</v>
      </c>
      <c r="AS1173" s="6" t="s">
        <v>63</v>
      </c>
      <c r="AT1173" s="28"/>
      <c r="AU1173" s="9" t="str">
        <f aca="false">HYPERLINK("https://creighton-primo.hosted.exlibrisgroup.com/primo-explore/search?tab=default_tab&amp;search_scope=EVERYTHING&amp;vid=01CRU&amp;lang=en_US&amp;offset=0&amp;query=any,contains,991002556019702656","Catalog Record")</f>
        <v>Catalog Record</v>
      </c>
      <c r="AV1173" s="9" t="str">
        <f aca="false">HYPERLINK("http://www.worldcat.org/oclc/371166","WorldCat Record")</f>
        <v>WorldCat Record</v>
      </c>
      <c r="AW1173" s="6" t="s">
        <v>8341</v>
      </c>
      <c r="AX1173" s="6" t="s">
        <v>8342</v>
      </c>
      <c r="AY1173" s="6" t="s">
        <v>8343</v>
      </c>
      <c r="AZ1173" s="6" t="s">
        <v>8343</v>
      </c>
      <c r="BA1173" s="6" t="s">
        <v>8344</v>
      </c>
      <c r="BB1173" s="28"/>
      <c r="BC1173" s="6" t="s">
        <v>8345</v>
      </c>
      <c r="BE1173" s="15" t="s">
        <v>2145</v>
      </c>
      <c r="BF1173" s="6" t="s">
        <v>8346</v>
      </c>
    </row>
    <row r="1174" customFormat="false" ht="117" hidden="false" customHeight="false" outlineLevel="0" collapsed="false">
      <c r="A1174" s="26" t="s">
        <v>63</v>
      </c>
      <c r="B1174" s="27" t="s">
        <v>2129</v>
      </c>
      <c r="C1174" s="27" t="s">
        <v>2130</v>
      </c>
      <c r="D1174" s="27" t="s">
        <v>8347</v>
      </c>
      <c r="E1174" s="27" t="s">
        <v>8348</v>
      </c>
      <c r="F1174" s="27" t="s">
        <v>8349</v>
      </c>
      <c r="G1174" s="28"/>
      <c r="H1174" s="6" t="s">
        <v>63</v>
      </c>
      <c r="I1174" s="6" t="s">
        <v>62</v>
      </c>
      <c r="J1174" s="6" t="s">
        <v>63</v>
      </c>
      <c r="K1174" s="6" t="s">
        <v>63</v>
      </c>
      <c r="L1174" s="6" t="s">
        <v>64</v>
      </c>
      <c r="M1174" s="27" t="s">
        <v>8350</v>
      </c>
      <c r="N1174" s="27" t="s">
        <v>8351</v>
      </c>
      <c r="O1174" s="6" t="s">
        <v>3094</v>
      </c>
      <c r="P1174" s="28"/>
      <c r="Q1174" s="6" t="s">
        <v>67</v>
      </c>
      <c r="R1174" s="6" t="s">
        <v>384</v>
      </c>
      <c r="S1174" s="28"/>
      <c r="T1174" s="6" t="s">
        <v>6138</v>
      </c>
      <c r="U1174" s="7" t="n">
        <v>2</v>
      </c>
      <c r="V1174" s="7" t="n">
        <v>2</v>
      </c>
      <c r="W1174" s="8" t="s">
        <v>8352</v>
      </c>
      <c r="X1174" s="8" t="s">
        <v>8352</v>
      </c>
      <c r="Y1174" s="8" t="s">
        <v>7928</v>
      </c>
      <c r="Z1174" s="8" t="s">
        <v>7928</v>
      </c>
      <c r="AA1174" s="7" t="n">
        <v>523</v>
      </c>
      <c r="AB1174" s="7" t="n">
        <v>410</v>
      </c>
      <c r="AC1174" s="7" t="n">
        <v>411</v>
      </c>
      <c r="AD1174" s="7" t="n">
        <v>3</v>
      </c>
      <c r="AE1174" s="7" t="n">
        <v>3</v>
      </c>
      <c r="AF1174" s="7" t="n">
        <v>19</v>
      </c>
      <c r="AG1174" s="7" t="n">
        <v>19</v>
      </c>
      <c r="AH1174" s="7" t="n">
        <v>7</v>
      </c>
      <c r="AI1174" s="7" t="n">
        <v>7</v>
      </c>
      <c r="AJ1174" s="7" t="n">
        <v>4</v>
      </c>
      <c r="AK1174" s="7" t="n">
        <v>4</v>
      </c>
      <c r="AL1174" s="7" t="n">
        <v>13</v>
      </c>
      <c r="AM1174" s="7" t="n">
        <v>13</v>
      </c>
      <c r="AN1174" s="7" t="n">
        <v>1</v>
      </c>
      <c r="AO1174" s="7" t="n">
        <v>1</v>
      </c>
      <c r="AP1174" s="7" t="n">
        <v>0</v>
      </c>
      <c r="AQ1174" s="7" t="n">
        <v>0</v>
      </c>
      <c r="AR1174" s="6" t="s">
        <v>63</v>
      </c>
      <c r="AS1174" s="6" t="s">
        <v>57</v>
      </c>
      <c r="AT1174" s="9" t="str">
        <f aca="false">HYPERLINK("http://catalog.hathitrust.org/Record/001384022","HathiTrust Record")</f>
        <v>HathiTrust Record</v>
      </c>
      <c r="AU1174" s="9" t="str">
        <f aca="false">HYPERLINK("https://creighton-primo.hosted.exlibrisgroup.com/primo-explore/search?tab=default_tab&amp;search_scope=EVERYTHING&amp;vid=01CRU&amp;lang=en_US&amp;offset=0&amp;query=any,contains,991003107139702656","Catalog Record")</f>
        <v>Catalog Record</v>
      </c>
      <c r="AV1174" s="9" t="str">
        <f aca="false">HYPERLINK("http://www.worldcat.org/oclc/654759","WorldCat Record")</f>
        <v>WorldCat Record</v>
      </c>
      <c r="AW1174" s="6" t="s">
        <v>8353</v>
      </c>
      <c r="AX1174" s="6" t="s">
        <v>8354</v>
      </c>
      <c r="AY1174" s="6" t="s">
        <v>8355</v>
      </c>
      <c r="AZ1174" s="6" t="s">
        <v>8355</v>
      </c>
      <c r="BA1174" s="6" t="s">
        <v>8356</v>
      </c>
      <c r="BB1174" s="28"/>
      <c r="BC1174" s="6" t="s">
        <v>8357</v>
      </c>
      <c r="BE1174" s="15" t="s">
        <v>2145</v>
      </c>
      <c r="BF1174" s="6" t="s">
        <v>8358</v>
      </c>
    </row>
    <row r="1175" customFormat="false" ht="163" hidden="false" customHeight="false" outlineLevel="0" collapsed="false">
      <c r="A1175" s="26" t="s">
        <v>57</v>
      </c>
      <c r="B1175" s="27" t="s">
        <v>2129</v>
      </c>
      <c r="C1175" s="27" t="s">
        <v>2130</v>
      </c>
      <c r="D1175" s="27" t="s">
        <v>8359</v>
      </c>
      <c r="E1175" s="27" t="s">
        <v>8360</v>
      </c>
      <c r="F1175" s="27" t="s">
        <v>8361</v>
      </c>
      <c r="G1175" s="28"/>
      <c r="H1175" s="6" t="s">
        <v>63</v>
      </c>
      <c r="I1175" s="6" t="s">
        <v>62</v>
      </c>
      <c r="J1175" s="6" t="s">
        <v>63</v>
      </c>
      <c r="K1175" s="6" t="s">
        <v>63</v>
      </c>
      <c r="L1175" s="6" t="s">
        <v>64</v>
      </c>
      <c r="M1175" s="27" t="s">
        <v>8362</v>
      </c>
      <c r="N1175" s="27" t="s">
        <v>8363</v>
      </c>
      <c r="O1175" s="6" t="s">
        <v>2693</v>
      </c>
      <c r="P1175" s="28"/>
      <c r="Q1175" s="6" t="s">
        <v>67</v>
      </c>
      <c r="R1175" s="6" t="s">
        <v>5017</v>
      </c>
      <c r="S1175" s="27" t="s">
        <v>8364</v>
      </c>
      <c r="T1175" s="6" t="s">
        <v>6138</v>
      </c>
      <c r="U1175" s="7" t="n">
        <v>4</v>
      </c>
      <c r="V1175" s="7" t="n">
        <v>4</v>
      </c>
      <c r="W1175" s="8" t="s">
        <v>8365</v>
      </c>
      <c r="X1175" s="8" t="s">
        <v>8365</v>
      </c>
      <c r="Y1175" s="8" t="s">
        <v>7928</v>
      </c>
      <c r="Z1175" s="8" t="s">
        <v>7928</v>
      </c>
      <c r="AA1175" s="7" t="n">
        <v>694</v>
      </c>
      <c r="AB1175" s="7" t="n">
        <v>503</v>
      </c>
      <c r="AC1175" s="7" t="n">
        <v>544</v>
      </c>
      <c r="AD1175" s="7" t="n">
        <v>4</v>
      </c>
      <c r="AE1175" s="7" t="n">
        <v>4</v>
      </c>
      <c r="AF1175" s="7" t="n">
        <v>27</v>
      </c>
      <c r="AG1175" s="7" t="n">
        <v>31</v>
      </c>
      <c r="AH1175" s="7" t="n">
        <v>8</v>
      </c>
      <c r="AI1175" s="7" t="n">
        <v>12</v>
      </c>
      <c r="AJ1175" s="7" t="n">
        <v>8</v>
      </c>
      <c r="AK1175" s="7" t="n">
        <v>9</v>
      </c>
      <c r="AL1175" s="7" t="n">
        <v>14</v>
      </c>
      <c r="AM1175" s="7" t="n">
        <v>14</v>
      </c>
      <c r="AN1175" s="7" t="n">
        <v>3</v>
      </c>
      <c r="AO1175" s="7" t="n">
        <v>3</v>
      </c>
      <c r="AP1175" s="7" t="n">
        <v>0</v>
      </c>
      <c r="AQ1175" s="7" t="n">
        <v>0</v>
      </c>
      <c r="AR1175" s="6" t="s">
        <v>63</v>
      </c>
      <c r="AS1175" s="6" t="s">
        <v>63</v>
      </c>
      <c r="AT1175" s="28"/>
      <c r="AU1175" s="9" t="str">
        <f aca="false">HYPERLINK("https://creighton-primo.hosted.exlibrisgroup.com/primo-explore/search?tab=default_tab&amp;search_scope=EVERYTHING&amp;vid=01CRU&amp;lang=en_US&amp;offset=0&amp;query=any,contains,991002564569702656","Catalog Record")</f>
        <v>Catalog Record</v>
      </c>
      <c r="AV1175" s="9" t="str">
        <f aca="false">HYPERLINK("http://www.worldcat.org/oclc/372329","WorldCat Record")</f>
        <v>WorldCat Record</v>
      </c>
      <c r="AW1175" s="6" t="s">
        <v>8366</v>
      </c>
      <c r="AX1175" s="6" t="s">
        <v>8367</v>
      </c>
      <c r="AY1175" s="6" t="s">
        <v>8368</v>
      </c>
      <c r="AZ1175" s="6" t="s">
        <v>8368</v>
      </c>
      <c r="BA1175" s="6" t="s">
        <v>8369</v>
      </c>
      <c r="BB1175" s="6" t="s">
        <v>8370</v>
      </c>
      <c r="BC1175" s="6" t="s">
        <v>8371</v>
      </c>
      <c r="BE1175" s="15" t="s">
        <v>2145</v>
      </c>
      <c r="BF1175" s="6" t="s">
        <v>8372</v>
      </c>
    </row>
    <row r="1176" customFormat="false" ht="117" hidden="false" customHeight="false" outlineLevel="0" collapsed="false">
      <c r="A1176" s="26" t="s">
        <v>63</v>
      </c>
      <c r="B1176" s="27" t="s">
        <v>2129</v>
      </c>
      <c r="C1176" s="27" t="s">
        <v>2130</v>
      </c>
      <c r="D1176" s="27" t="s">
        <v>8373</v>
      </c>
      <c r="E1176" s="27" t="s">
        <v>8374</v>
      </c>
      <c r="F1176" s="27" t="s">
        <v>8375</v>
      </c>
      <c r="G1176" s="28"/>
      <c r="H1176" s="6" t="s">
        <v>63</v>
      </c>
      <c r="I1176" s="6" t="s">
        <v>62</v>
      </c>
      <c r="J1176" s="6" t="s">
        <v>63</v>
      </c>
      <c r="K1176" s="6" t="s">
        <v>63</v>
      </c>
      <c r="L1176" s="6" t="s">
        <v>64</v>
      </c>
      <c r="M1176" s="27" t="s">
        <v>8376</v>
      </c>
      <c r="N1176" s="27" t="s">
        <v>8377</v>
      </c>
      <c r="O1176" s="6" t="s">
        <v>122</v>
      </c>
      <c r="P1176" s="28"/>
      <c r="Q1176" s="6" t="s">
        <v>67</v>
      </c>
      <c r="R1176" s="6" t="s">
        <v>68</v>
      </c>
      <c r="S1176" s="27" t="s">
        <v>3030</v>
      </c>
      <c r="T1176" s="6" t="s">
        <v>6138</v>
      </c>
      <c r="U1176" s="7" t="n">
        <v>2</v>
      </c>
      <c r="V1176" s="7" t="n">
        <v>2</v>
      </c>
      <c r="W1176" s="8" t="s">
        <v>8378</v>
      </c>
      <c r="X1176" s="8" t="s">
        <v>8378</v>
      </c>
      <c r="Y1176" s="8" t="s">
        <v>7928</v>
      </c>
      <c r="Z1176" s="8" t="s">
        <v>7928</v>
      </c>
      <c r="AA1176" s="7" t="n">
        <v>540</v>
      </c>
      <c r="AB1176" s="7" t="n">
        <v>496</v>
      </c>
      <c r="AC1176" s="7" t="n">
        <v>630</v>
      </c>
      <c r="AD1176" s="7" t="n">
        <v>3</v>
      </c>
      <c r="AE1176" s="7" t="n">
        <v>3</v>
      </c>
      <c r="AF1176" s="7" t="n">
        <v>25</v>
      </c>
      <c r="AG1176" s="7" t="n">
        <v>29</v>
      </c>
      <c r="AH1176" s="7" t="n">
        <v>9</v>
      </c>
      <c r="AI1176" s="7" t="n">
        <v>10</v>
      </c>
      <c r="AJ1176" s="7" t="n">
        <v>7</v>
      </c>
      <c r="AK1176" s="7" t="n">
        <v>8</v>
      </c>
      <c r="AL1176" s="7" t="n">
        <v>16</v>
      </c>
      <c r="AM1176" s="7" t="n">
        <v>19</v>
      </c>
      <c r="AN1176" s="7" t="n">
        <v>2</v>
      </c>
      <c r="AO1176" s="7" t="n">
        <v>2</v>
      </c>
      <c r="AP1176" s="7" t="n">
        <v>0</v>
      </c>
      <c r="AQ1176" s="7" t="n">
        <v>0</v>
      </c>
      <c r="AR1176" s="6" t="s">
        <v>63</v>
      </c>
      <c r="AS1176" s="6" t="s">
        <v>57</v>
      </c>
      <c r="AT1176" s="9" t="str">
        <f aca="false">HYPERLINK("http://catalog.hathitrust.org/Record/001382253","HathiTrust Record")</f>
        <v>HathiTrust Record</v>
      </c>
      <c r="AU1176" s="9" t="str">
        <f aca="false">HYPERLINK("https://creighton-primo.hosted.exlibrisgroup.com/primo-explore/search?tab=default_tab&amp;search_scope=EVERYTHING&amp;vid=01CRU&amp;lang=en_US&amp;offset=0&amp;query=any,contains,991002566719702656","Catalog Record")</f>
        <v>Catalog Record</v>
      </c>
      <c r="AV1176" s="9" t="str">
        <f aca="false">HYPERLINK("http://www.worldcat.org/oclc/372756","WorldCat Record")</f>
        <v>WorldCat Record</v>
      </c>
      <c r="AW1176" s="6" t="s">
        <v>8379</v>
      </c>
      <c r="AX1176" s="6" t="s">
        <v>8380</v>
      </c>
      <c r="AY1176" s="6" t="s">
        <v>8381</v>
      </c>
      <c r="AZ1176" s="6" t="s">
        <v>8381</v>
      </c>
      <c r="BA1176" s="6" t="s">
        <v>8382</v>
      </c>
      <c r="BB1176" s="28"/>
      <c r="BC1176" s="6" t="s">
        <v>8383</v>
      </c>
      <c r="BE1176" s="15" t="s">
        <v>2145</v>
      </c>
      <c r="BF1176" s="6" t="s">
        <v>8384</v>
      </c>
    </row>
    <row r="1177" customFormat="false" ht="94" hidden="false" customHeight="false" outlineLevel="0" collapsed="false">
      <c r="A1177" s="26" t="s">
        <v>57</v>
      </c>
      <c r="B1177" s="27" t="s">
        <v>2129</v>
      </c>
      <c r="C1177" s="27" t="s">
        <v>2130</v>
      </c>
      <c r="D1177" s="27" t="s">
        <v>8385</v>
      </c>
      <c r="E1177" s="27" t="s">
        <v>8386</v>
      </c>
      <c r="F1177" s="27" t="s">
        <v>8387</v>
      </c>
      <c r="G1177" s="28"/>
      <c r="H1177" s="6" t="s">
        <v>63</v>
      </c>
      <c r="I1177" s="6" t="s">
        <v>62</v>
      </c>
      <c r="J1177" s="6" t="s">
        <v>63</v>
      </c>
      <c r="K1177" s="6" t="s">
        <v>63</v>
      </c>
      <c r="L1177" s="6" t="s">
        <v>64</v>
      </c>
      <c r="M1177" s="28"/>
      <c r="N1177" s="27" t="s">
        <v>4566</v>
      </c>
      <c r="O1177" s="6" t="s">
        <v>254</v>
      </c>
      <c r="P1177" s="28"/>
      <c r="Q1177" s="6" t="s">
        <v>67</v>
      </c>
      <c r="R1177" s="6" t="s">
        <v>384</v>
      </c>
      <c r="S1177" s="28"/>
      <c r="T1177" s="6" t="s">
        <v>6138</v>
      </c>
      <c r="U1177" s="7" t="n">
        <v>11</v>
      </c>
      <c r="V1177" s="7" t="n">
        <v>11</v>
      </c>
      <c r="W1177" s="8" t="s">
        <v>8388</v>
      </c>
      <c r="X1177" s="8" t="s">
        <v>8388</v>
      </c>
      <c r="Y1177" s="8" t="s">
        <v>8389</v>
      </c>
      <c r="Z1177" s="8" t="s">
        <v>8389</v>
      </c>
      <c r="AA1177" s="7" t="n">
        <v>775</v>
      </c>
      <c r="AB1177" s="7" t="n">
        <v>591</v>
      </c>
      <c r="AC1177" s="7" t="n">
        <v>596</v>
      </c>
      <c r="AD1177" s="7" t="n">
        <v>4</v>
      </c>
      <c r="AE1177" s="7" t="n">
        <v>4</v>
      </c>
      <c r="AF1177" s="7" t="n">
        <v>28</v>
      </c>
      <c r="AG1177" s="7" t="n">
        <v>28</v>
      </c>
      <c r="AH1177" s="7" t="n">
        <v>10</v>
      </c>
      <c r="AI1177" s="7" t="n">
        <v>10</v>
      </c>
      <c r="AJ1177" s="7" t="n">
        <v>8</v>
      </c>
      <c r="AK1177" s="7" t="n">
        <v>8</v>
      </c>
      <c r="AL1177" s="7" t="n">
        <v>14</v>
      </c>
      <c r="AM1177" s="7" t="n">
        <v>14</v>
      </c>
      <c r="AN1177" s="7" t="n">
        <v>3</v>
      </c>
      <c r="AO1177" s="7" t="n">
        <v>3</v>
      </c>
      <c r="AP1177" s="7" t="n">
        <v>0</v>
      </c>
      <c r="AQ1177" s="7" t="n">
        <v>0</v>
      </c>
      <c r="AR1177" s="6" t="s">
        <v>63</v>
      </c>
      <c r="AS1177" s="6" t="s">
        <v>57</v>
      </c>
      <c r="AT1177" s="9" t="str">
        <f aca="false">HYPERLINK("http://catalog.hathitrust.org/Record/001384041","HathiTrust Record")</f>
        <v>HathiTrust Record</v>
      </c>
      <c r="AU1177" s="9" t="str">
        <f aca="false">HYPERLINK("https://creighton-primo.hosted.exlibrisgroup.com/primo-explore/search?tab=default_tab&amp;search_scope=EVERYTHING&amp;vid=01CRU&amp;lang=en_US&amp;offset=0&amp;query=any,contains,991003172439702656","Catalog Record")</f>
        <v>Catalog Record</v>
      </c>
      <c r="AV1177" s="9" t="str">
        <f aca="false">HYPERLINK("http://www.worldcat.org/oclc/708110","WorldCat Record")</f>
        <v>WorldCat Record</v>
      </c>
      <c r="AW1177" s="6" t="s">
        <v>8390</v>
      </c>
      <c r="AX1177" s="6" t="s">
        <v>8391</v>
      </c>
      <c r="AY1177" s="6" t="s">
        <v>8392</v>
      </c>
      <c r="AZ1177" s="6" t="s">
        <v>8392</v>
      </c>
      <c r="BA1177" s="6" t="s">
        <v>8393</v>
      </c>
      <c r="BB1177" s="6" t="s">
        <v>8394</v>
      </c>
      <c r="BC1177" s="6" t="s">
        <v>8395</v>
      </c>
      <c r="BE1177" s="15" t="s">
        <v>2145</v>
      </c>
      <c r="BF1177" s="6" t="s">
        <v>8396</v>
      </c>
    </row>
    <row r="1178" customFormat="false" ht="82.5" hidden="false" customHeight="false" outlineLevel="0" collapsed="false">
      <c r="A1178" s="26" t="s">
        <v>57</v>
      </c>
      <c r="B1178" s="27" t="s">
        <v>2129</v>
      </c>
      <c r="C1178" s="27" t="s">
        <v>2130</v>
      </c>
      <c r="D1178" s="27" t="s">
        <v>8397</v>
      </c>
      <c r="E1178" s="27" t="s">
        <v>8398</v>
      </c>
      <c r="F1178" s="27" t="s">
        <v>8399</v>
      </c>
      <c r="G1178" s="28"/>
      <c r="H1178" s="6" t="s">
        <v>63</v>
      </c>
      <c r="I1178" s="6" t="s">
        <v>62</v>
      </c>
      <c r="J1178" s="6" t="s">
        <v>63</v>
      </c>
      <c r="K1178" s="6" t="s">
        <v>63</v>
      </c>
      <c r="L1178" s="6" t="s">
        <v>64</v>
      </c>
      <c r="M1178" s="27" t="s">
        <v>8400</v>
      </c>
      <c r="N1178" s="27" t="s">
        <v>8401</v>
      </c>
      <c r="O1178" s="6" t="s">
        <v>3029</v>
      </c>
      <c r="P1178" s="28"/>
      <c r="Q1178" s="6" t="s">
        <v>67</v>
      </c>
      <c r="R1178" s="6" t="s">
        <v>384</v>
      </c>
      <c r="S1178" s="28"/>
      <c r="T1178" s="6" t="s">
        <v>6138</v>
      </c>
      <c r="U1178" s="7" t="n">
        <v>3</v>
      </c>
      <c r="V1178" s="7" t="n">
        <v>3</v>
      </c>
      <c r="W1178" s="8" t="s">
        <v>8402</v>
      </c>
      <c r="X1178" s="8" t="s">
        <v>8402</v>
      </c>
      <c r="Y1178" s="8" t="s">
        <v>8389</v>
      </c>
      <c r="Z1178" s="8" t="s">
        <v>8389</v>
      </c>
      <c r="AA1178" s="7" t="n">
        <v>947</v>
      </c>
      <c r="AB1178" s="7" t="n">
        <v>767</v>
      </c>
      <c r="AC1178" s="7" t="n">
        <v>860</v>
      </c>
      <c r="AD1178" s="7" t="n">
        <v>8</v>
      </c>
      <c r="AE1178" s="7" t="n">
        <v>8</v>
      </c>
      <c r="AF1178" s="7" t="n">
        <v>41</v>
      </c>
      <c r="AG1178" s="7" t="n">
        <v>43</v>
      </c>
      <c r="AH1178" s="7" t="n">
        <v>15</v>
      </c>
      <c r="AI1178" s="7" t="n">
        <v>16</v>
      </c>
      <c r="AJ1178" s="7" t="n">
        <v>10</v>
      </c>
      <c r="AK1178" s="7" t="n">
        <v>10</v>
      </c>
      <c r="AL1178" s="7" t="n">
        <v>20</v>
      </c>
      <c r="AM1178" s="7" t="n">
        <v>22</v>
      </c>
      <c r="AN1178" s="7" t="n">
        <v>6</v>
      </c>
      <c r="AO1178" s="7" t="n">
        <v>6</v>
      </c>
      <c r="AP1178" s="7" t="n">
        <v>0</v>
      </c>
      <c r="AQ1178" s="7" t="n">
        <v>0</v>
      </c>
      <c r="AR1178" s="6" t="s">
        <v>63</v>
      </c>
      <c r="AS1178" s="6" t="s">
        <v>57</v>
      </c>
      <c r="AT1178" s="9" t="str">
        <f aca="false">HYPERLINK("http://catalog.hathitrust.org/Record/001384045","HathiTrust Record")</f>
        <v>HathiTrust Record</v>
      </c>
      <c r="AU1178" s="9" t="str">
        <f aca="false">HYPERLINK("https://creighton-primo.hosted.exlibrisgroup.com/primo-explore/search?tab=default_tab&amp;search_scope=EVERYTHING&amp;vid=01CRU&amp;lang=en_US&amp;offset=0&amp;query=any,contains,991002555929702656","Catalog Record")</f>
        <v>Catalog Record</v>
      </c>
      <c r="AV1178" s="9" t="str">
        <f aca="false">HYPERLINK("http://www.worldcat.org/oclc/371154","WorldCat Record")</f>
        <v>WorldCat Record</v>
      </c>
      <c r="AW1178" s="6" t="s">
        <v>8403</v>
      </c>
      <c r="AX1178" s="6" t="s">
        <v>8404</v>
      </c>
      <c r="AY1178" s="6" t="s">
        <v>8405</v>
      </c>
      <c r="AZ1178" s="6" t="s">
        <v>8405</v>
      </c>
      <c r="BA1178" s="6" t="s">
        <v>8406</v>
      </c>
      <c r="BB1178" s="28"/>
      <c r="BC1178" s="6" t="s">
        <v>8407</v>
      </c>
      <c r="BE1178" s="15" t="s">
        <v>2145</v>
      </c>
      <c r="BF1178" s="6" t="s">
        <v>8408</v>
      </c>
    </row>
    <row r="1179" customFormat="false" ht="94" hidden="false" customHeight="false" outlineLevel="0" collapsed="false">
      <c r="A1179" s="26" t="s">
        <v>57</v>
      </c>
      <c r="B1179" s="27" t="s">
        <v>2129</v>
      </c>
      <c r="C1179" s="27" t="s">
        <v>2130</v>
      </c>
      <c r="D1179" s="27" t="s">
        <v>8409</v>
      </c>
      <c r="E1179" s="27" t="s">
        <v>8410</v>
      </c>
      <c r="F1179" s="27" t="s">
        <v>8411</v>
      </c>
      <c r="G1179" s="28"/>
      <c r="H1179" s="6" t="s">
        <v>63</v>
      </c>
      <c r="I1179" s="6" t="s">
        <v>62</v>
      </c>
      <c r="J1179" s="6" t="s">
        <v>63</v>
      </c>
      <c r="K1179" s="6" t="s">
        <v>63</v>
      </c>
      <c r="L1179" s="6" t="s">
        <v>64</v>
      </c>
      <c r="M1179" s="28"/>
      <c r="N1179" s="27" t="s">
        <v>8412</v>
      </c>
      <c r="O1179" s="6" t="s">
        <v>2249</v>
      </c>
      <c r="P1179" s="28"/>
      <c r="Q1179" s="6" t="s">
        <v>67</v>
      </c>
      <c r="R1179" s="6" t="s">
        <v>1059</v>
      </c>
      <c r="S1179" s="27" t="s">
        <v>8413</v>
      </c>
      <c r="T1179" s="6" t="s">
        <v>6138</v>
      </c>
      <c r="U1179" s="7" t="n">
        <v>4</v>
      </c>
      <c r="V1179" s="7" t="n">
        <v>4</v>
      </c>
      <c r="W1179" s="8" t="s">
        <v>8414</v>
      </c>
      <c r="X1179" s="8" t="s">
        <v>8414</v>
      </c>
      <c r="Y1179" s="8" t="s">
        <v>8415</v>
      </c>
      <c r="Z1179" s="8" t="s">
        <v>8415</v>
      </c>
      <c r="AA1179" s="7" t="n">
        <v>643</v>
      </c>
      <c r="AB1179" s="7" t="n">
        <v>524</v>
      </c>
      <c r="AC1179" s="7" t="n">
        <v>527</v>
      </c>
      <c r="AD1179" s="7" t="n">
        <v>4</v>
      </c>
      <c r="AE1179" s="7" t="n">
        <v>4</v>
      </c>
      <c r="AF1179" s="7" t="n">
        <v>35</v>
      </c>
      <c r="AG1179" s="7" t="n">
        <v>35</v>
      </c>
      <c r="AH1179" s="7" t="n">
        <v>14</v>
      </c>
      <c r="AI1179" s="7" t="n">
        <v>14</v>
      </c>
      <c r="AJ1179" s="7" t="n">
        <v>9</v>
      </c>
      <c r="AK1179" s="7" t="n">
        <v>9</v>
      </c>
      <c r="AL1179" s="7" t="n">
        <v>19</v>
      </c>
      <c r="AM1179" s="7" t="n">
        <v>19</v>
      </c>
      <c r="AN1179" s="7" t="n">
        <v>2</v>
      </c>
      <c r="AO1179" s="7" t="n">
        <v>2</v>
      </c>
      <c r="AP1179" s="7" t="n">
        <v>1</v>
      </c>
      <c r="AQ1179" s="7" t="n">
        <v>1</v>
      </c>
      <c r="AR1179" s="6" t="s">
        <v>63</v>
      </c>
      <c r="AS1179" s="6" t="s">
        <v>57</v>
      </c>
      <c r="AT1179" s="9" t="str">
        <f aca="false">HYPERLINK("http://catalog.hathitrust.org/Record/002581584","HathiTrust Record")</f>
        <v>HathiTrust Record</v>
      </c>
      <c r="AU1179" s="9" t="str">
        <f aca="false">HYPERLINK("https://creighton-primo.hosted.exlibrisgroup.com/primo-explore/search?tab=default_tab&amp;search_scope=EVERYTHING&amp;vid=01CRU&amp;lang=en_US&amp;offset=0&amp;query=any,contains,991001996909702656","Catalog Record")</f>
        <v>Catalog Record</v>
      </c>
      <c r="AV1179" s="9" t="str">
        <f aca="false">HYPERLINK("http://www.worldcat.org/oclc/25372583","WorldCat Record")</f>
        <v>WorldCat Record</v>
      </c>
      <c r="AW1179" s="6" t="s">
        <v>8416</v>
      </c>
      <c r="AX1179" s="6" t="s">
        <v>8417</v>
      </c>
      <c r="AY1179" s="6" t="s">
        <v>8418</v>
      </c>
      <c r="AZ1179" s="6" t="s">
        <v>8418</v>
      </c>
      <c r="BA1179" s="6" t="s">
        <v>8419</v>
      </c>
      <c r="BB1179" s="6" t="s">
        <v>8420</v>
      </c>
      <c r="BC1179" s="6" t="s">
        <v>8421</v>
      </c>
      <c r="BE1179" s="15" t="s">
        <v>2145</v>
      </c>
      <c r="BF1179" s="6" t="s">
        <v>8422</v>
      </c>
    </row>
    <row r="1180" customFormat="false" ht="82.5" hidden="false" customHeight="false" outlineLevel="0" collapsed="false">
      <c r="A1180" s="26" t="s">
        <v>63</v>
      </c>
      <c r="B1180" s="27" t="s">
        <v>2129</v>
      </c>
      <c r="C1180" s="27" t="s">
        <v>2130</v>
      </c>
      <c r="D1180" s="27" t="s">
        <v>8423</v>
      </c>
      <c r="E1180" s="27" t="s">
        <v>8424</v>
      </c>
      <c r="F1180" s="27" t="s">
        <v>8425</v>
      </c>
      <c r="G1180" s="28"/>
      <c r="H1180" s="6" t="s">
        <v>63</v>
      </c>
      <c r="I1180" s="6" t="s">
        <v>62</v>
      </c>
      <c r="J1180" s="6" t="s">
        <v>63</v>
      </c>
      <c r="K1180" s="6" t="s">
        <v>63</v>
      </c>
      <c r="L1180" s="6" t="s">
        <v>64</v>
      </c>
      <c r="M1180" s="27" t="s">
        <v>8426</v>
      </c>
      <c r="N1180" s="27" t="s">
        <v>8427</v>
      </c>
      <c r="O1180" s="6" t="s">
        <v>3029</v>
      </c>
      <c r="P1180" s="27" t="s">
        <v>3494</v>
      </c>
      <c r="Q1180" s="6" t="s">
        <v>67</v>
      </c>
      <c r="R1180" s="6" t="s">
        <v>181</v>
      </c>
      <c r="S1180" s="28"/>
      <c r="T1180" s="6" t="s">
        <v>6138</v>
      </c>
      <c r="U1180" s="7" t="n">
        <v>1</v>
      </c>
      <c r="V1180" s="7" t="n">
        <v>1</v>
      </c>
      <c r="W1180" s="8" t="s">
        <v>8428</v>
      </c>
      <c r="X1180" s="8" t="s">
        <v>8428</v>
      </c>
      <c r="Y1180" s="8" t="s">
        <v>8389</v>
      </c>
      <c r="Z1180" s="8" t="s">
        <v>8389</v>
      </c>
      <c r="AA1180" s="7" t="n">
        <v>745</v>
      </c>
      <c r="AB1180" s="7" t="n">
        <v>708</v>
      </c>
      <c r="AC1180" s="7" t="n">
        <v>810</v>
      </c>
      <c r="AD1180" s="7" t="n">
        <v>3</v>
      </c>
      <c r="AE1180" s="7" t="n">
        <v>4</v>
      </c>
      <c r="AF1180" s="7" t="n">
        <v>23</v>
      </c>
      <c r="AG1180" s="7" t="n">
        <v>30</v>
      </c>
      <c r="AH1180" s="7" t="n">
        <v>8</v>
      </c>
      <c r="AI1180" s="7" t="n">
        <v>13</v>
      </c>
      <c r="AJ1180" s="7" t="n">
        <v>4</v>
      </c>
      <c r="AK1180" s="7" t="n">
        <v>5</v>
      </c>
      <c r="AL1180" s="7" t="n">
        <v>16</v>
      </c>
      <c r="AM1180" s="7" t="n">
        <v>18</v>
      </c>
      <c r="AN1180" s="7" t="n">
        <v>2</v>
      </c>
      <c r="AO1180" s="7" t="n">
        <v>3</v>
      </c>
      <c r="AP1180" s="7" t="n">
        <v>0</v>
      </c>
      <c r="AQ1180" s="7" t="n">
        <v>0</v>
      </c>
      <c r="AR1180" s="6" t="s">
        <v>63</v>
      </c>
      <c r="AS1180" s="6" t="s">
        <v>63</v>
      </c>
      <c r="AT1180" s="28"/>
      <c r="AU1180" s="9" t="str">
        <f aca="false">HYPERLINK("https://creighton-primo.hosted.exlibrisgroup.com/primo-explore/search?tab=default_tab&amp;search_scope=EVERYTHING&amp;vid=01CRU&amp;lang=en_US&amp;offset=0&amp;query=any,contains,991002447489702656","Catalog Record")</f>
        <v>Catalog Record</v>
      </c>
      <c r="AV1180" s="9" t="str">
        <f aca="false">HYPERLINK("http://www.worldcat.org/oclc/351936","WorldCat Record")</f>
        <v>WorldCat Record</v>
      </c>
      <c r="AW1180" s="6" t="s">
        <v>8429</v>
      </c>
      <c r="AX1180" s="6" t="s">
        <v>8430</v>
      </c>
      <c r="AY1180" s="6" t="s">
        <v>8431</v>
      </c>
      <c r="AZ1180" s="6" t="s">
        <v>8431</v>
      </c>
      <c r="BA1180" s="6" t="s">
        <v>8432</v>
      </c>
      <c r="BB1180" s="28"/>
      <c r="BC1180" s="6" t="s">
        <v>8433</v>
      </c>
      <c r="BE1180" s="15" t="s">
        <v>2145</v>
      </c>
      <c r="BF1180" s="6" t="s">
        <v>8434</v>
      </c>
    </row>
    <row r="1181" customFormat="false" ht="94" hidden="false" customHeight="false" outlineLevel="0" collapsed="false">
      <c r="A1181" s="26" t="s">
        <v>63</v>
      </c>
      <c r="B1181" s="27" t="s">
        <v>2129</v>
      </c>
      <c r="C1181" s="27" t="s">
        <v>2130</v>
      </c>
      <c r="D1181" s="27" t="s">
        <v>8435</v>
      </c>
      <c r="E1181" s="27" t="s">
        <v>8436</v>
      </c>
      <c r="F1181" s="27" t="s">
        <v>8437</v>
      </c>
      <c r="G1181" s="28"/>
      <c r="H1181" s="6" t="s">
        <v>63</v>
      </c>
      <c r="I1181" s="6" t="s">
        <v>62</v>
      </c>
      <c r="J1181" s="6" t="s">
        <v>63</v>
      </c>
      <c r="K1181" s="6" t="s">
        <v>63</v>
      </c>
      <c r="L1181" s="6" t="s">
        <v>64</v>
      </c>
      <c r="M1181" s="27" t="s">
        <v>8438</v>
      </c>
      <c r="N1181" s="27" t="s">
        <v>8439</v>
      </c>
      <c r="O1181" s="6" t="s">
        <v>2369</v>
      </c>
      <c r="P1181" s="28"/>
      <c r="Q1181" s="6" t="s">
        <v>67</v>
      </c>
      <c r="R1181" s="6" t="s">
        <v>68</v>
      </c>
      <c r="S1181" s="28"/>
      <c r="T1181" s="6" t="s">
        <v>6138</v>
      </c>
      <c r="U1181" s="7" t="n">
        <v>1</v>
      </c>
      <c r="V1181" s="7" t="n">
        <v>1</v>
      </c>
      <c r="W1181" s="8" t="s">
        <v>8440</v>
      </c>
      <c r="X1181" s="8" t="s">
        <v>8440</v>
      </c>
      <c r="Y1181" s="8" t="s">
        <v>8389</v>
      </c>
      <c r="Z1181" s="8" t="s">
        <v>8389</v>
      </c>
      <c r="AA1181" s="7" t="n">
        <v>531</v>
      </c>
      <c r="AB1181" s="7" t="n">
        <v>492</v>
      </c>
      <c r="AC1181" s="7" t="n">
        <v>660</v>
      </c>
      <c r="AD1181" s="7" t="n">
        <v>4</v>
      </c>
      <c r="AE1181" s="7" t="n">
        <v>4</v>
      </c>
      <c r="AF1181" s="7" t="n">
        <v>24</v>
      </c>
      <c r="AG1181" s="7" t="n">
        <v>35</v>
      </c>
      <c r="AH1181" s="7" t="n">
        <v>12</v>
      </c>
      <c r="AI1181" s="7" t="n">
        <v>15</v>
      </c>
      <c r="AJ1181" s="7" t="n">
        <v>4</v>
      </c>
      <c r="AK1181" s="7" t="n">
        <v>7</v>
      </c>
      <c r="AL1181" s="7" t="n">
        <v>13</v>
      </c>
      <c r="AM1181" s="7" t="n">
        <v>22</v>
      </c>
      <c r="AN1181" s="7" t="n">
        <v>3</v>
      </c>
      <c r="AO1181" s="7" t="n">
        <v>3</v>
      </c>
      <c r="AP1181" s="7" t="n">
        <v>0</v>
      </c>
      <c r="AQ1181" s="7" t="n">
        <v>0</v>
      </c>
      <c r="AR1181" s="6" t="s">
        <v>63</v>
      </c>
      <c r="AS1181" s="6" t="s">
        <v>63</v>
      </c>
      <c r="AT1181" s="28"/>
      <c r="AU1181" s="9" t="str">
        <f aca="false">HYPERLINK("https://creighton-primo.hosted.exlibrisgroup.com/primo-explore/search?tab=default_tab&amp;search_scope=EVERYTHING&amp;vid=01CRU&amp;lang=en_US&amp;offset=0&amp;query=any,contains,991003840009702656","Catalog Record")</f>
        <v>Catalog Record</v>
      </c>
      <c r="AV1181" s="9" t="str">
        <f aca="false">HYPERLINK("http://www.worldcat.org/oclc/876778","WorldCat Record")</f>
        <v>WorldCat Record</v>
      </c>
      <c r="AW1181" s="6" t="s">
        <v>8441</v>
      </c>
      <c r="AX1181" s="6" t="s">
        <v>8442</v>
      </c>
      <c r="AY1181" s="6" t="s">
        <v>8443</v>
      </c>
      <c r="AZ1181" s="6" t="s">
        <v>8443</v>
      </c>
      <c r="BA1181" s="6" t="s">
        <v>8444</v>
      </c>
      <c r="BB1181" s="28"/>
      <c r="BC1181" s="6" t="s">
        <v>8445</v>
      </c>
      <c r="BE1181" s="15" t="s">
        <v>2145</v>
      </c>
      <c r="BF1181" s="6" t="s">
        <v>8446</v>
      </c>
    </row>
    <row r="1182" customFormat="false" ht="105.5" hidden="false" customHeight="false" outlineLevel="0" collapsed="false">
      <c r="A1182" s="26" t="s">
        <v>63</v>
      </c>
      <c r="B1182" s="27" t="s">
        <v>2129</v>
      </c>
      <c r="C1182" s="27" t="s">
        <v>2130</v>
      </c>
      <c r="D1182" s="27" t="s">
        <v>8447</v>
      </c>
      <c r="E1182" s="27" t="s">
        <v>8448</v>
      </c>
      <c r="F1182" s="27" t="s">
        <v>8449</v>
      </c>
      <c r="G1182" s="28"/>
      <c r="H1182" s="6" t="s">
        <v>63</v>
      </c>
      <c r="I1182" s="6" t="s">
        <v>62</v>
      </c>
      <c r="J1182" s="6" t="s">
        <v>63</v>
      </c>
      <c r="K1182" s="6" t="s">
        <v>63</v>
      </c>
      <c r="L1182" s="6" t="s">
        <v>64</v>
      </c>
      <c r="M1182" s="28"/>
      <c r="N1182" s="27" t="s">
        <v>8450</v>
      </c>
      <c r="O1182" s="6" t="s">
        <v>152</v>
      </c>
      <c r="P1182" s="28"/>
      <c r="Q1182" s="6" t="s">
        <v>67</v>
      </c>
      <c r="R1182" s="6" t="s">
        <v>384</v>
      </c>
      <c r="S1182" s="28"/>
      <c r="T1182" s="6" t="s">
        <v>6138</v>
      </c>
      <c r="U1182" s="7" t="n">
        <v>4</v>
      </c>
      <c r="V1182" s="7" t="n">
        <v>4</v>
      </c>
      <c r="W1182" s="8" t="s">
        <v>8451</v>
      </c>
      <c r="X1182" s="8" t="s">
        <v>8451</v>
      </c>
      <c r="Y1182" s="8" t="s">
        <v>8452</v>
      </c>
      <c r="Z1182" s="8" t="s">
        <v>8452</v>
      </c>
      <c r="AA1182" s="7" t="n">
        <v>521</v>
      </c>
      <c r="AB1182" s="7" t="n">
        <v>405</v>
      </c>
      <c r="AC1182" s="7" t="n">
        <v>407</v>
      </c>
      <c r="AD1182" s="7" t="n">
        <v>3</v>
      </c>
      <c r="AE1182" s="7" t="n">
        <v>3</v>
      </c>
      <c r="AF1182" s="7" t="n">
        <v>24</v>
      </c>
      <c r="AG1182" s="7" t="n">
        <v>24</v>
      </c>
      <c r="AH1182" s="7" t="n">
        <v>9</v>
      </c>
      <c r="AI1182" s="7" t="n">
        <v>9</v>
      </c>
      <c r="AJ1182" s="7" t="n">
        <v>6</v>
      </c>
      <c r="AK1182" s="7" t="n">
        <v>6</v>
      </c>
      <c r="AL1182" s="7" t="n">
        <v>16</v>
      </c>
      <c r="AM1182" s="7" t="n">
        <v>16</v>
      </c>
      <c r="AN1182" s="7" t="n">
        <v>2</v>
      </c>
      <c r="AO1182" s="7" t="n">
        <v>2</v>
      </c>
      <c r="AP1182" s="7" t="n">
        <v>0</v>
      </c>
      <c r="AQ1182" s="7" t="n">
        <v>0</v>
      </c>
      <c r="AR1182" s="6" t="s">
        <v>63</v>
      </c>
      <c r="AS1182" s="6" t="s">
        <v>57</v>
      </c>
      <c r="AT1182" s="9" t="str">
        <f aca="false">HYPERLINK("http://catalog.hathitrust.org/Record/000120130","HathiTrust Record")</f>
        <v>HathiTrust Record</v>
      </c>
      <c r="AU1182" s="9" t="str">
        <f aca="false">HYPERLINK("https://creighton-primo.hosted.exlibrisgroup.com/primo-explore/search?tab=default_tab&amp;search_scope=EVERYTHING&amp;vid=01CRU&amp;lang=en_US&amp;offset=0&amp;query=any,contains,991000319499702656","Catalog Record")</f>
        <v>Catalog Record</v>
      </c>
      <c r="AV1182" s="9" t="str">
        <f aca="false">HYPERLINK("http://www.worldcat.org/oclc/10145798","WorldCat Record")</f>
        <v>WorldCat Record</v>
      </c>
      <c r="AW1182" s="6" t="s">
        <v>8453</v>
      </c>
      <c r="AX1182" s="6" t="s">
        <v>8454</v>
      </c>
      <c r="AY1182" s="6" t="s">
        <v>8455</v>
      </c>
      <c r="AZ1182" s="6" t="s">
        <v>8455</v>
      </c>
      <c r="BA1182" s="6" t="s">
        <v>8456</v>
      </c>
      <c r="BB1182" s="6" t="s">
        <v>8457</v>
      </c>
      <c r="BC1182" s="6" t="s">
        <v>8458</v>
      </c>
      <c r="BE1182" s="15" t="s">
        <v>2145</v>
      </c>
      <c r="BF1182" s="6" t="s">
        <v>8459</v>
      </c>
    </row>
    <row r="1183" customFormat="false" ht="71" hidden="false" customHeight="false" outlineLevel="0" collapsed="false">
      <c r="A1183" s="26" t="s">
        <v>63</v>
      </c>
      <c r="B1183" s="27" t="s">
        <v>2129</v>
      </c>
      <c r="C1183" s="27" t="s">
        <v>2130</v>
      </c>
      <c r="D1183" s="27" t="s">
        <v>8460</v>
      </c>
      <c r="E1183" s="27" t="s">
        <v>8461</v>
      </c>
      <c r="F1183" s="27" t="s">
        <v>8462</v>
      </c>
      <c r="G1183" s="28"/>
      <c r="H1183" s="6" t="s">
        <v>63</v>
      </c>
      <c r="I1183" s="6" t="s">
        <v>62</v>
      </c>
      <c r="J1183" s="6" t="s">
        <v>63</v>
      </c>
      <c r="K1183" s="6" t="s">
        <v>63</v>
      </c>
      <c r="L1183" s="6" t="s">
        <v>64</v>
      </c>
      <c r="M1183" s="27" t="s">
        <v>8463</v>
      </c>
      <c r="N1183" s="27" t="s">
        <v>8464</v>
      </c>
      <c r="O1183" s="6" t="s">
        <v>8465</v>
      </c>
      <c r="P1183" s="28"/>
      <c r="Q1183" s="6" t="s">
        <v>67</v>
      </c>
      <c r="R1183" s="6" t="s">
        <v>68</v>
      </c>
      <c r="S1183" s="28"/>
      <c r="T1183" s="6" t="s">
        <v>6138</v>
      </c>
      <c r="U1183" s="7" t="n">
        <v>8</v>
      </c>
      <c r="V1183" s="7" t="n">
        <v>8</v>
      </c>
      <c r="W1183" s="8" t="s">
        <v>8466</v>
      </c>
      <c r="X1183" s="8" t="s">
        <v>8466</v>
      </c>
      <c r="Y1183" s="8" t="s">
        <v>8389</v>
      </c>
      <c r="Z1183" s="8" t="s">
        <v>8389</v>
      </c>
      <c r="AA1183" s="7" t="n">
        <v>817</v>
      </c>
      <c r="AB1183" s="7" t="n">
        <v>763</v>
      </c>
      <c r="AC1183" s="7" t="n">
        <v>1719</v>
      </c>
      <c r="AD1183" s="7" t="n">
        <v>5</v>
      </c>
      <c r="AE1183" s="7" t="n">
        <v>10</v>
      </c>
      <c r="AF1183" s="7" t="n">
        <v>25</v>
      </c>
      <c r="AG1183" s="7" t="n">
        <v>52</v>
      </c>
      <c r="AH1183" s="7" t="n">
        <v>8</v>
      </c>
      <c r="AI1183" s="7" t="n">
        <v>20</v>
      </c>
      <c r="AJ1183" s="7" t="n">
        <v>6</v>
      </c>
      <c r="AK1183" s="7" t="n">
        <v>10</v>
      </c>
      <c r="AL1183" s="7" t="n">
        <v>13</v>
      </c>
      <c r="AM1183" s="7" t="n">
        <v>23</v>
      </c>
      <c r="AN1183" s="7" t="n">
        <v>3</v>
      </c>
      <c r="AO1183" s="7" t="n">
        <v>7</v>
      </c>
      <c r="AP1183" s="7" t="n">
        <v>0</v>
      </c>
      <c r="AQ1183" s="7" t="n">
        <v>1</v>
      </c>
      <c r="AR1183" s="6" t="s">
        <v>63</v>
      </c>
      <c r="AS1183" s="6" t="s">
        <v>57</v>
      </c>
      <c r="AT1183" s="9" t="str">
        <f aca="false">HYPERLINK("http://catalog.hathitrust.org/Record/001391039","HathiTrust Record")</f>
        <v>HathiTrust Record</v>
      </c>
      <c r="AU1183" s="9" t="str">
        <f aca="false">HYPERLINK("https://creighton-primo.hosted.exlibrisgroup.com/primo-explore/search?tab=default_tab&amp;search_scope=EVERYTHING&amp;vid=01CRU&amp;lang=en_US&amp;offset=0&amp;query=any,contains,991004213609702656","Catalog Record")</f>
        <v>Catalog Record</v>
      </c>
      <c r="AV1183" s="9" t="str">
        <f aca="false">HYPERLINK("http://www.worldcat.org/oclc/2691556","WorldCat Record")</f>
        <v>WorldCat Record</v>
      </c>
      <c r="AW1183" s="6" t="s">
        <v>8467</v>
      </c>
      <c r="AX1183" s="6" t="s">
        <v>8468</v>
      </c>
      <c r="AY1183" s="6" t="s">
        <v>8469</v>
      </c>
      <c r="AZ1183" s="6" t="s">
        <v>8469</v>
      </c>
      <c r="BA1183" s="6" t="s">
        <v>8470</v>
      </c>
      <c r="BB1183" s="28"/>
      <c r="BC1183" s="6" t="s">
        <v>8471</v>
      </c>
      <c r="BE1183" s="15" t="s">
        <v>2145</v>
      </c>
      <c r="BF1183" s="6" t="s">
        <v>8472</v>
      </c>
    </row>
    <row r="1184" customFormat="false" ht="59.5" hidden="false" customHeight="false" outlineLevel="0" collapsed="false">
      <c r="A1184" s="26" t="s">
        <v>63</v>
      </c>
      <c r="B1184" s="27" t="s">
        <v>2129</v>
      </c>
      <c r="C1184" s="27" t="s">
        <v>2130</v>
      </c>
      <c r="D1184" s="27" t="s">
        <v>8473</v>
      </c>
      <c r="E1184" s="27" t="s">
        <v>8474</v>
      </c>
      <c r="F1184" s="27" t="s">
        <v>8475</v>
      </c>
      <c r="G1184" s="28"/>
      <c r="H1184" s="6" t="s">
        <v>63</v>
      </c>
      <c r="I1184" s="6" t="s">
        <v>62</v>
      </c>
      <c r="J1184" s="6" t="s">
        <v>63</v>
      </c>
      <c r="K1184" s="6" t="s">
        <v>63</v>
      </c>
      <c r="L1184" s="6" t="s">
        <v>64</v>
      </c>
      <c r="M1184" s="27" t="s">
        <v>8476</v>
      </c>
      <c r="N1184" s="27" t="s">
        <v>8477</v>
      </c>
      <c r="O1184" s="6" t="s">
        <v>108</v>
      </c>
      <c r="P1184" s="27" t="s">
        <v>561</v>
      </c>
      <c r="Q1184" s="6" t="s">
        <v>67</v>
      </c>
      <c r="R1184" s="6" t="s">
        <v>68</v>
      </c>
      <c r="S1184" s="28"/>
      <c r="T1184" s="6" t="s">
        <v>6138</v>
      </c>
      <c r="U1184" s="7" t="n">
        <v>1</v>
      </c>
      <c r="V1184" s="7" t="n">
        <v>1</v>
      </c>
      <c r="W1184" s="8" t="s">
        <v>8478</v>
      </c>
      <c r="X1184" s="8" t="s">
        <v>8478</v>
      </c>
      <c r="Y1184" s="8" t="s">
        <v>8389</v>
      </c>
      <c r="Z1184" s="8" t="s">
        <v>8389</v>
      </c>
      <c r="AA1184" s="7" t="n">
        <v>888</v>
      </c>
      <c r="AB1184" s="7" t="n">
        <v>844</v>
      </c>
      <c r="AC1184" s="7" t="n">
        <v>981</v>
      </c>
      <c r="AD1184" s="7" t="n">
        <v>5</v>
      </c>
      <c r="AE1184" s="7" t="n">
        <v>7</v>
      </c>
      <c r="AF1184" s="7" t="n">
        <v>25</v>
      </c>
      <c r="AG1184" s="7" t="n">
        <v>34</v>
      </c>
      <c r="AH1184" s="7" t="n">
        <v>8</v>
      </c>
      <c r="AI1184" s="7" t="n">
        <v>12</v>
      </c>
      <c r="AJ1184" s="7" t="n">
        <v>8</v>
      </c>
      <c r="AK1184" s="7" t="n">
        <v>10</v>
      </c>
      <c r="AL1184" s="7" t="n">
        <v>11</v>
      </c>
      <c r="AM1184" s="7" t="n">
        <v>16</v>
      </c>
      <c r="AN1184" s="7" t="n">
        <v>4</v>
      </c>
      <c r="AO1184" s="7" t="n">
        <v>6</v>
      </c>
      <c r="AP1184" s="7" t="n">
        <v>0</v>
      </c>
      <c r="AQ1184" s="7" t="n">
        <v>0</v>
      </c>
      <c r="AR1184" s="6" t="s">
        <v>63</v>
      </c>
      <c r="AS1184" s="6" t="s">
        <v>57</v>
      </c>
      <c r="AT1184" s="9" t="str">
        <f aca="false">HYPERLINK("http://catalog.hathitrust.org/Record/000092046","HathiTrust Record")</f>
        <v>HathiTrust Record</v>
      </c>
      <c r="AU1184" s="9" t="str">
        <f aca="false">HYPERLINK("https://creighton-primo.hosted.exlibrisgroup.com/primo-explore/search?tab=default_tab&amp;search_scope=EVERYTHING&amp;vid=01CRU&amp;lang=en_US&amp;offset=0&amp;query=any,contains,991004480259702656","Catalog Record")</f>
        <v>Catalog Record</v>
      </c>
      <c r="AV1184" s="9" t="str">
        <f aca="false">HYPERLINK("http://www.worldcat.org/oclc/3627241","WorldCat Record")</f>
        <v>WorldCat Record</v>
      </c>
      <c r="AW1184" s="6" t="s">
        <v>8479</v>
      </c>
      <c r="AX1184" s="6" t="s">
        <v>8480</v>
      </c>
      <c r="AY1184" s="6" t="s">
        <v>8481</v>
      </c>
      <c r="AZ1184" s="6" t="s">
        <v>8481</v>
      </c>
      <c r="BA1184" s="6" t="s">
        <v>8482</v>
      </c>
      <c r="BB1184" s="6" t="s">
        <v>8483</v>
      </c>
      <c r="BC1184" s="6" t="s">
        <v>8484</v>
      </c>
      <c r="BE1184" s="15" t="s">
        <v>2145</v>
      </c>
      <c r="BF1184" s="6" t="s">
        <v>8485</v>
      </c>
    </row>
    <row r="1185" customFormat="false" ht="59.5" hidden="false" customHeight="false" outlineLevel="0" collapsed="false">
      <c r="A1185" s="26" t="s">
        <v>63</v>
      </c>
      <c r="B1185" s="27" t="s">
        <v>2129</v>
      </c>
      <c r="C1185" s="27" t="s">
        <v>2130</v>
      </c>
      <c r="D1185" s="27" t="s">
        <v>8486</v>
      </c>
      <c r="E1185" s="27" t="s">
        <v>8487</v>
      </c>
      <c r="F1185" s="27" t="s">
        <v>8488</v>
      </c>
      <c r="G1185" s="28"/>
      <c r="H1185" s="6" t="s">
        <v>57</v>
      </c>
      <c r="I1185" s="6" t="s">
        <v>62</v>
      </c>
      <c r="J1185" s="6" t="s">
        <v>57</v>
      </c>
      <c r="K1185" s="6" t="s">
        <v>63</v>
      </c>
      <c r="L1185" s="6" t="s">
        <v>64</v>
      </c>
      <c r="M1185" s="27" t="s">
        <v>8489</v>
      </c>
      <c r="N1185" s="27" t="s">
        <v>8490</v>
      </c>
      <c r="O1185" s="6" t="s">
        <v>4833</v>
      </c>
      <c r="P1185" s="28"/>
      <c r="Q1185" s="6" t="s">
        <v>67</v>
      </c>
      <c r="R1185" s="6" t="s">
        <v>384</v>
      </c>
      <c r="S1185" s="27" t="s">
        <v>8491</v>
      </c>
      <c r="T1185" s="6" t="s">
        <v>6138</v>
      </c>
      <c r="U1185" s="7" t="n">
        <v>3</v>
      </c>
      <c r="V1185" s="7" t="n">
        <v>6</v>
      </c>
      <c r="W1185" s="8" t="s">
        <v>8492</v>
      </c>
      <c r="X1185" s="8" t="s">
        <v>8492</v>
      </c>
      <c r="Y1185" s="8" t="s">
        <v>8389</v>
      </c>
      <c r="Z1185" s="8" t="s">
        <v>8389</v>
      </c>
      <c r="AA1185" s="7" t="n">
        <v>296</v>
      </c>
      <c r="AB1185" s="7" t="n">
        <v>247</v>
      </c>
      <c r="AC1185" s="7" t="n">
        <v>485</v>
      </c>
      <c r="AD1185" s="7" t="n">
        <v>3</v>
      </c>
      <c r="AE1185" s="7" t="n">
        <v>5</v>
      </c>
      <c r="AF1185" s="7" t="n">
        <v>17</v>
      </c>
      <c r="AG1185" s="7" t="n">
        <v>32</v>
      </c>
      <c r="AH1185" s="7" t="n">
        <v>8</v>
      </c>
      <c r="AI1185" s="7" t="n">
        <v>13</v>
      </c>
      <c r="AJ1185" s="7" t="n">
        <v>3</v>
      </c>
      <c r="AK1185" s="7" t="n">
        <v>6</v>
      </c>
      <c r="AL1185" s="7" t="n">
        <v>9</v>
      </c>
      <c r="AM1185" s="7" t="n">
        <v>19</v>
      </c>
      <c r="AN1185" s="7" t="n">
        <v>2</v>
      </c>
      <c r="AO1185" s="7" t="n">
        <v>3</v>
      </c>
      <c r="AP1185" s="7" t="n">
        <v>1</v>
      </c>
      <c r="AQ1185" s="7" t="n">
        <v>1</v>
      </c>
      <c r="AR1185" s="6" t="s">
        <v>63</v>
      </c>
      <c r="AS1185" s="6" t="s">
        <v>57</v>
      </c>
      <c r="AT1185" s="9" t="str">
        <f aca="false">HYPERLINK("http://catalog.hathitrust.org/Record/001915780","HathiTrust Record")</f>
        <v>HathiTrust Record</v>
      </c>
      <c r="AU1185" s="9" t="str">
        <f aca="false">HYPERLINK("https://creighton-primo.hosted.exlibrisgroup.com/primo-explore/search?tab=default_tab&amp;search_scope=EVERYTHING&amp;vid=01CRU&amp;lang=en_US&amp;offset=0&amp;query=any,contains,991004773579702656","Catalog Record")</f>
        <v>Catalog Record</v>
      </c>
      <c r="AV1185" s="9" t="str">
        <f aca="false">HYPERLINK("http://www.worldcat.org/oclc/5091913","WorldCat Record")</f>
        <v>WorldCat Record</v>
      </c>
      <c r="AW1185" s="6" t="s">
        <v>8493</v>
      </c>
      <c r="AX1185" s="6" t="s">
        <v>8494</v>
      </c>
      <c r="AY1185" s="6" t="s">
        <v>8495</v>
      </c>
      <c r="AZ1185" s="6" t="s">
        <v>8495</v>
      </c>
      <c r="BA1185" s="6" t="s">
        <v>8496</v>
      </c>
      <c r="BB1185" s="28"/>
      <c r="BC1185" s="6" t="s">
        <v>8497</v>
      </c>
      <c r="BE1185" s="15" t="s">
        <v>2145</v>
      </c>
      <c r="BF1185" s="6" t="s">
        <v>8498</v>
      </c>
    </row>
    <row r="1186" customFormat="false" ht="94" hidden="false" customHeight="false" outlineLevel="0" collapsed="false">
      <c r="A1186" s="26" t="s">
        <v>63</v>
      </c>
      <c r="B1186" s="27" t="s">
        <v>2129</v>
      </c>
      <c r="C1186" s="27" t="s">
        <v>2130</v>
      </c>
      <c r="D1186" s="27" t="s">
        <v>8499</v>
      </c>
      <c r="E1186" s="27" t="s">
        <v>8500</v>
      </c>
      <c r="F1186" s="27" t="s">
        <v>8501</v>
      </c>
      <c r="G1186" s="6" t="s">
        <v>8502</v>
      </c>
      <c r="H1186" s="6" t="s">
        <v>57</v>
      </c>
      <c r="I1186" s="6" t="s">
        <v>62</v>
      </c>
      <c r="J1186" s="6" t="s">
        <v>63</v>
      </c>
      <c r="K1186" s="6" t="s">
        <v>63</v>
      </c>
      <c r="L1186" s="6" t="s">
        <v>64</v>
      </c>
      <c r="M1186" s="27" t="s">
        <v>3711</v>
      </c>
      <c r="N1186" s="27" t="s">
        <v>8503</v>
      </c>
      <c r="O1186" s="6" t="s">
        <v>6880</v>
      </c>
      <c r="P1186" s="28"/>
      <c r="Q1186" s="6" t="s">
        <v>67</v>
      </c>
      <c r="R1186" s="6" t="s">
        <v>384</v>
      </c>
      <c r="S1186" s="28"/>
      <c r="T1186" s="6" t="s">
        <v>6138</v>
      </c>
      <c r="U1186" s="7" t="n">
        <v>2</v>
      </c>
      <c r="V1186" s="7" t="n">
        <v>3</v>
      </c>
      <c r="W1186" s="8" t="s">
        <v>8504</v>
      </c>
      <c r="X1186" s="8" t="s">
        <v>8505</v>
      </c>
      <c r="Y1186" s="8" t="s">
        <v>8389</v>
      </c>
      <c r="Z1186" s="8" t="s">
        <v>8389</v>
      </c>
      <c r="AA1186" s="7" t="n">
        <v>204</v>
      </c>
      <c r="AB1186" s="7" t="n">
        <v>175</v>
      </c>
      <c r="AC1186" s="7" t="n">
        <v>241</v>
      </c>
      <c r="AD1186" s="7" t="n">
        <v>2</v>
      </c>
      <c r="AE1186" s="7" t="n">
        <v>2</v>
      </c>
      <c r="AF1186" s="7" t="n">
        <v>9</v>
      </c>
      <c r="AG1186" s="7" t="n">
        <v>11</v>
      </c>
      <c r="AH1186" s="7" t="n">
        <v>0</v>
      </c>
      <c r="AI1186" s="7" t="n">
        <v>2</v>
      </c>
      <c r="AJ1186" s="7" t="n">
        <v>4</v>
      </c>
      <c r="AK1186" s="7" t="n">
        <v>5</v>
      </c>
      <c r="AL1186" s="7" t="n">
        <v>6</v>
      </c>
      <c r="AM1186" s="7" t="n">
        <v>6</v>
      </c>
      <c r="AN1186" s="7" t="n">
        <v>1</v>
      </c>
      <c r="AO1186" s="7" t="n">
        <v>1</v>
      </c>
      <c r="AP1186" s="7" t="n">
        <v>0</v>
      </c>
      <c r="AQ1186" s="7" t="n">
        <v>0</v>
      </c>
      <c r="AR1186" s="6" t="s">
        <v>63</v>
      </c>
      <c r="AS1186" s="6" t="s">
        <v>57</v>
      </c>
      <c r="AT1186" s="9" t="str">
        <f aca="false">HYPERLINK("http://catalog.hathitrust.org/Record/001384108","HathiTrust Record")</f>
        <v>HathiTrust Record</v>
      </c>
      <c r="AU1186" s="9" t="str">
        <f aca="false">HYPERLINK("https://creighton-primo.hosted.exlibrisgroup.com/primo-explore/search?tab=default_tab&amp;search_scope=EVERYTHING&amp;vid=01CRU&amp;lang=en_US&amp;offset=0&amp;query=any,contains,991003474119702656","Catalog Record")</f>
        <v>Catalog Record</v>
      </c>
      <c r="AV1186" s="9" t="str">
        <f aca="false">HYPERLINK("http://www.worldcat.org/oclc/1017614","WorldCat Record")</f>
        <v>WorldCat Record</v>
      </c>
      <c r="AW1186" s="6" t="s">
        <v>8506</v>
      </c>
      <c r="AX1186" s="6" t="s">
        <v>8507</v>
      </c>
      <c r="AY1186" s="6" t="s">
        <v>8508</v>
      </c>
      <c r="AZ1186" s="6" t="s">
        <v>8508</v>
      </c>
      <c r="BA1186" s="6" t="s">
        <v>8509</v>
      </c>
      <c r="BB1186" s="28"/>
      <c r="BC1186" s="6" t="s">
        <v>8510</v>
      </c>
      <c r="BE1186" s="15" t="s">
        <v>2145</v>
      </c>
      <c r="BF1186" s="6" t="s">
        <v>8511</v>
      </c>
    </row>
    <row r="1187" customFormat="false" ht="94" hidden="false" customHeight="false" outlineLevel="0" collapsed="false">
      <c r="A1187" s="26" t="s">
        <v>63</v>
      </c>
      <c r="B1187" s="27" t="s">
        <v>2129</v>
      </c>
      <c r="C1187" s="27" t="s">
        <v>2130</v>
      </c>
      <c r="D1187" s="27" t="s">
        <v>8512</v>
      </c>
      <c r="E1187" s="27" t="s">
        <v>8513</v>
      </c>
      <c r="F1187" s="27" t="s">
        <v>8501</v>
      </c>
      <c r="G1187" s="6" t="s">
        <v>8514</v>
      </c>
      <c r="H1187" s="6" t="s">
        <v>57</v>
      </c>
      <c r="I1187" s="6" t="s">
        <v>62</v>
      </c>
      <c r="J1187" s="6" t="s">
        <v>63</v>
      </c>
      <c r="K1187" s="6" t="s">
        <v>63</v>
      </c>
      <c r="L1187" s="6" t="s">
        <v>64</v>
      </c>
      <c r="M1187" s="27" t="s">
        <v>3711</v>
      </c>
      <c r="N1187" s="27" t="s">
        <v>8503</v>
      </c>
      <c r="O1187" s="6" t="s">
        <v>6880</v>
      </c>
      <c r="P1187" s="28"/>
      <c r="Q1187" s="6" t="s">
        <v>67</v>
      </c>
      <c r="R1187" s="6" t="s">
        <v>384</v>
      </c>
      <c r="S1187" s="28"/>
      <c r="T1187" s="6" t="s">
        <v>6138</v>
      </c>
      <c r="U1187" s="7" t="n">
        <v>0</v>
      </c>
      <c r="V1187" s="7" t="n">
        <v>3</v>
      </c>
      <c r="W1187" s="28"/>
      <c r="X1187" s="8" t="s">
        <v>8505</v>
      </c>
      <c r="Y1187" s="8" t="s">
        <v>8389</v>
      </c>
      <c r="Z1187" s="8" t="s">
        <v>8389</v>
      </c>
      <c r="AA1187" s="7" t="n">
        <v>204</v>
      </c>
      <c r="AB1187" s="7" t="n">
        <v>175</v>
      </c>
      <c r="AC1187" s="7" t="n">
        <v>241</v>
      </c>
      <c r="AD1187" s="7" t="n">
        <v>2</v>
      </c>
      <c r="AE1187" s="7" t="n">
        <v>2</v>
      </c>
      <c r="AF1187" s="7" t="n">
        <v>9</v>
      </c>
      <c r="AG1187" s="7" t="n">
        <v>11</v>
      </c>
      <c r="AH1187" s="7" t="n">
        <v>0</v>
      </c>
      <c r="AI1187" s="7" t="n">
        <v>2</v>
      </c>
      <c r="AJ1187" s="7" t="n">
        <v>4</v>
      </c>
      <c r="AK1187" s="7" t="n">
        <v>5</v>
      </c>
      <c r="AL1187" s="7" t="n">
        <v>6</v>
      </c>
      <c r="AM1187" s="7" t="n">
        <v>6</v>
      </c>
      <c r="AN1187" s="7" t="n">
        <v>1</v>
      </c>
      <c r="AO1187" s="7" t="n">
        <v>1</v>
      </c>
      <c r="AP1187" s="7" t="n">
        <v>0</v>
      </c>
      <c r="AQ1187" s="7" t="n">
        <v>0</v>
      </c>
      <c r="AR1187" s="6" t="s">
        <v>63</v>
      </c>
      <c r="AS1187" s="6" t="s">
        <v>57</v>
      </c>
      <c r="AT1187" s="9" t="str">
        <f aca="false">HYPERLINK("http://catalog.hathitrust.org/Record/001384108","HathiTrust Record")</f>
        <v>HathiTrust Record</v>
      </c>
      <c r="AU1187" s="9" t="str">
        <f aca="false">HYPERLINK("https://creighton-primo.hosted.exlibrisgroup.com/primo-explore/search?tab=default_tab&amp;search_scope=EVERYTHING&amp;vid=01CRU&amp;lang=en_US&amp;offset=0&amp;query=any,contains,991003474119702656","Catalog Record")</f>
        <v>Catalog Record</v>
      </c>
      <c r="AV1187" s="9" t="str">
        <f aca="false">HYPERLINK("http://www.worldcat.org/oclc/1017614","WorldCat Record")</f>
        <v>WorldCat Record</v>
      </c>
      <c r="AW1187" s="6" t="s">
        <v>8506</v>
      </c>
      <c r="AX1187" s="6" t="s">
        <v>8507</v>
      </c>
      <c r="AY1187" s="6" t="s">
        <v>8508</v>
      </c>
      <c r="AZ1187" s="6" t="s">
        <v>8508</v>
      </c>
      <c r="BA1187" s="6" t="s">
        <v>8509</v>
      </c>
      <c r="BB1187" s="28"/>
      <c r="BC1187" s="6" t="s">
        <v>8515</v>
      </c>
      <c r="BE1187" s="15" t="s">
        <v>2145</v>
      </c>
      <c r="BF1187" s="6" t="s">
        <v>8516</v>
      </c>
    </row>
    <row r="1188" customFormat="false" ht="59.5" hidden="false" customHeight="false" outlineLevel="0" collapsed="false">
      <c r="A1188" s="26" t="s">
        <v>63</v>
      </c>
      <c r="B1188" s="27" t="s">
        <v>2129</v>
      </c>
      <c r="C1188" s="27" t="s">
        <v>2130</v>
      </c>
      <c r="D1188" s="27" t="s">
        <v>8517</v>
      </c>
      <c r="E1188" s="27" t="s">
        <v>8518</v>
      </c>
      <c r="F1188" s="27" t="s">
        <v>8488</v>
      </c>
      <c r="G1188" s="28"/>
      <c r="H1188" s="6" t="s">
        <v>57</v>
      </c>
      <c r="I1188" s="6" t="s">
        <v>62</v>
      </c>
      <c r="J1188" s="6" t="s">
        <v>57</v>
      </c>
      <c r="K1188" s="6" t="s">
        <v>63</v>
      </c>
      <c r="L1188" s="6" t="s">
        <v>64</v>
      </c>
      <c r="M1188" s="27" t="s">
        <v>8489</v>
      </c>
      <c r="N1188" s="27" t="s">
        <v>8490</v>
      </c>
      <c r="O1188" s="6" t="s">
        <v>4833</v>
      </c>
      <c r="P1188" s="28"/>
      <c r="Q1188" s="6" t="s">
        <v>67</v>
      </c>
      <c r="R1188" s="6" t="s">
        <v>384</v>
      </c>
      <c r="S1188" s="27" t="s">
        <v>8491</v>
      </c>
      <c r="T1188" s="6" t="s">
        <v>6138</v>
      </c>
      <c r="U1188" s="7" t="n">
        <v>3</v>
      </c>
      <c r="V1188" s="7" t="n">
        <v>6</v>
      </c>
      <c r="W1188" s="8" t="s">
        <v>8492</v>
      </c>
      <c r="X1188" s="8" t="s">
        <v>8492</v>
      </c>
      <c r="Y1188" s="8" t="s">
        <v>8389</v>
      </c>
      <c r="Z1188" s="8" t="s">
        <v>8389</v>
      </c>
      <c r="AA1188" s="7" t="n">
        <v>296</v>
      </c>
      <c r="AB1188" s="7" t="n">
        <v>247</v>
      </c>
      <c r="AC1188" s="7" t="n">
        <v>485</v>
      </c>
      <c r="AD1188" s="7" t="n">
        <v>3</v>
      </c>
      <c r="AE1188" s="7" t="n">
        <v>5</v>
      </c>
      <c r="AF1188" s="7" t="n">
        <v>17</v>
      </c>
      <c r="AG1188" s="7" t="n">
        <v>32</v>
      </c>
      <c r="AH1188" s="7" t="n">
        <v>8</v>
      </c>
      <c r="AI1188" s="7" t="n">
        <v>13</v>
      </c>
      <c r="AJ1188" s="7" t="n">
        <v>3</v>
      </c>
      <c r="AK1188" s="7" t="n">
        <v>6</v>
      </c>
      <c r="AL1188" s="7" t="n">
        <v>9</v>
      </c>
      <c r="AM1188" s="7" t="n">
        <v>19</v>
      </c>
      <c r="AN1188" s="7" t="n">
        <v>2</v>
      </c>
      <c r="AO1188" s="7" t="n">
        <v>3</v>
      </c>
      <c r="AP1188" s="7" t="n">
        <v>1</v>
      </c>
      <c r="AQ1188" s="7" t="n">
        <v>1</v>
      </c>
      <c r="AR1188" s="6" t="s">
        <v>63</v>
      </c>
      <c r="AS1188" s="6" t="s">
        <v>57</v>
      </c>
      <c r="AT1188" s="9" t="str">
        <f aca="false">HYPERLINK("http://catalog.hathitrust.org/Record/001915780","HathiTrust Record")</f>
        <v>HathiTrust Record</v>
      </c>
      <c r="AU1188" s="9" t="str">
        <f aca="false">HYPERLINK("https://creighton-primo.hosted.exlibrisgroup.com/primo-explore/search?tab=default_tab&amp;search_scope=EVERYTHING&amp;vid=01CRU&amp;lang=en_US&amp;offset=0&amp;query=any,contains,991004773579702656","Catalog Record")</f>
        <v>Catalog Record</v>
      </c>
      <c r="AV1188" s="9" t="str">
        <f aca="false">HYPERLINK("http://www.worldcat.org/oclc/5091913","WorldCat Record")</f>
        <v>WorldCat Record</v>
      </c>
      <c r="AW1188" s="6" t="s">
        <v>8493</v>
      </c>
      <c r="AX1188" s="6" t="s">
        <v>8494</v>
      </c>
      <c r="AY1188" s="6" t="s">
        <v>8495</v>
      </c>
      <c r="AZ1188" s="6" t="s">
        <v>8495</v>
      </c>
      <c r="BA1188" s="6" t="s">
        <v>8496</v>
      </c>
      <c r="BB1188" s="28"/>
      <c r="BC1188" s="6" t="s">
        <v>8519</v>
      </c>
      <c r="BE1188" s="15" t="s">
        <v>2145</v>
      </c>
      <c r="BF1188" s="6" t="s">
        <v>8520</v>
      </c>
    </row>
    <row r="1189" customFormat="false" ht="71" hidden="false" customHeight="false" outlineLevel="0" collapsed="false">
      <c r="A1189" s="26" t="s">
        <v>63</v>
      </c>
      <c r="B1189" s="27" t="s">
        <v>2129</v>
      </c>
      <c r="C1189" s="27" t="s">
        <v>2130</v>
      </c>
      <c r="D1189" s="27" t="s">
        <v>8521</v>
      </c>
      <c r="E1189" s="27" t="s">
        <v>8522</v>
      </c>
      <c r="F1189" s="27" t="s">
        <v>8523</v>
      </c>
      <c r="G1189" s="28"/>
      <c r="H1189" s="6" t="s">
        <v>63</v>
      </c>
      <c r="I1189" s="6" t="s">
        <v>62</v>
      </c>
      <c r="J1189" s="6" t="s">
        <v>63</v>
      </c>
      <c r="K1189" s="6" t="s">
        <v>63</v>
      </c>
      <c r="L1189" s="6" t="s">
        <v>64</v>
      </c>
      <c r="M1189" s="27" t="s">
        <v>8489</v>
      </c>
      <c r="N1189" s="27" t="s">
        <v>8524</v>
      </c>
      <c r="O1189" s="6" t="s">
        <v>2665</v>
      </c>
      <c r="P1189" s="27" t="s">
        <v>4594</v>
      </c>
      <c r="Q1189" s="6" t="s">
        <v>67</v>
      </c>
      <c r="R1189" s="6" t="s">
        <v>384</v>
      </c>
      <c r="S1189" s="28"/>
      <c r="T1189" s="6" t="s">
        <v>6138</v>
      </c>
      <c r="U1189" s="7" t="n">
        <v>3</v>
      </c>
      <c r="V1189" s="7" t="n">
        <v>3</v>
      </c>
      <c r="W1189" s="8" t="s">
        <v>8492</v>
      </c>
      <c r="X1189" s="8" t="s">
        <v>8492</v>
      </c>
      <c r="Y1189" s="8" t="s">
        <v>8389</v>
      </c>
      <c r="Z1189" s="8" t="s">
        <v>8389</v>
      </c>
      <c r="AA1189" s="7" t="n">
        <v>48</v>
      </c>
      <c r="AB1189" s="7" t="n">
        <v>37</v>
      </c>
      <c r="AC1189" s="7" t="n">
        <v>611</v>
      </c>
      <c r="AD1189" s="7" t="n">
        <v>3</v>
      </c>
      <c r="AE1189" s="7" t="n">
        <v>5</v>
      </c>
      <c r="AF1189" s="7" t="n">
        <v>5</v>
      </c>
      <c r="AG1189" s="7" t="n">
        <v>37</v>
      </c>
      <c r="AH1189" s="7" t="n">
        <v>1</v>
      </c>
      <c r="AI1189" s="7" t="n">
        <v>12</v>
      </c>
      <c r="AJ1189" s="7" t="n">
        <v>1</v>
      </c>
      <c r="AK1189" s="7" t="n">
        <v>9</v>
      </c>
      <c r="AL1189" s="7" t="n">
        <v>2</v>
      </c>
      <c r="AM1189" s="7" t="n">
        <v>23</v>
      </c>
      <c r="AN1189" s="7" t="n">
        <v>2</v>
      </c>
      <c r="AO1189" s="7" t="n">
        <v>4</v>
      </c>
      <c r="AP1189" s="7" t="n">
        <v>0</v>
      </c>
      <c r="AQ1189" s="7" t="n">
        <v>0</v>
      </c>
      <c r="AR1189" s="6" t="s">
        <v>63</v>
      </c>
      <c r="AS1189" s="6" t="s">
        <v>57</v>
      </c>
      <c r="AT1189" s="9" t="str">
        <f aca="false">HYPERLINK("http://catalog.hathitrust.org/Record/006207529","HathiTrust Record")</f>
        <v>HathiTrust Record</v>
      </c>
      <c r="AU1189" s="9" t="str">
        <f aca="false">HYPERLINK("https://creighton-primo.hosted.exlibrisgroup.com/primo-explore/search?tab=default_tab&amp;search_scope=EVERYTHING&amp;vid=01CRU&amp;lang=en_US&amp;offset=0&amp;query=any,contains,991001122839702656","Catalog Record")</f>
        <v>Catalog Record</v>
      </c>
      <c r="AV1189" s="9" t="str">
        <f aca="false">HYPERLINK("http://www.worldcat.org/oclc/3551067","WorldCat Record")</f>
        <v>WorldCat Record</v>
      </c>
      <c r="AW1189" s="6" t="s">
        <v>8525</v>
      </c>
      <c r="AX1189" s="6" t="s">
        <v>8526</v>
      </c>
      <c r="AY1189" s="6" t="s">
        <v>8527</v>
      </c>
      <c r="AZ1189" s="6" t="s">
        <v>8527</v>
      </c>
      <c r="BA1189" s="6" t="s">
        <v>8528</v>
      </c>
      <c r="BB1189" s="28"/>
      <c r="BC1189" s="6" t="s">
        <v>8529</v>
      </c>
      <c r="BE1189" s="15" t="s">
        <v>2145</v>
      </c>
      <c r="BF1189" s="6" t="s">
        <v>8530</v>
      </c>
    </row>
    <row r="1190" customFormat="false" ht="94" hidden="false" customHeight="false" outlineLevel="0" collapsed="false">
      <c r="A1190" s="26" t="s">
        <v>63</v>
      </c>
      <c r="B1190" s="27" t="s">
        <v>2129</v>
      </c>
      <c r="C1190" s="27" t="s">
        <v>2130</v>
      </c>
      <c r="D1190" s="27" t="s">
        <v>8531</v>
      </c>
      <c r="E1190" s="27" t="s">
        <v>8532</v>
      </c>
      <c r="F1190" s="27" t="s">
        <v>8533</v>
      </c>
      <c r="G1190" s="28"/>
      <c r="H1190" s="6" t="s">
        <v>63</v>
      </c>
      <c r="I1190" s="6" t="s">
        <v>62</v>
      </c>
      <c r="J1190" s="6" t="s">
        <v>63</v>
      </c>
      <c r="K1190" s="6" t="s">
        <v>63</v>
      </c>
      <c r="L1190" s="6" t="s">
        <v>64</v>
      </c>
      <c r="M1190" s="27" t="s">
        <v>8534</v>
      </c>
      <c r="N1190" s="27" t="s">
        <v>8535</v>
      </c>
      <c r="O1190" s="6" t="s">
        <v>122</v>
      </c>
      <c r="P1190" s="28"/>
      <c r="Q1190" s="6" t="s">
        <v>67</v>
      </c>
      <c r="R1190" s="6" t="s">
        <v>123</v>
      </c>
      <c r="S1190" s="27" t="s">
        <v>2935</v>
      </c>
      <c r="T1190" s="6" t="s">
        <v>6138</v>
      </c>
      <c r="U1190" s="7" t="n">
        <v>3</v>
      </c>
      <c r="V1190" s="7" t="n">
        <v>3</v>
      </c>
      <c r="W1190" s="8" t="s">
        <v>8536</v>
      </c>
      <c r="X1190" s="8" t="s">
        <v>8536</v>
      </c>
      <c r="Y1190" s="8" t="s">
        <v>8389</v>
      </c>
      <c r="Z1190" s="8" t="s">
        <v>8389</v>
      </c>
      <c r="AA1190" s="7" t="n">
        <v>385</v>
      </c>
      <c r="AB1190" s="7" t="n">
        <v>360</v>
      </c>
      <c r="AC1190" s="7" t="n">
        <v>619</v>
      </c>
      <c r="AD1190" s="7" t="n">
        <v>2</v>
      </c>
      <c r="AE1190" s="7" t="n">
        <v>3</v>
      </c>
      <c r="AF1190" s="7" t="n">
        <v>16</v>
      </c>
      <c r="AG1190" s="7" t="n">
        <v>31</v>
      </c>
      <c r="AH1190" s="7" t="n">
        <v>10</v>
      </c>
      <c r="AI1190" s="7" t="n">
        <v>13</v>
      </c>
      <c r="AJ1190" s="7" t="n">
        <v>2</v>
      </c>
      <c r="AK1190" s="7" t="n">
        <v>9</v>
      </c>
      <c r="AL1190" s="7" t="n">
        <v>7</v>
      </c>
      <c r="AM1190" s="7" t="n">
        <v>16</v>
      </c>
      <c r="AN1190" s="7" t="n">
        <v>1</v>
      </c>
      <c r="AO1190" s="7" t="n">
        <v>2</v>
      </c>
      <c r="AP1190" s="7" t="n">
        <v>0</v>
      </c>
      <c r="AQ1190" s="7" t="n">
        <v>0</v>
      </c>
      <c r="AR1190" s="6" t="s">
        <v>63</v>
      </c>
      <c r="AS1190" s="6" t="s">
        <v>57</v>
      </c>
      <c r="AT1190" s="9" t="str">
        <f aca="false">HYPERLINK("http://catalog.hathitrust.org/Record/006230806","HathiTrust Record")</f>
        <v>HathiTrust Record</v>
      </c>
      <c r="AU1190" s="9" t="str">
        <f aca="false">HYPERLINK("https://creighton-primo.hosted.exlibrisgroup.com/primo-explore/search?tab=default_tab&amp;search_scope=EVERYTHING&amp;vid=01CRU&amp;lang=en_US&amp;offset=0&amp;query=any,contains,991003751749702656","Catalog Record")</f>
        <v>Catalog Record</v>
      </c>
      <c r="AV1190" s="9" t="str">
        <f aca="false">HYPERLINK("http://www.worldcat.org/oclc/1429187","WorldCat Record")</f>
        <v>WorldCat Record</v>
      </c>
      <c r="AW1190" s="6" t="s">
        <v>8537</v>
      </c>
      <c r="AX1190" s="6" t="s">
        <v>8538</v>
      </c>
      <c r="AY1190" s="6" t="s">
        <v>8539</v>
      </c>
      <c r="AZ1190" s="6" t="s">
        <v>8539</v>
      </c>
      <c r="BA1190" s="6" t="s">
        <v>8540</v>
      </c>
      <c r="BB1190" s="28"/>
      <c r="BC1190" s="6" t="s">
        <v>8541</v>
      </c>
      <c r="BE1190" s="15" t="s">
        <v>2145</v>
      </c>
      <c r="BF1190" s="6" t="s">
        <v>8542</v>
      </c>
    </row>
    <row r="1191" customFormat="false" ht="94" hidden="false" customHeight="false" outlineLevel="0" collapsed="false">
      <c r="A1191" s="26" t="s">
        <v>63</v>
      </c>
      <c r="B1191" s="27" t="s">
        <v>2129</v>
      </c>
      <c r="C1191" s="27" t="s">
        <v>2130</v>
      </c>
      <c r="D1191" s="27" t="s">
        <v>8543</v>
      </c>
      <c r="E1191" s="27" t="s">
        <v>8544</v>
      </c>
      <c r="F1191" s="27" t="s">
        <v>8501</v>
      </c>
      <c r="G1191" s="28"/>
      <c r="H1191" s="6" t="s">
        <v>57</v>
      </c>
      <c r="I1191" s="6" t="s">
        <v>62</v>
      </c>
      <c r="J1191" s="6" t="s">
        <v>57</v>
      </c>
      <c r="K1191" s="6" t="s">
        <v>63</v>
      </c>
      <c r="L1191" s="6" t="s">
        <v>64</v>
      </c>
      <c r="M1191" s="27" t="s">
        <v>3711</v>
      </c>
      <c r="N1191" s="27" t="s">
        <v>8503</v>
      </c>
      <c r="O1191" s="6" t="s">
        <v>6880</v>
      </c>
      <c r="P1191" s="28"/>
      <c r="Q1191" s="6" t="s">
        <v>67</v>
      </c>
      <c r="R1191" s="6" t="s">
        <v>384</v>
      </c>
      <c r="S1191" s="28"/>
      <c r="T1191" s="6" t="s">
        <v>6138</v>
      </c>
      <c r="U1191" s="7" t="n">
        <v>1</v>
      </c>
      <c r="V1191" s="7" t="n">
        <v>3</v>
      </c>
      <c r="W1191" s="8" t="s">
        <v>8505</v>
      </c>
      <c r="X1191" s="8" t="s">
        <v>8505</v>
      </c>
      <c r="Y1191" s="8" t="s">
        <v>8389</v>
      </c>
      <c r="Z1191" s="8" t="s">
        <v>8389</v>
      </c>
      <c r="AA1191" s="7" t="n">
        <v>204</v>
      </c>
      <c r="AB1191" s="7" t="n">
        <v>175</v>
      </c>
      <c r="AC1191" s="7" t="n">
        <v>241</v>
      </c>
      <c r="AD1191" s="7" t="n">
        <v>2</v>
      </c>
      <c r="AE1191" s="7" t="n">
        <v>2</v>
      </c>
      <c r="AF1191" s="7" t="n">
        <v>9</v>
      </c>
      <c r="AG1191" s="7" t="n">
        <v>11</v>
      </c>
      <c r="AH1191" s="7" t="n">
        <v>0</v>
      </c>
      <c r="AI1191" s="7" t="n">
        <v>2</v>
      </c>
      <c r="AJ1191" s="7" t="n">
        <v>4</v>
      </c>
      <c r="AK1191" s="7" t="n">
        <v>5</v>
      </c>
      <c r="AL1191" s="7" t="n">
        <v>6</v>
      </c>
      <c r="AM1191" s="7" t="n">
        <v>6</v>
      </c>
      <c r="AN1191" s="7" t="n">
        <v>1</v>
      </c>
      <c r="AO1191" s="7" t="n">
        <v>1</v>
      </c>
      <c r="AP1191" s="7" t="n">
        <v>0</v>
      </c>
      <c r="AQ1191" s="7" t="n">
        <v>0</v>
      </c>
      <c r="AR1191" s="6" t="s">
        <v>63</v>
      </c>
      <c r="AS1191" s="6" t="s">
        <v>57</v>
      </c>
      <c r="AT1191" s="9" t="str">
        <f aca="false">HYPERLINK("http://catalog.hathitrust.org/Record/001384108","HathiTrust Record")</f>
        <v>HathiTrust Record</v>
      </c>
      <c r="AU1191" s="9" t="str">
        <f aca="false">HYPERLINK("https://creighton-primo.hosted.exlibrisgroup.com/primo-explore/search?tab=default_tab&amp;search_scope=EVERYTHING&amp;vid=01CRU&amp;lang=en_US&amp;offset=0&amp;query=any,contains,991003474119702656","Catalog Record")</f>
        <v>Catalog Record</v>
      </c>
      <c r="AV1191" s="9" t="str">
        <f aca="false">HYPERLINK("http://www.worldcat.org/oclc/1017614","WorldCat Record")</f>
        <v>WorldCat Record</v>
      </c>
      <c r="AW1191" s="6" t="s">
        <v>8506</v>
      </c>
      <c r="AX1191" s="6" t="s">
        <v>8507</v>
      </c>
      <c r="AY1191" s="6" t="s">
        <v>8508</v>
      </c>
      <c r="AZ1191" s="6" t="s">
        <v>8508</v>
      </c>
      <c r="BA1191" s="6" t="s">
        <v>8509</v>
      </c>
      <c r="BB1191" s="28"/>
      <c r="BC1191" s="6" t="s">
        <v>8545</v>
      </c>
      <c r="BE1191" s="15" t="s">
        <v>2145</v>
      </c>
      <c r="BF1191" s="6" t="s">
        <v>8546</v>
      </c>
    </row>
    <row r="1192" customFormat="false" ht="128.5" hidden="false" customHeight="false" outlineLevel="0" collapsed="false">
      <c r="A1192" s="26" t="s">
        <v>63</v>
      </c>
      <c r="B1192" s="27" t="s">
        <v>2129</v>
      </c>
      <c r="C1192" s="27" t="s">
        <v>2130</v>
      </c>
      <c r="D1192" s="27" t="s">
        <v>8547</v>
      </c>
      <c r="E1192" s="27" t="s">
        <v>8548</v>
      </c>
      <c r="F1192" s="27" t="s">
        <v>8549</v>
      </c>
      <c r="G1192" s="28"/>
      <c r="H1192" s="6" t="s">
        <v>63</v>
      </c>
      <c r="I1192" s="6" t="s">
        <v>62</v>
      </c>
      <c r="J1192" s="6" t="s">
        <v>63</v>
      </c>
      <c r="K1192" s="6" t="s">
        <v>63</v>
      </c>
      <c r="L1192" s="6" t="s">
        <v>64</v>
      </c>
      <c r="M1192" s="27" t="s">
        <v>5957</v>
      </c>
      <c r="N1192" s="27" t="s">
        <v>8550</v>
      </c>
      <c r="O1192" s="6" t="s">
        <v>246</v>
      </c>
      <c r="P1192" s="28"/>
      <c r="Q1192" s="6" t="s">
        <v>67</v>
      </c>
      <c r="R1192" s="6" t="s">
        <v>272</v>
      </c>
      <c r="S1192" s="28"/>
      <c r="T1192" s="6" t="s">
        <v>6138</v>
      </c>
      <c r="U1192" s="7" t="n">
        <v>1</v>
      </c>
      <c r="V1192" s="7" t="n">
        <v>1</v>
      </c>
      <c r="W1192" s="8" t="s">
        <v>8551</v>
      </c>
      <c r="X1192" s="8" t="s">
        <v>8551</v>
      </c>
      <c r="Y1192" s="8" t="s">
        <v>8389</v>
      </c>
      <c r="Z1192" s="8" t="s">
        <v>8389</v>
      </c>
      <c r="AA1192" s="7" t="n">
        <v>425</v>
      </c>
      <c r="AB1192" s="7" t="n">
        <v>361</v>
      </c>
      <c r="AC1192" s="7" t="n">
        <v>400</v>
      </c>
      <c r="AD1192" s="7" t="n">
        <v>2</v>
      </c>
      <c r="AE1192" s="7" t="n">
        <v>4</v>
      </c>
      <c r="AF1192" s="7" t="n">
        <v>24</v>
      </c>
      <c r="AG1192" s="7" t="n">
        <v>26</v>
      </c>
      <c r="AH1192" s="7" t="n">
        <v>9</v>
      </c>
      <c r="AI1192" s="7" t="n">
        <v>9</v>
      </c>
      <c r="AJ1192" s="7" t="n">
        <v>5</v>
      </c>
      <c r="AK1192" s="7" t="n">
        <v>5</v>
      </c>
      <c r="AL1192" s="7" t="n">
        <v>19</v>
      </c>
      <c r="AM1192" s="7" t="n">
        <v>19</v>
      </c>
      <c r="AN1192" s="7" t="n">
        <v>0</v>
      </c>
      <c r="AO1192" s="7" t="n">
        <v>2</v>
      </c>
      <c r="AP1192" s="7" t="n">
        <v>0</v>
      </c>
      <c r="AQ1192" s="7" t="n">
        <v>0</v>
      </c>
      <c r="AR1192" s="6" t="s">
        <v>63</v>
      </c>
      <c r="AS1192" s="6" t="s">
        <v>63</v>
      </c>
      <c r="AT1192" s="28"/>
      <c r="AU1192" s="9" t="str">
        <f aca="false">HYPERLINK("https://creighton-primo.hosted.exlibrisgroup.com/primo-explore/search?tab=default_tab&amp;search_scope=EVERYTHING&amp;vid=01CRU&amp;lang=en_US&amp;offset=0&amp;query=any,contains,991004875239702656","Catalog Record")</f>
        <v>Catalog Record</v>
      </c>
      <c r="AV1192" s="9" t="str">
        <f aca="false">HYPERLINK("http://www.worldcat.org/oclc/5783899","WorldCat Record")</f>
        <v>WorldCat Record</v>
      </c>
      <c r="AW1192" s="6" t="s">
        <v>8552</v>
      </c>
      <c r="AX1192" s="6" t="s">
        <v>8553</v>
      </c>
      <c r="AY1192" s="6" t="s">
        <v>8554</v>
      </c>
      <c r="AZ1192" s="6" t="s">
        <v>8554</v>
      </c>
      <c r="BA1192" s="6" t="s">
        <v>8555</v>
      </c>
      <c r="BB1192" s="6" t="s">
        <v>8556</v>
      </c>
      <c r="BC1192" s="6" t="s">
        <v>8557</v>
      </c>
      <c r="BE1192" s="15" t="s">
        <v>2145</v>
      </c>
      <c r="BF1192" s="6" t="s">
        <v>8558</v>
      </c>
    </row>
    <row r="1193" customFormat="false" ht="59.5" hidden="false" customHeight="false" outlineLevel="0" collapsed="false">
      <c r="A1193" s="26" t="s">
        <v>63</v>
      </c>
      <c r="B1193" s="27" t="s">
        <v>2129</v>
      </c>
      <c r="C1193" s="27" t="s">
        <v>2130</v>
      </c>
      <c r="D1193" s="27" t="s">
        <v>8559</v>
      </c>
      <c r="E1193" s="27" t="s">
        <v>8560</v>
      </c>
      <c r="F1193" s="27" t="s">
        <v>8561</v>
      </c>
      <c r="G1193" s="28"/>
      <c r="H1193" s="6" t="s">
        <v>63</v>
      </c>
      <c r="I1193" s="6" t="s">
        <v>62</v>
      </c>
      <c r="J1193" s="6" t="s">
        <v>63</v>
      </c>
      <c r="K1193" s="6" t="s">
        <v>63</v>
      </c>
      <c r="L1193" s="6" t="s">
        <v>64</v>
      </c>
      <c r="M1193" s="27" t="s">
        <v>8562</v>
      </c>
      <c r="N1193" s="27" t="s">
        <v>8563</v>
      </c>
      <c r="O1193" s="6" t="s">
        <v>2797</v>
      </c>
      <c r="P1193" s="28"/>
      <c r="Q1193" s="6" t="s">
        <v>67</v>
      </c>
      <c r="R1193" s="6" t="s">
        <v>384</v>
      </c>
      <c r="S1193" s="28"/>
      <c r="T1193" s="6" t="s">
        <v>6138</v>
      </c>
      <c r="U1193" s="7" t="n">
        <v>1</v>
      </c>
      <c r="V1193" s="7" t="n">
        <v>1</v>
      </c>
      <c r="W1193" s="8" t="s">
        <v>5284</v>
      </c>
      <c r="X1193" s="8" t="s">
        <v>5284</v>
      </c>
      <c r="Y1193" s="8" t="s">
        <v>8389</v>
      </c>
      <c r="Z1193" s="8" t="s">
        <v>8389</v>
      </c>
      <c r="AA1193" s="7" t="n">
        <v>494</v>
      </c>
      <c r="AB1193" s="7" t="n">
        <v>378</v>
      </c>
      <c r="AC1193" s="7" t="n">
        <v>515</v>
      </c>
      <c r="AD1193" s="7" t="n">
        <v>3</v>
      </c>
      <c r="AE1193" s="7" t="n">
        <v>3</v>
      </c>
      <c r="AF1193" s="7" t="n">
        <v>26</v>
      </c>
      <c r="AG1193" s="7" t="n">
        <v>33</v>
      </c>
      <c r="AH1193" s="7" t="n">
        <v>11</v>
      </c>
      <c r="AI1193" s="7" t="n">
        <v>14</v>
      </c>
      <c r="AJ1193" s="7" t="n">
        <v>5</v>
      </c>
      <c r="AK1193" s="7" t="n">
        <v>7</v>
      </c>
      <c r="AL1193" s="7" t="n">
        <v>16</v>
      </c>
      <c r="AM1193" s="7" t="n">
        <v>21</v>
      </c>
      <c r="AN1193" s="7" t="n">
        <v>2</v>
      </c>
      <c r="AO1193" s="7" t="n">
        <v>2</v>
      </c>
      <c r="AP1193" s="7" t="n">
        <v>0</v>
      </c>
      <c r="AQ1193" s="7" t="n">
        <v>0</v>
      </c>
      <c r="AR1193" s="6" t="s">
        <v>63</v>
      </c>
      <c r="AS1193" s="6" t="s">
        <v>57</v>
      </c>
      <c r="AT1193" s="9" t="str">
        <f aca="false">HYPERLINK("http://catalog.hathitrust.org/Record/001395961","HathiTrust Record")</f>
        <v>HathiTrust Record</v>
      </c>
      <c r="AU1193" s="9" t="str">
        <f aca="false">HYPERLINK("https://creighton-primo.hosted.exlibrisgroup.com/primo-explore/search?tab=default_tab&amp;search_scope=EVERYTHING&amp;vid=01CRU&amp;lang=en_US&amp;offset=0&amp;query=any,contains,991002558989702656","Catalog Record")</f>
        <v>Catalog Record</v>
      </c>
      <c r="AV1193" s="9" t="str">
        <f aca="false">HYPERLINK("http://www.worldcat.org/oclc/371352","WorldCat Record")</f>
        <v>WorldCat Record</v>
      </c>
      <c r="AW1193" s="6" t="s">
        <v>8564</v>
      </c>
      <c r="AX1193" s="6" t="s">
        <v>8565</v>
      </c>
      <c r="AY1193" s="6" t="s">
        <v>8566</v>
      </c>
      <c r="AZ1193" s="6" t="s">
        <v>8566</v>
      </c>
      <c r="BA1193" s="6" t="s">
        <v>8567</v>
      </c>
      <c r="BB1193" s="28"/>
      <c r="BC1193" s="6" t="s">
        <v>8568</v>
      </c>
      <c r="BE1193" s="15" t="s">
        <v>2145</v>
      </c>
      <c r="BF1193" s="6" t="s">
        <v>8569</v>
      </c>
    </row>
    <row r="1194" customFormat="false" ht="255" hidden="false" customHeight="false" outlineLevel="0" collapsed="false">
      <c r="A1194" s="26" t="s">
        <v>63</v>
      </c>
      <c r="B1194" s="27" t="s">
        <v>2129</v>
      </c>
      <c r="C1194" s="27" t="s">
        <v>2130</v>
      </c>
      <c r="D1194" s="27" t="s">
        <v>8570</v>
      </c>
      <c r="E1194" s="27" t="s">
        <v>8571</v>
      </c>
      <c r="F1194" s="27" t="s">
        <v>8572</v>
      </c>
      <c r="G1194" s="28"/>
      <c r="H1194" s="6" t="s">
        <v>63</v>
      </c>
      <c r="I1194" s="6" t="s">
        <v>62</v>
      </c>
      <c r="J1194" s="6" t="s">
        <v>63</v>
      </c>
      <c r="K1194" s="6" t="s">
        <v>63</v>
      </c>
      <c r="L1194" s="6" t="s">
        <v>64</v>
      </c>
      <c r="M1194" s="28"/>
      <c r="N1194" s="27" t="s">
        <v>8573</v>
      </c>
      <c r="O1194" s="6" t="s">
        <v>3301</v>
      </c>
      <c r="P1194" s="28"/>
      <c r="Q1194" s="6" t="s">
        <v>67</v>
      </c>
      <c r="R1194" s="6" t="s">
        <v>1108</v>
      </c>
      <c r="S1194" s="28"/>
      <c r="T1194" s="6" t="s">
        <v>6138</v>
      </c>
      <c r="U1194" s="7" t="n">
        <v>1</v>
      </c>
      <c r="V1194" s="7" t="n">
        <v>1</v>
      </c>
      <c r="W1194" s="8" t="s">
        <v>8574</v>
      </c>
      <c r="X1194" s="8" t="s">
        <v>8574</v>
      </c>
      <c r="Y1194" s="8" t="s">
        <v>8389</v>
      </c>
      <c r="Z1194" s="8" t="s">
        <v>8389</v>
      </c>
      <c r="AA1194" s="7" t="n">
        <v>430</v>
      </c>
      <c r="AB1194" s="7" t="n">
        <v>322</v>
      </c>
      <c r="AC1194" s="7" t="n">
        <v>327</v>
      </c>
      <c r="AD1194" s="7" t="n">
        <v>3</v>
      </c>
      <c r="AE1194" s="7" t="n">
        <v>3</v>
      </c>
      <c r="AF1194" s="7" t="n">
        <v>20</v>
      </c>
      <c r="AG1194" s="7" t="n">
        <v>20</v>
      </c>
      <c r="AH1194" s="7" t="n">
        <v>7</v>
      </c>
      <c r="AI1194" s="7" t="n">
        <v>7</v>
      </c>
      <c r="AJ1194" s="7" t="n">
        <v>4</v>
      </c>
      <c r="AK1194" s="7" t="n">
        <v>4</v>
      </c>
      <c r="AL1194" s="7" t="n">
        <v>15</v>
      </c>
      <c r="AM1194" s="7" t="n">
        <v>15</v>
      </c>
      <c r="AN1194" s="7" t="n">
        <v>2</v>
      </c>
      <c r="AO1194" s="7" t="n">
        <v>2</v>
      </c>
      <c r="AP1194" s="7" t="n">
        <v>0</v>
      </c>
      <c r="AQ1194" s="7" t="n">
        <v>0</v>
      </c>
      <c r="AR1194" s="6" t="s">
        <v>63</v>
      </c>
      <c r="AS1194" s="6" t="s">
        <v>63</v>
      </c>
      <c r="AT1194" s="28"/>
      <c r="AU1194" s="9" t="str">
        <f aca="false">HYPERLINK("https://creighton-primo.hosted.exlibrisgroup.com/primo-explore/search?tab=default_tab&amp;search_scope=EVERYTHING&amp;vid=01CRU&amp;lang=en_US&amp;offset=0&amp;query=any,contains,991005252659702656","Catalog Record")</f>
        <v>Catalog Record</v>
      </c>
      <c r="AV1194" s="9" t="str">
        <f aca="false">HYPERLINK("http://www.worldcat.org/oclc/8495227","WorldCat Record")</f>
        <v>WorldCat Record</v>
      </c>
      <c r="AW1194" s="6" t="s">
        <v>8575</v>
      </c>
      <c r="AX1194" s="6" t="s">
        <v>8576</v>
      </c>
      <c r="AY1194" s="6" t="s">
        <v>8577</v>
      </c>
      <c r="AZ1194" s="6" t="s">
        <v>8577</v>
      </c>
      <c r="BA1194" s="6" t="s">
        <v>8578</v>
      </c>
      <c r="BB1194" s="6" t="s">
        <v>8579</v>
      </c>
      <c r="BC1194" s="6" t="s">
        <v>8580</v>
      </c>
      <c r="BE1194" s="15" t="s">
        <v>2145</v>
      </c>
      <c r="BF1194" s="6" t="s">
        <v>8581</v>
      </c>
    </row>
    <row r="1195" customFormat="false" ht="117" hidden="false" customHeight="false" outlineLevel="0" collapsed="false">
      <c r="A1195" s="26" t="s">
        <v>63</v>
      </c>
      <c r="B1195" s="27" t="s">
        <v>2129</v>
      </c>
      <c r="C1195" s="27" t="s">
        <v>2130</v>
      </c>
      <c r="D1195" s="27" t="s">
        <v>8582</v>
      </c>
      <c r="E1195" s="27" t="s">
        <v>8583</v>
      </c>
      <c r="F1195" s="27" t="s">
        <v>8584</v>
      </c>
      <c r="G1195" s="28"/>
      <c r="H1195" s="6" t="s">
        <v>63</v>
      </c>
      <c r="I1195" s="6" t="s">
        <v>62</v>
      </c>
      <c r="J1195" s="6" t="s">
        <v>63</v>
      </c>
      <c r="K1195" s="6" t="s">
        <v>63</v>
      </c>
      <c r="L1195" s="6" t="s">
        <v>64</v>
      </c>
      <c r="M1195" s="27" t="s">
        <v>8585</v>
      </c>
      <c r="N1195" s="27" t="s">
        <v>8586</v>
      </c>
      <c r="O1195" s="6" t="s">
        <v>2315</v>
      </c>
      <c r="P1195" s="28"/>
      <c r="Q1195" s="6" t="s">
        <v>67</v>
      </c>
      <c r="R1195" s="6" t="s">
        <v>1059</v>
      </c>
      <c r="S1195" s="28"/>
      <c r="T1195" s="6" t="s">
        <v>6138</v>
      </c>
      <c r="U1195" s="7" t="n">
        <v>3</v>
      </c>
      <c r="V1195" s="7" t="n">
        <v>3</v>
      </c>
      <c r="W1195" s="8" t="s">
        <v>8574</v>
      </c>
      <c r="X1195" s="8" t="s">
        <v>8574</v>
      </c>
      <c r="Y1195" s="8" t="s">
        <v>8389</v>
      </c>
      <c r="Z1195" s="8" t="s">
        <v>8389</v>
      </c>
      <c r="AA1195" s="7" t="n">
        <v>384</v>
      </c>
      <c r="AB1195" s="7" t="n">
        <v>337</v>
      </c>
      <c r="AC1195" s="7" t="n">
        <v>343</v>
      </c>
      <c r="AD1195" s="7" t="n">
        <v>3</v>
      </c>
      <c r="AE1195" s="7" t="n">
        <v>3</v>
      </c>
      <c r="AF1195" s="7" t="n">
        <v>22</v>
      </c>
      <c r="AG1195" s="7" t="n">
        <v>22</v>
      </c>
      <c r="AH1195" s="7" t="n">
        <v>8</v>
      </c>
      <c r="AI1195" s="7" t="n">
        <v>8</v>
      </c>
      <c r="AJ1195" s="7" t="n">
        <v>6</v>
      </c>
      <c r="AK1195" s="7" t="n">
        <v>6</v>
      </c>
      <c r="AL1195" s="7" t="n">
        <v>14</v>
      </c>
      <c r="AM1195" s="7" t="n">
        <v>14</v>
      </c>
      <c r="AN1195" s="7" t="n">
        <v>2</v>
      </c>
      <c r="AO1195" s="7" t="n">
        <v>2</v>
      </c>
      <c r="AP1195" s="7" t="n">
        <v>0</v>
      </c>
      <c r="AQ1195" s="7" t="n">
        <v>0</v>
      </c>
      <c r="AR1195" s="6" t="s">
        <v>63</v>
      </c>
      <c r="AS1195" s="6" t="s">
        <v>63</v>
      </c>
      <c r="AT1195" s="9" t="str">
        <f aca="false">HYPERLINK("http://catalog.hathitrust.org/Record/000383876","HathiTrust Record")</f>
        <v>HathiTrust Record</v>
      </c>
      <c r="AU1195" s="9" t="str">
        <f aca="false">HYPERLINK("https://creighton-primo.hosted.exlibrisgroup.com/primo-explore/search?tab=default_tab&amp;search_scope=EVERYTHING&amp;vid=01CRU&amp;lang=en_US&amp;offset=0&amp;query=any,contains,991000557679702656","Catalog Record")</f>
        <v>Catalog Record</v>
      </c>
      <c r="AV1195" s="9" t="str">
        <f aca="false">HYPERLINK("http://www.worldcat.org/oclc/11573401","WorldCat Record")</f>
        <v>WorldCat Record</v>
      </c>
      <c r="AW1195" s="6" t="s">
        <v>8587</v>
      </c>
      <c r="AX1195" s="6" t="s">
        <v>8588</v>
      </c>
      <c r="AY1195" s="6" t="s">
        <v>8589</v>
      </c>
      <c r="AZ1195" s="6" t="s">
        <v>8589</v>
      </c>
      <c r="BA1195" s="6" t="s">
        <v>8590</v>
      </c>
      <c r="BB1195" s="6" t="s">
        <v>8591</v>
      </c>
      <c r="BC1195" s="6" t="s">
        <v>8592</v>
      </c>
      <c r="BE1195" s="15" t="s">
        <v>2145</v>
      </c>
      <c r="BF1195" s="6" t="s">
        <v>8593</v>
      </c>
    </row>
    <row r="1196" customFormat="false" ht="59.5" hidden="false" customHeight="false" outlineLevel="0" collapsed="false">
      <c r="A1196" s="26" t="s">
        <v>63</v>
      </c>
      <c r="B1196" s="27" t="s">
        <v>2129</v>
      </c>
      <c r="C1196" s="27" t="s">
        <v>2130</v>
      </c>
      <c r="D1196" s="27" t="s">
        <v>8594</v>
      </c>
      <c r="E1196" s="27" t="s">
        <v>8595</v>
      </c>
      <c r="F1196" s="27" t="s">
        <v>8596</v>
      </c>
      <c r="G1196" s="28"/>
      <c r="H1196" s="6" t="s">
        <v>63</v>
      </c>
      <c r="I1196" s="6" t="s">
        <v>62</v>
      </c>
      <c r="J1196" s="6" t="s">
        <v>63</v>
      </c>
      <c r="K1196" s="6" t="s">
        <v>63</v>
      </c>
      <c r="L1196" s="6" t="s">
        <v>64</v>
      </c>
      <c r="M1196" s="27" t="s">
        <v>8597</v>
      </c>
      <c r="N1196" s="27" t="s">
        <v>8598</v>
      </c>
      <c r="O1196" s="6" t="s">
        <v>3029</v>
      </c>
      <c r="P1196" s="28"/>
      <c r="Q1196" s="6" t="s">
        <v>67</v>
      </c>
      <c r="R1196" s="6" t="s">
        <v>68</v>
      </c>
      <c r="S1196" s="28"/>
      <c r="T1196" s="6" t="s">
        <v>6138</v>
      </c>
      <c r="U1196" s="7" t="n">
        <v>3</v>
      </c>
      <c r="V1196" s="7" t="n">
        <v>3</v>
      </c>
      <c r="W1196" s="8" t="s">
        <v>8599</v>
      </c>
      <c r="X1196" s="8" t="s">
        <v>8599</v>
      </c>
      <c r="Y1196" s="8" t="s">
        <v>6113</v>
      </c>
      <c r="Z1196" s="8" t="s">
        <v>6113</v>
      </c>
      <c r="AA1196" s="7" t="n">
        <v>503</v>
      </c>
      <c r="AB1196" s="7" t="n">
        <v>432</v>
      </c>
      <c r="AC1196" s="7" t="n">
        <v>444</v>
      </c>
      <c r="AD1196" s="7" t="n">
        <v>2</v>
      </c>
      <c r="AE1196" s="7" t="n">
        <v>2</v>
      </c>
      <c r="AF1196" s="7" t="n">
        <v>17</v>
      </c>
      <c r="AG1196" s="7" t="n">
        <v>17</v>
      </c>
      <c r="AH1196" s="7" t="n">
        <v>5</v>
      </c>
      <c r="AI1196" s="7" t="n">
        <v>5</v>
      </c>
      <c r="AJ1196" s="7" t="n">
        <v>8</v>
      </c>
      <c r="AK1196" s="7" t="n">
        <v>8</v>
      </c>
      <c r="AL1196" s="7" t="n">
        <v>10</v>
      </c>
      <c r="AM1196" s="7" t="n">
        <v>10</v>
      </c>
      <c r="AN1196" s="7" t="n">
        <v>1</v>
      </c>
      <c r="AO1196" s="7" t="n">
        <v>1</v>
      </c>
      <c r="AP1196" s="7" t="n">
        <v>0</v>
      </c>
      <c r="AQ1196" s="7" t="n">
        <v>0</v>
      </c>
      <c r="AR1196" s="6" t="s">
        <v>57</v>
      </c>
      <c r="AS1196" s="6" t="s">
        <v>57</v>
      </c>
      <c r="AT1196" s="9" t="str">
        <f aca="false">HYPERLINK("http://catalog.hathitrust.org/Record/001384158","HathiTrust Record")</f>
        <v>HathiTrust Record</v>
      </c>
      <c r="AU1196" s="9" t="str">
        <f aca="false">HYPERLINK("https://creighton-primo.hosted.exlibrisgroup.com/primo-explore/search?tab=default_tab&amp;search_scope=EVERYTHING&amp;vid=01CRU&amp;lang=en_US&amp;offset=0&amp;query=any,contains,991002558879702656","Catalog Record")</f>
        <v>Catalog Record</v>
      </c>
      <c r="AV1196" s="9" t="str">
        <f aca="false">HYPERLINK("http://www.worldcat.org/oclc/371335","WorldCat Record")</f>
        <v>WorldCat Record</v>
      </c>
      <c r="AW1196" s="6" t="s">
        <v>8600</v>
      </c>
      <c r="AX1196" s="6" t="s">
        <v>8601</v>
      </c>
      <c r="AY1196" s="6" t="s">
        <v>8602</v>
      </c>
      <c r="AZ1196" s="6" t="s">
        <v>8602</v>
      </c>
      <c r="BA1196" s="6" t="s">
        <v>8603</v>
      </c>
      <c r="BB1196" s="28"/>
      <c r="BC1196" s="6" t="s">
        <v>8604</v>
      </c>
      <c r="BE1196" s="15" t="s">
        <v>2145</v>
      </c>
      <c r="BF1196" s="6" t="s">
        <v>8605</v>
      </c>
    </row>
    <row r="1197" customFormat="false" ht="94" hidden="false" customHeight="false" outlineLevel="0" collapsed="false">
      <c r="A1197" s="26" t="s">
        <v>57</v>
      </c>
      <c r="B1197" s="27" t="s">
        <v>2129</v>
      </c>
      <c r="C1197" s="27" t="s">
        <v>2130</v>
      </c>
      <c r="D1197" s="27" t="s">
        <v>8606</v>
      </c>
      <c r="E1197" s="27" t="s">
        <v>8607</v>
      </c>
      <c r="F1197" s="27" t="s">
        <v>8608</v>
      </c>
      <c r="G1197" s="28"/>
      <c r="H1197" s="6" t="s">
        <v>63</v>
      </c>
      <c r="I1197" s="6" t="s">
        <v>62</v>
      </c>
      <c r="J1197" s="6" t="s">
        <v>63</v>
      </c>
      <c r="K1197" s="6" t="s">
        <v>63</v>
      </c>
      <c r="L1197" s="6" t="s">
        <v>64</v>
      </c>
      <c r="M1197" s="27" t="s">
        <v>8400</v>
      </c>
      <c r="N1197" s="27" t="s">
        <v>8609</v>
      </c>
      <c r="O1197" s="6" t="s">
        <v>2811</v>
      </c>
      <c r="P1197" s="28"/>
      <c r="Q1197" s="6" t="s">
        <v>67</v>
      </c>
      <c r="R1197" s="6" t="s">
        <v>222</v>
      </c>
      <c r="S1197" s="27" t="s">
        <v>8610</v>
      </c>
      <c r="T1197" s="6" t="s">
        <v>6138</v>
      </c>
      <c r="U1197" s="7" t="n">
        <v>1</v>
      </c>
      <c r="V1197" s="7" t="n">
        <v>1</v>
      </c>
      <c r="W1197" s="8" t="s">
        <v>8611</v>
      </c>
      <c r="X1197" s="8" t="s">
        <v>8611</v>
      </c>
      <c r="Y1197" s="8" t="s">
        <v>6113</v>
      </c>
      <c r="Z1197" s="8" t="s">
        <v>6113</v>
      </c>
      <c r="AA1197" s="7" t="n">
        <v>744</v>
      </c>
      <c r="AB1197" s="7" t="n">
        <v>684</v>
      </c>
      <c r="AC1197" s="7" t="n">
        <v>706</v>
      </c>
      <c r="AD1197" s="7" t="n">
        <v>5</v>
      </c>
      <c r="AE1197" s="7" t="n">
        <v>5</v>
      </c>
      <c r="AF1197" s="7" t="n">
        <v>31</v>
      </c>
      <c r="AG1197" s="7" t="n">
        <v>34</v>
      </c>
      <c r="AH1197" s="7" t="n">
        <v>13</v>
      </c>
      <c r="AI1197" s="7" t="n">
        <v>15</v>
      </c>
      <c r="AJ1197" s="7" t="n">
        <v>6</v>
      </c>
      <c r="AK1197" s="7" t="n">
        <v>7</v>
      </c>
      <c r="AL1197" s="7" t="n">
        <v>15</v>
      </c>
      <c r="AM1197" s="7" t="n">
        <v>17</v>
      </c>
      <c r="AN1197" s="7" t="n">
        <v>4</v>
      </c>
      <c r="AO1197" s="7" t="n">
        <v>4</v>
      </c>
      <c r="AP1197" s="7" t="n">
        <v>0</v>
      </c>
      <c r="AQ1197" s="7" t="n">
        <v>0</v>
      </c>
      <c r="AR1197" s="6" t="s">
        <v>63</v>
      </c>
      <c r="AS1197" s="6" t="s">
        <v>57</v>
      </c>
      <c r="AT1197" s="9" t="str">
        <f aca="false">HYPERLINK("http://catalog.hathitrust.org/Record/001384162","HathiTrust Record")</f>
        <v>HathiTrust Record</v>
      </c>
      <c r="AU1197" s="9" t="str">
        <f aca="false">HYPERLINK("https://creighton-primo.hosted.exlibrisgroup.com/primo-explore/search?tab=default_tab&amp;search_scope=EVERYTHING&amp;vid=01CRU&amp;lang=en_US&amp;offset=0&amp;query=any,contains,991000849209702656","Catalog Record")</f>
        <v>Catalog Record</v>
      </c>
      <c r="AV1197" s="9" t="str">
        <f aca="false">HYPERLINK("http://www.worldcat.org/oclc/148952","WorldCat Record")</f>
        <v>WorldCat Record</v>
      </c>
      <c r="AW1197" s="6" t="s">
        <v>8612</v>
      </c>
      <c r="AX1197" s="6" t="s">
        <v>8613</v>
      </c>
      <c r="AY1197" s="6" t="s">
        <v>8614</v>
      </c>
      <c r="AZ1197" s="6" t="s">
        <v>8614</v>
      </c>
      <c r="BA1197" s="6" t="s">
        <v>8615</v>
      </c>
      <c r="BB1197" s="6" t="s">
        <v>8616</v>
      </c>
      <c r="BC1197" s="6" t="s">
        <v>8617</v>
      </c>
      <c r="BE1197" s="15" t="s">
        <v>2145</v>
      </c>
      <c r="BF1197" s="6" t="s">
        <v>8618</v>
      </c>
    </row>
    <row r="1198" customFormat="false" ht="105.5" hidden="false" customHeight="false" outlineLevel="0" collapsed="false">
      <c r="A1198" s="26" t="s">
        <v>57</v>
      </c>
      <c r="B1198" s="27" t="s">
        <v>2129</v>
      </c>
      <c r="C1198" s="27" t="s">
        <v>2130</v>
      </c>
      <c r="D1198" s="27" t="s">
        <v>8619</v>
      </c>
      <c r="E1198" s="27" t="s">
        <v>8620</v>
      </c>
      <c r="F1198" s="27" t="s">
        <v>8621</v>
      </c>
      <c r="G1198" s="28"/>
      <c r="H1198" s="6" t="s">
        <v>63</v>
      </c>
      <c r="I1198" s="6" t="s">
        <v>62</v>
      </c>
      <c r="J1198" s="6" t="s">
        <v>63</v>
      </c>
      <c r="K1198" s="6" t="s">
        <v>63</v>
      </c>
      <c r="L1198" s="6" t="s">
        <v>64</v>
      </c>
      <c r="M1198" s="28"/>
      <c r="N1198" s="27" t="s">
        <v>8622</v>
      </c>
      <c r="O1198" s="6" t="s">
        <v>246</v>
      </c>
      <c r="P1198" s="28"/>
      <c r="Q1198" s="6" t="s">
        <v>67</v>
      </c>
      <c r="R1198" s="6" t="s">
        <v>384</v>
      </c>
      <c r="S1198" s="27" t="s">
        <v>8134</v>
      </c>
      <c r="T1198" s="6" t="s">
        <v>6138</v>
      </c>
      <c r="U1198" s="7" t="n">
        <v>6</v>
      </c>
      <c r="V1198" s="7" t="n">
        <v>6</v>
      </c>
      <c r="W1198" s="8" t="s">
        <v>8623</v>
      </c>
      <c r="X1198" s="8" t="s">
        <v>8623</v>
      </c>
      <c r="Y1198" s="8" t="s">
        <v>6113</v>
      </c>
      <c r="Z1198" s="8" t="s">
        <v>6113</v>
      </c>
      <c r="AA1198" s="7" t="n">
        <v>559</v>
      </c>
      <c r="AB1198" s="7" t="n">
        <v>391</v>
      </c>
      <c r="AC1198" s="7" t="n">
        <v>424</v>
      </c>
      <c r="AD1198" s="7" t="n">
        <v>5</v>
      </c>
      <c r="AE1198" s="7" t="n">
        <v>5</v>
      </c>
      <c r="AF1198" s="7" t="n">
        <v>27</v>
      </c>
      <c r="AG1198" s="7" t="n">
        <v>27</v>
      </c>
      <c r="AH1198" s="7" t="n">
        <v>9</v>
      </c>
      <c r="AI1198" s="7" t="n">
        <v>9</v>
      </c>
      <c r="AJ1198" s="7" t="n">
        <v>6</v>
      </c>
      <c r="AK1198" s="7" t="n">
        <v>6</v>
      </c>
      <c r="AL1198" s="7" t="n">
        <v>19</v>
      </c>
      <c r="AM1198" s="7" t="n">
        <v>19</v>
      </c>
      <c r="AN1198" s="7" t="n">
        <v>3</v>
      </c>
      <c r="AO1198" s="7" t="n">
        <v>3</v>
      </c>
      <c r="AP1198" s="7" t="n">
        <v>0</v>
      </c>
      <c r="AQ1198" s="7" t="n">
        <v>0</v>
      </c>
      <c r="AR1198" s="6" t="s">
        <v>63</v>
      </c>
      <c r="AS1198" s="6" t="s">
        <v>63</v>
      </c>
      <c r="AT1198" s="28"/>
      <c r="AU1198" s="9" t="str">
        <f aca="false">HYPERLINK("https://creighton-primo.hosted.exlibrisgroup.com/primo-explore/search?tab=default_tab&amp;search_scope=EVERYTHING&amp;vid=01CRU&amp;lang=en_US&amp;offset=0&amp;query=any,contains,991004720059702656","Catalog Record")</f>
        <v>Catalog Record</v>
      </c>
      <c r="AV1198" s="9" t="str">
        <f aca="false">HYPERLINK("http://www.worldcat.org/oclc/4799004","WorldCat Record")</f>
        <v>WorldCat Record</v>
      </c>
      <c r="AW1198" s="6" t="s">
        <v>8624</v>
      </c>
      <c r="AX1198" s="6" t="s">
        <v>8625</v>
      </c>
      <c r="AY1198" s="6" t="s">
        <v>8626</v>
      </c>
      <c r="AZ1198" s="6" t="s">
        <v>8626</v>
      </c>
      <c r="BA1198" s="6" t="s">
        <v>8627</v>
      </c>
      <c r="BB1198" s="6" t="s">
        <v>8628</v>
      </c>
      <c r="BC1198" s="6" t="s">
        <v>8629</v>
      </c>
      <c r="BE1198" s="15" t="s">
        <v>2145</v>
      </c>
      <c r="BF1198" s="6" t="s">
        <v>8630</v>
      </c>
    </row>
    <row r="1199" customFormat="false" ht="94" hidden="false" customHeight="false" outlineLevel="0" collapsed="false">
      <c r="A1199" s="26" t="s">
        <v>63</v>
      </c>
      <c r="B1199" s="27" t="s">
        <v>2129</v>
      </c>
      <c r="C1199" s="27" t="s">
        <v>2130</v>
      </c>
      <c r="D1199" s="27" t="s">
        <v>8631</v>
      </c>
      <c r="E1199" s="27" t="s">
        <v>8632</v>
      </c>
      <c r="F1199" s="27" t="s">
        <v>8633</v>
      </c>
      <c r="G1199" s="28"/>
      <c r="H1199" s="6" t="s">
        <v>63</v>
      </c>
      <c r="I1199" s="6" t="s">
        <v>62</v>
      </c>
      <c r="J1199" s="6" t="s">
        <v>63</v>
      </c>
      <c r="K1199" s="6" t="s">
        <v>63</v>
      </c>
      <c r="L1199" s="6" t="s">
        <v>64</v>
      </c>
      <c r="M1199" s="28"/>
      <c r="N1199" s="27" t="s">
        <v>8634</v>
      </c>
      <c r="O1199" s="6" t="s">
        <v>2426</v>
      </c>
      <c r="P1199" s="28"/>
      <c r="Q1199" s="6" t="s">
        <v>67</v>
      </c>
      <c r="R1199" s="6" t="s">
        <v>68</v>
      </c>
      <c r="S1199" s="28"/>
      <c r="T1199" s="6" t="s">
        <v>6138</v>
      </c>
      <c r="U1199" s="7" t="n">
        <v>5</v>
      </c>
      <c r="V1199" s="7" t="n">
        <v>5</v>
      </c>
      <c r="W1199" s="8" t="s">
        <v>8635</v>
      </c>
      <c r="X1199" s="8" t="s">
        <v>8635</v>
      </c>
      <c r="Y1199" s="8" t="s">
        <v>6113</v>
      </c>
      <c r="Z1199" s="8" t="s">
        <v>6113</v>
      </c>
      <c r="AA1199" s="7" t="n">
        <v>537</v>
      </c>
      <c r="AB1199" s="7" t="n">
        <v>502</v>
      </c>
      <c r="AC1199" s="7" t="n">
        <v>629</v>
      </c>
      <c r="AD1199" s="7" t="n">
        <v>7</v>
      </c>
      <c r="AE1199" s="7" t="n">
        <v>7</v>
      </c>
      <c r="AF1199" s="7" t="n">
        <v>24</v>
      </c>
      <c r="AG1199" s="7" t="n">
        <v>31</v>
      </c>
      <c r="AH1199" s="7" t="n">
        <v>8</v>
      </c>
      <c r="AI1199" s="7" t="n">
        <v>10</v>
      </c>
      <c r="AJ1199" s="7" t="n">
        <v>6</v>
      </c>
      <c r="AK1199" s="7" t="n">
        <v>8</v>
      </c>
      <c r="AL1199" s="7" t="n">
        <v>9</v>
      </c>
      <c r="AM1199" s="7" t="n">
        <v>15</v>
      </c>
      <c r="AN1199" s="7" t="n">
        <v>6</v>
      </c>
      <c r="AO1199" s="7" t="n">
        <v>6</v>
      </c>
      <c r="AP1199" s="7" t="n">
        <v>0</v>
      </c>
      <c r="AQ1199" s="7" t="n">
        <v>0</v>
      </c>
      <c r="AR1199" s="6" t="s">
        <v>63</v>
      </c>
      <c r="AS1199" s="6" t="s">
        <v>57</v>
      </c>
      <c r="AT1199" s="9" t="str">
        <f aca="false">HYPERLINK("http://catalog.hathitrust.org/Record/004461818","HathiTrust Record")</f>
        <v>HathiTrust Record</v>
      </c>
      <c r="AU1199" s="9" t="str">
        <f aca="false">HYPERLINK("https://creighton-primo.hosted.exlibrisgroup.com/primo-explore/search?tab=default_tab&amp;search_scope=EVERYTHING&amp;vid=01CRU&amp;lang=en_US&amp;offset=0&amp;query=any,contains,991003540649702656","Catalog Record")</f>
        <v>Catalog Record</v>
      </c>
      <c r="AV1199" s="9" t="str">
        <f aca="false">HYPERLINK("http://www.worldcat.org/oclc/1104663","WorldCat Record")</f>
        <v>WorldCat Record</v>
      </c>
      <c r="AW1199" s="6" t="s">
        <v>8636</v>
      </c>
      <c r="AX1199" s="6" t="s">
        <v>8637</v>
      </c>
      <c r="AY1199" s="6" t="s">
        <v>8638</v>
      </c>
      <c r="AZ1199" s="6" t="s">
        <v>8638</v>
      </c>
      <c r="BA1199" s="6" t="s">
        <v>8639</v>
      </c>
      <c r="BB1199" s="6" t="s">
        <v>8640</v>
      </c>
      <c r="BC1199" s="6" t="s">
        <v>8641</v>
      </c>
      <c r="BE1199" s="15" t="s">
        <v>2145</v>
      </c>
      <c r="BF1199" s="6" t="s">
        <v>8642</v>
      </c>
    </row>
    <row r="1200" customFormat="false" ht="128.5" hidden="false" customHeight="false" outlineLevel="0" collapsed="false">
      <c r="A1200" s="26" t="s">
        <v>63</v>
      </c>
      <c r="B1200" s="27" t="s">
        <v>2129</v>
      </c>
      <c r="C1200" s="27" t="s">
        <v>2130</v>
      </c>
      <c r="D1200" s="27" t="s">
        <v>8643</v>
      </c>
      <c r="E1200" s="27" t="s">
        <v>8644</v>
      </c>
      <c r="F1200" s="27" t="s">
        <v>8645</v>
      </c>
      <c r="G1200" s="28"/>
      <c r="H1200" s="6" t="s">
        <v>63</v>
      </c>
      <c r="I1200" s="6" t="s">
        <v>62</v>
      </c>
      <c r="J1200" s="6" t="s">
        <v>57</v>
      </c>
      <c r="K1200" s="6" t="s">
        <v>63</v>
      </c>
      <c r="L1200" s="6" t="s">
        <v>64</v>
      </c>
      <c r="M1200" s="27" t="s">
        <v>8646</v>
      </c>
      <c r="N1200" s="27" t="s">
        <v>8647</v>
      </c>
      <c r="O1200" s="6" t="s">
        <v>2396</v>
      </c>
      <c r="P1200" s="28"/>
      <c r="Q1200" s="6" t="s">
        <v>67</v>
      </c>
      <c r="R1200" s="6" t="s">
        <v>384</v>
      </c>
      <c r="S1200" s="27" t="s">
        <v>8648</v>
      </c>
      <c r="T1200" s="6" t="s">
        <v>6138</v>
      </c>
      <c r="U1200" s="7" t="n">
        <v>4</v>
      </c>
      <c r="V1200" s="7" t="n">
        <v>7</v>
      </c>
      <c r="W1200" s="8" t="s">
        <v>8649</v>
      </c>
      <c r="X1200" s="8" t="s">
        <v>8649</v>
      </c>
      <c r="Y1200" s="8" t="s">
        <v>6113</v>
      </c>
      <c r="Z1200" s="8" t="s">
        <v>6113</v>
      </c>
      <c r="AA1200" s="7" t="n">
        <v>382</v>
      </c>
      <c r="AB1200" s="7" t="n">
        <v>259</v>
      </c>
      <c r="AC1200" s="7" t="n">
        <v>275</v>
      </c>
      <c r="AD1200" s="7" t="n">
        <v>4</v>
      </c>
      <c r="AE1200" s="7" t="n">
        <v>4</v>
      </c>
      <c r="AF1200" s="7" t="n">
        <v>20</v>
      </c>
      <c r="AG1200" s="7" t="n">
        <v>20</v>
      </c>
      <c r="AH1200" s="7" t="n">
        <v>6</v>
      </c>
      <c r="AI1200" s="7" t="n">
        <v>6</v>
      </c>
      <c r="AJ1200" s="7" t="n">
        <v>4</v>
      </c>
      <c r="AK1200" s="7" t="n">
        <v>4</v>
      </c>
      <c r="AL1200" s="7" t="n">
        <v>14</v>
      </c>
      <c r="AM1200" s="7" t="n">
        <v>14</v>
      </c>
      <c r="AN1200" s="7" t="n">
        <v>3</v>
      </c>
      <c r="AO1200" s="7" t="n">
        <v>3</v>
      </c>
      <c r="AP1200" s="7" t="n">
        <v>0</v>
      </c>
      <c r="AQ1200" s="7" t="n">
        <v>0</v>
      </c>
      <c r="AR1200" s="6" t="s">
        <v>63</v>
      </c>
      <c r="AS1200" s="6" t="s">
        <v>57</v>
      </c>
      <c r="AT1200" s="9" t="str">
        <f aca="false">HYPERLINK("http://catalog.hathitrust.org/Record/003495679","HathiTrust Record")</f>
        <v>HathiTrust Record</v>
      </c>
      <c r="AU1200" s="9" t="str">
        <f aca="false">HYPERLINK("https://creighton-primo.hosted.exlibrisgroup.com/primo-explore/search?tab=default_tab&amp;search_scope=EVERYTHING&amp;vid=01CRU&amp;lang=en_US&amp;offset=0&amp;query=any,contains,991003511319702656","Catalog Record")</f>
        <v>Catalog Record</v>
      </c>
      <c r="AV1200" s="9" t="str">
        <f aca="false">HYPERLINK("http://www.worldcat.org/oclc/1066119","WorldCat Record")</f>
        <v>WorldCat Record</v>
      </c>
      <c r="AW1200" s="6" t="s">
        <v>8650</v>
      </c>
      <c r="AX1200" s="6" t="s">
        <v>8651</v>
      </c>
      <c r="AY1200" s="6" t="s">
        <v>8652</v>
      </c>
      <c r="AZ1200" s="6" t="s">
        <v>8652</v>
      </c>
      <c r="BA1200" s="6" t="s">
        <v>8653</v>
      </c>
      <c r="BB1200" s="28"/>
      <c r="BC1200" s="6" t="s">
        <v>8654</v>
      </c>
      <c r="BE1200" s="15" t="s">
        <v>2145</v>
      </c>
      <c r="BF1200" s="6" t="s">
        <v>8655</v>
      </c>
    </row>
    <row r="1201" customFormat="false" ht="128.5" hidden="false" customHeight="false" outlineLevel="0" collapsed="false">
      <c r="A1201" s="26" t="s">
        <v>63</v>
      </c>
      <c r="B1201" s="27" t="s">
        <v>2129</v>
      </c>
      <c r="C1201" s="27" t="s">
        <v>2130</v>
      </c>
      <c r="D1201" s="27" t="s">
        <v>8643</v>
      </c>
      <c r="E1201" s="27" t="s">
        <v>8644</v>
      </c>
      <c r="F1201" s="27" t="s">
        <v>8645</v>
      </c>
      <c r="G1201" s="28"/>
      <c r="H1201" s="6" t="s">
        <v>63</v>
      </c>
      <c r="I1201" s="6" t="s">
        <v>62</v>
      </c>
      <c r="J1201" s="6" t="s">
        <v>57</v>
      </c>
      <c r="K1201" s="6" t="s">
        <v>63</v>
      </c>
      <c r="L1201" s="6" t="s">
        <v>64</v>
      </c>
      <c r="M1201" s="27" t="s">
        <v>8646</v>
      </c>
      <c r="N1201" s="27" t="s">
        <v>8647</v>
      </c>
      <c r="O1201" s="6" t="s">
        <v>2396</v>
      </c>
      <c r="P1201" s="28"/>
      <c r="Q1201" s="6" t="s">
        <v>67</v>
      </c>
      <c r="R1201" s="6" t="s">
        <v>384</v>
      </c>
      <c r="S1201" s="27" t="s">
        <v>8648</v>
      </c>
      <c r="T1201" s="6" t="s">
        <v>6138</v>
      </c>
      <c r="U1201" s="7" t="n">
        <v>3</v>
      </c>
      <c r="V1201" s="7" t="n">
        <v>7</v>
      </c>
      <c r="W1201" s="8" t="s">
        <v>8656</v>
      </c>
      <c r="X1201" s="8" t="s">
        <v>8649</v>
      </c>
      <c r="Y1201" s="8" t="s">
        <v>6113</v>
      </c>
      <c r="Z1201" s="8" t="s">
        <v>6113</v>
      </c>
      <c r="AA1201" s="7" t="n">
        <v>382</v>
      </c>
      <c r="AB1201" s="7" t="n">
        <v>259</v>
      </c>
      <c r="AC1201" s="7" t="n">
        <v>275</v>
      </c>
      <c r="AD1201" s="7" t="n">
        <v>4</v>
      </c>
      <c r="AE1201" s="7" t="n">
        <v>4</v>
      </c>
      <c r="AF1201" s="7" t="n">
        <v>20</v>
      </c>
      <c r="AG1201" s="7" t="n">
        <v>20</v>
      </c>
      <c r="AH1201" s="7" t="n">
        <v>6</v>
      </c>
      <c r="AI1201" s="7" t="n">
        <v>6</v>
      </c>
      <c r="AJ1201" s="7" t="n">
        <v>4</v>
      </c>
      <c r="AK1201" s="7" t="n">
        <v>4</v>
      </c>
      <c r="AL1201" s="7" t="n">
        <v>14</v>
      </c>
      <c r="AM1201" s="7" t="n">
        <v>14</v>
      </c>
      <c r="AN1201" s="7" t="n">
        <v>3</v>
      </c>
      <c r="AO1201" s="7" t="n">
        <v>3</v>
      </c>
      <c r="AP1201" s="7" t="n">
        <v>0</v>
      </c>
      <c r="AQ1201" s="7" t="n">
        <v>0</v>
      </c>
      <c r="AR1201" s="6" t="s">
        <v>63</v>
      </c>
      <c r="AS1201" s="6" t="s">
        <v>57</v>
      </c>
      <c r="AT1201" s="9" t="str">
        <f aca="false">HYPERLINK("http://catalog.hathitrust.org/Record/003495679","HathiTrust Record")</f>
        <v>HathiTrust Record</v>
      </c>
      <c r="AU1201" s="9" t="str">
        <f aca="false">HYPERLINK("https://creighton-primo.hosted.exlibrisgroup.com/primo-explore/search?tab=default_tab&amp;search_scope=EVERYTHING&amp;vid=01CRU&amp;lang=en_US&amp;offset=0&amp;query=any,contains,991003511319702656","Catalog Record")</f>
        <v>Catalog Record</v>
      </c>
      <c r="AV1201" s="9" t="str">
        <f aca="false">HYPERLINK("http://www.worldcat.org/oclc/1066119","WorldCat Record")</f>
        <v>WorldCat Record</v>
      </c>
      <c r="AW1201" s="6" t="s">
        <v>8650</v>
      </c>
      <c r="AX1201" s="6" t="s">
        <v>8651</v>
      </c>
      <c r="AY1201" s="6" t="s">
        <v>8652</v>
      </c>
      <c r="AZ1201" s="6" t="s">
        <v>8652</v>
      </c>
      <c r="BA1201" s="6" t="s">
        <v>8653</v>
      </c>
      <c r="BB1201" s="28"/>
      <c r="BC1201" s="6" t="s">
        <v>8657</v>
      </c>
      <c r="BE1201" s="15" t="s">
        <v>2145</v>
      </c>
      <c r="BF1201" s="6" t="s">
        <v>8658</v>
      </c>
    </row>
    <row r="1202" customFormat="false" ht="105.5" hidden="false" customHeight="false" outlineLevel="0" collapsed="false">
      <c r="A1202" s="26" t="s">
        <v>63</v>
      </c>
      <c r="B1202" s="27" t="s">
        <v>2129</v>
      </c>
      <c r="C1202" s="27" t="s">
        <v>2130</v>
      </c>
      <c r="D1202" s="27" t="s">
        <v>8659</v>
      </c>
      <c r="E1202" s="27" t="s">
        <v>8660</v>
      </c>
      <c r="F1202" s="27" t="s">
        <v>8661</v>
      </c>
      <c r="G1202" s="28"/>
      <c r="H1202" s="6" t="s">
        <v>63</v>
      </c>
      <c r="I1202" s="6" t="s">
        <v>62</v>
      </c>
      <c r="J1202" s="6" t="s">
        <v>63</v>
      </c>
      <c r="K1202" s="6" t="s">
        <v>63</v>
      </c>
      <c r="L1202" s="6" t="s">
        <v>64</v>
      </c>
      <c r="M1202" s="27" t="s">
        <v>8662</v>
      </c>
      <c r="N1202" s="27" t="s">
        <v>8663</v>
      </c>
      <c r="O1202" s="6" t="s">
        <v>3405</v>
      </c>
      <c r="P1202" s="28"/>
      <c r="Q1202" s="6" t="s">
        <v>67</v>
      </c>
      <c r="R1202" s="6" t="s">
        <v>123</v>
      </c>
      <c r="S1202" s="27" t="s">
        <v>7201</v>
      </c>
      <c r="T1202" s="6" t="s">
        <v>6138</v>
      </c>
      <c r="U1202" s="7" t="n">
        <v>2</v>
      </c>
      <c r="V1202" s="7" t="n">
        <v>2</v>
      </c>
      <c r="W1202" s="8" t="s">
        <v>8664</v>
      </c>
      <c r="X1202" s="8" t="s">
        <v>8664</v>
      </c>
      <c r="Y1202" s="8" t="s">
        <v>6113</v>
      </c>
      <c r="Z1202" s="8" t="s">
        <v>6113</v>
      </c>
      <c r="AA1202" s="7" t="n">
        <v>351</v>
      </c>
      <c r="AB1202" s="7" t="n">
        <v>257</v>
      </c>
      <c r="AC1202" s="7" t="n">
        <v>486</v>
      </c>
      <c r="AD1202" s="7" t="n">
        <v>2</v>
      </c>
      <c r="AE1202" s="7" t="n">
        <v>4</v>
      </c>
      <c r="AF1202" s="7" t="n">
        <v>13</v>
      </c>
      <c r="AG1202" s="7" t="n">
        <v>29</v>
      </c>
      <c r="AH1202" s="7" t="n">
        <v>7</v>
      </c>
      <c r="AI1202" s="7" t="n">
        <v>14</v>
      </c>
      <c r="AJ1202" s="7" t="n">
        <v>2</v>
      </c>
      <c r="AK1202" s="7" t="n">
        <v>7</v>
      </c>
      <c r="AL1202" s="7" t="n">
        <v>7</v>
      </c>
      <c r="AM1202" s="7" t="n">
        <v>15</v>
      </c>
      <c r="AN1202" s="7" t="n">
        <v>1</v>
      </c>
      <c r="AO1202" s="7" t="n">
        <v>3</v>
      </c>
      <c r="AP1202" s="7" t="n">
        <v>0</v>
      </c>
      <c r="AQ1202" s="7" t="n">
        <v>0</v>
      </c>
      <c r="AR1202" s="6" t="s">
        <v>63</v>
      </c>
      <c r="AS1202" s="6" t="s">
        <v>57</v>
      </c>
      <c r="AT1202" s="9" t="str">
        <f aca="false">HYPERLINK("http://catalog.hathitrust.org/Record/001395973","HathiTrust Record")</f>
        <v>HathiTrust Record</v>
      </c>
      <c r="AU1202" s="9" t="str">
        <f aca="false">HYPERLINK("https://creighton-primo.hosted.exlibrisgroup.com/primo-explore/search?tab=default_tab&amp;search_scope=EVERYTHING&amp;vid=01CRU&amp;lang=en_US&amp;offset=0&amp;query=any,contains,991002558899702656","Catalog Record")</f>
        <v>Catalog Record</v>
      </c>
      <c r="AV1202" s="9" t="str">
        <f aca="false">HYPERLINK("http://www.worldcat.org/oclc/371338","WorldCat Record")</f>
        <v>WorldCat Record</v>
      </c>
      <c r="AW1202" s="6" t="s">
        <v>8665</v>
      </c>
      <c r="AX1202" s="6" t="s">
        <v>8666</v>
      </c>
      <c r="AY1202" s="6" t="s">
        <v>8667</v>
      </c>
      <c r="AZ1202" s="6" t="s">
        <v>8667</v>
      </c>
      <c r="BA1202" s="6" t="s">
        <v>8668</v>
      </c>
      <c r="BB1202" s="28"/>
      <c r="BC1202" s="6" t="s">
        <v>8669</v>
      </c>
      <c r="BE1202" s="15" t="s">
        <v>2145</v>
      </c>
      <c r="BF1202" s="6" t="s">
        <v>8670</v>
      </c>
    </row>
    <row r="1203" customFormat="false" ht="82.5" hidden="false" customHeight="false" outlineLevel="0" collapsed="false">
      <c r="A1203" s="26" t="s">
        <v>63</v>
      </c>
      <c r="B1203" s="27" t="s">
        <v>2129</v>
      </c>
      <c r="C1203" s="27" t="s">
        <v>2130</v>
      </c>
      <c r="D1203" s="27" t="s">
        <v>8671</v>
      </c>
      <c r="E1203" s="27" t="s">
        <v>8672</v>
      </c>
      <c r="F1203" s="27" t="s">
        <v>8673</v>
      </c>
      <c r="G1203" s="28"/>
      <c r="H1203" s="6" t="s">
        <v>63</v>
      </c>
      <c r="I1203" s="6" t="s">
        <v>62</v>
      </c>
      <c r="J1203" s="6" t="s">
        <v>63</v>
      </c>
      <c r="K1203" s="6" t="s">
        <v>63</v>
      </c>
      <c r="L1203" s="6" t="s">
        <v>64</v>
      </c>
      <c r="M1203" s="27" t="s">
        <v>8674</v>
      </c>
      <c r="N1203" s="27" t="s">
        <v>8675</v>
      </c>
      <c r="O1203" s="6" t="s">
        <v>264</v>
      </c>
      <c r="P1203" s="28"/>
      <c r="Q1203" s="6" t="s">
        <v>67</v>
      </c>
      <c r="R1203" s="6" t="s">
        <v>1059</v>
      </c>
      <c r="S1203" s="28"/>
      <c r="T1203" s="6" t="s">
        <v>6138</v>
      </c>
      <c r="U1203" s="7" t="n">
        <v>2</v>
      </c>
      <c r="V1203" s="7" t="n">
        <v>2</v>
      </c>
      <c r="W1203" s="8" t="s">
        <v>8649</v>
      </c>
      <c r="X1203" s="8" t="s">
        <v>8649</v>
      </c>
      <c r="Y1203" s="8" t="s">
        <v>6113</v>
      </c>
      <c r="Z1203" s="8" t="s">
        <v>6113</v>
      </c>
      <c r="AA1203" s="7" t="n">
        <v>888</v>
      </c>
      <c r="AB1203" s="7" t="n">
        <v>742</v>
      </c>
      <c r="AC1203" s="7" t="n">
        <v>744</v>
      </c>
      <c r="AD1203" s="7" t="n">
        <v>8</v>
      </c>
      <c r="AE1203" s="7" t="n">
        <v>8</v>
      </c>
      <c r="AF1203" s="7" t="n">
        <v>37</v>
      </c>
      <c r="AG1203" s="7" t="n">
        <v>37</v>
      </c>
      <c r="AH1203" s="7" t="n">
        <v>12</v>
      </c>
      <c r="AI1203" s="7" t="n">
        <v>12</v>
      </c>
      <c r="AJ1203" s="7" t="n">
        <v>10</v>
      </c>
      <c r="AK1203" s="7" t="n">
        <v>10</v>
      </c>
      <c r="AL1203" s="7" t="n">
        <v>16</v>
      </c>
      <c r="AM1203" s="7" t="n">
        <v>16</v>
      </c>
      <c r="AN1203" s="7" t="n">
        <v>7</v>
      </c>
      <c r="AO1203" s="7" t="n">
        <v>7</v>
      </c>
      <c r="AP1203" s="7" t="n">
        <v>0</v>
      </c>
      <c r="AQ1203" s="7" t="n">
        <v>0</v>
      </c>
      <c r="AR1203" s="6" t="s">
        <v>63</v>
      </c>
      <c r="AS1203" s="6" t="s">
        <v>57</v>
      </c>
      <c r="AT1203" s="9" t="str">
        <f aca="false">HYPERLINK("http://catalog.hathitrust.org/Record/001384173","HathiTrust Record")</f>
        <v>HathiTrust Record</v>
      </c>
      <c r="AU1203" s="9" t="str">
        <f aca="false">HYPERLINK("https://creighton-primo.hosted.exlibrisgroup.com/primo-explore/search?tab=default_tab&amp;search_scope=EVERYTHING&amp;vid=01CRU&amp;lang=en_US&amp;offset=0&amp;query=any,contains,991000604459702656","Catalog Record")</f>
        <v>Catalog Record</v>
      </c>
      <c r="AV1203" s="9" t="str">
        <f aca="false">HYPERLINK("http://www.worldcat.org/oclc/98644","WorldCat Record")</f>
        <v>WorldCat Record</v>
      </c>
      <c r="AW1203" s="6" t="s">
        <v>8676</v>
      </c>
      <c r="AX1203" s="6" t="s">
        <v>8677</v>
      </c>
      <c r="AY1203" s="6" t="s">
        <v>8678</v>
      </c>
      <c r="AZ1203" s="6" t="s">
        <v>8678</v>
      </c>
      <c r="BA1203" s="6" t="s">
        <v>8679</v>
      </c>
      <c r="BB1203" s="6" t="s">
        <v>8680</v>
      </c>
      <c r="BC1203" s="6" t="s">
        <v>8681</v>
      </c>
      <c r="BE1203" s="15" t="s">
        <v>2145</v>
      </c>
      <c r="BF1203" s="6" t="s">
        <v>8682</v>
      </c>
    </row>
    <row r="1204" customFormat="false" ht="59.5" hidden="false" customHeight="false" outlineLevel="0" collapsed="false">
      <c r="A1204" s="26" t="s">
        <v>63</v>
      </c>
      <c r="B1204" s="27" t="s">
        <v>2129</v>
      </c>
      <c r="C1204" s="27" t="s">
        <v>2130</v>
      </c>
      <c r="D1204" s="27" t="s">
        <v>8683</v>
      </c>
      <c r="E1204" s="27" t="s">
        <v>8684</v>
      </c>
      <c r="F1204" s="27" t="s">
        <v>8685</v>
      </c>
      <c r="G1204" s="28"/>
      <c r="H1204" s="6" t="s">
        <v>63</v>
      </c>
      <c r="I1204" s="6" t="s">
        <v>62</v>
      </c>
      <c r="J1204" s="6" t="s">
        <v>63</v>
      </c>
      <c r="K1204" s="6" t="s">
        <v>63</v>
      </c>
      <c r="L1204" s="6" t="s">
        <v>64</v>
      </c>
      <c r="M1204" s="27" t="s">
        <v>8686</v>
      </c>
      <c r="N1204" s="27" t="s">
        <v>8687</v>
      </c>
      <c r="O1204" s="6" t="s">
        <v>2262</v>
      </c>
      <c r="P1204" s="28"/>
      <c r="Q1204" s="6" t="s">
        <v>67</v>
      </c>
      <c r="R1204" s="6" t="s">
        <v>222</v>
      </c>
      <c r="S1204" s="27" t="s">
        <v>8688</v>
      </c>
      <c r="T1204" s="6" t="s">
        <v>6138</v>
      </c>
      <c r="U1204" s="7" t="n">
        <v>7</v>
      </c>
      <c r="V1204" s="7" t="n">
        <v>7</v>
      </c>
      <c r="W1204" s="8" t="s">
        <v>8689</v>
      </c>
      <c r="X1204" s="8" t="s">
        <v>8689</v>
      </c>
      <c r="Y1204" s="8" t="s">
        <v>6113</v>
      </c>
      <c r="Z1204" s="8" t="s">
        <v>6113</v>
      </c>
      <c r="AA1204" s="7" t="n">
        <v>715</v>
      </c>
      <c r="AB1204" s="7" t="n">
        <v>615</v>
      </c>
      <c r="AC1204" s="7" t="n">
        <v>710</v>
      </c>
      <c r="AD1204" s="7" t="n">
        <v>6</v>
      </c>
      <c r="AE1204" s="7" t="n">
        <v>6</v>
      </c>
      <c r="AF1204" s="7" t="n">
        <v>29</v>
      </c>
      <c r="AG1204" s="7" t="n">
        <v>30</v>
      </c>
      <c r="AH1204" s="7" t="n">
        <v>11</v>
      </c>
      <c r="AI1204" s="7" t="n">
        <v>11</v>
      </c>
      <c r="AJ1204" s="7" t="n">
        <v>6</v>
      </c>
      <c r="AK1204" s="7" t="n">
        <v>6</v>
      </c>
      <c r="AL1204" s="7" t="n">
        <v>17</v>
      </c>
      <c r="AM1204" s="7" t="n">
        <v>18</v>
      </c>
      <c r="AN1204" s="7" t="n">
        <v>5</v>
      </c>
      <c r="AO1204" s="7" t="n">
        <v>5</v>
      </c>
      <c r="AP1204" s="7" t="n">
        <v>0</v>
      </c>
      <c r="AQ1204" s="7" t="n">
        <v>0</v>
      </c>
      <c r="AR1204" s="6" t="s">
        <v>63</v>
      </c>
      <c r="AS1204" s="6" t="s">
        <v>57</v>
      </c>
      <c r="AT1204" s="9" t="str">
        <f aca="false">HYPERLINK("http://catalog.hathitrust.org/Record/000624709","HathiTrust Record")</f>
        <v>HathiTrust Record</v>
      </c>
      <c r="AU1204" s="9" t="str">
        <f aca="false">HYPERLINK("https://creighton-primo.hosted.exlibrisgroup.com/primo-explore/search?tab=default_tab&amp;search_scope=EVERYTHING&amp;vid=01CRU&amp;lang=en_US&amp;offset=0&amp;query=any,contains,991000741839702656","Catalog Record")</f>
        <v>Catalog Record</v>
      </c>
      <c r="AV1204" s="9" t="str">
        <f aca="false">HYPERLINK("http://www.worldcat.org/oclc/12809134","WorldCat Record")</f>
        <v>WorldCat Record</v>
      </c>
      <c r="AW1204" s="6" t="s">
        <v>8690</v>
      </c>
      <c r="AX1204" s="6" t="s">
        <v>8691</v>
      </c>
      <c r="AY1204" s="6" t="s">
        <v>8692</v>
      </c>
      <c r="AZ1204" s="6" t="s">
        <v>8692</v>
      </c>
      <c r="BA1204" s="6" t="s">
        <v>8693</v>
      </c>
      <c r="BB1204" s="6" t="s">
        <v>8694</v>
      </c>
      <c r="BC1204" s="6" t="s">
        <v>8695</v>
      </c>
      <c r="BE1204" s="15" t="s">
        <v>2145</v>
      </c>
      <c r="BF1204" s="6" t="s">
        <v>8696</v>
      </c>
    </row>
    <row r="1205" customFormat="false" ht="71" hidden="false" customHeight="false" outlineLevel="0" collapsed="false">
      <c r="A1205" s="26" t="s">
        <v>63</v>
      </c>
      <c r="B1205" s="27" t="s">
        <v>2129</v>
      </c>
      <c r="C1205" s="27" t="s">
        <v>2130</v>
      </c>
      <c r="D1205" s="27" t="s">
        <v>8697</v>
      </c>
      <c r="E1205" s="27" t="s">
        <v>8698</v>
      </c>
      <c r="F1205" s="27" t="s">
        <v>8699</v>
      </c>
      <c r="G1205" s="28"/>
      <c r="H1205" s="6" t="s">
        <v>63</v>
      </c>
      <c r="I1205" s="6" t="s">
        <v>62</v>
      </c>
      <c r="J1205" s="6" t="s">
        <v>63</v>
      </c>
      <c r="K1205" s="6" t="s">
        <v>57</v>
      </c>
      <c r="L1205" s="6" t="s">
        <v>64</v>
      </c>
      <c r="M1205" s="27" t="s">
        <v>8700</v>
      </c>
      <c r="N1205" s="27" t="s">
        <v>8701</v>
      </c>
      <c r="O1205" s="6" t="s">
        <v>2693</v>
      </c>
      <c r="P1205" s="28"/>
      <c r="Q1205" s="6" t="s">
        <v>67</v>
      </c>
      <c r="R1205" s="6" t="s">
        <v>384</v>
      </c>
      <c r="S1205" s="28"/>
      <c r="T1205" s="6" t="s">
        <v>6138</v>
      </c>
      <c r="U1205" s="7" t="n">
        <v>2</v>
      </c>
      <c r="V1205" s="7" t="n">
        <v>2</v>
      </c>
      <c r="W1205" s="8" t="s">
        <v>8702</v>
      </c>
      <c r="X1205" s="8" t="s">
        <v>8702</v>
      </c>
      <c r="Y1205" s="8" t="s">
        <v>6113</v>
      </c>
      <c r="Z1205" s="8" t="s">
        <v>6113</v>
      </c>
      <c r="AA1205" s="7" t="n">
        <v>149</v>
      </c>
      <c r="AB1205" s="7" t="n">
        <v>91</v>
      </c>
      <c r="AC1205" s="7" t="n">
        <v>190</v>
      </c>
      <c r="AD1205" s="7" t="n">
        <v>2</v>
      </c>
      <c r="AE1205" s="7" t="n">
        <v>2</v>
      </c>
      <c r="AF1205" s="7" t="n">
        <v>3</v>
      </c>
      <c r="AG1205" s="7" t="n">
        <v>8</v>
      </c>
      <c r="AH1205" s="7" t="n">
        <v>0</v>
      </c>
      <c r="AI1205" s="7" t="n">
        <v>0</v>
      </c>
      <c r="AJ1205" s="7" t="n">
        <v>1</v>
      </c>
      <c r="AK1205" s="7" t="n">
        <v>3</v>
      </c>
      <c r="AL1205" s="7" t="n">
        <v>2</v>
      </c>
      <c r="AM1205" s="7" t="n">
        <v>5</v>
      </c>
      <c r="AN1205" s="7" t="n">
        <v>1</v>
      </c>
      <c r="AO1205" s="7" t="n">
        <v>1</v>
      </c>
      <c r="AP1205" s="7" t="n">
        <v>0</v>
      </c>
      <c r="AQ1205" s="7" t="n">
        <v>0</v>
      </c>
      <c r="AR1205" s="6" t="s">
        <v>63</v>
      </c>
      <c r="AS1205" s="6" t="s">
        <v>57</v>
      </c>
      <c r="AT1205" s="9" t="str">
        <f aca="false">HYPERLINK("http://catalog.hathitrust.org/Record/001384175","HathiTrust Record")</f>
        <v>HathiTrust Record</v>
      </c>
      <c r="AU1205" s="9" t="str">
        <f aca="false">HYPERLINK("https://creighton-primo.hosted.exlibrisgroup.com/primo-explore/search?tab=default_tab&amp;search_scope=EVERYTHING&amp;vid=01CRU&amp;lang=en_US&amp;offset=0&amp;query=any,contains,991002818549702656","Catalog Record")</f>
        <v>Catalog Record</v>
      </c>
      <c r="AV1205" s="9" t="str">
        <f aca="false">HYPERLINK("http://www.worldcat.org/oclc/464180","WorldCat Record")</f>
        <v>WorldCat Record</v>
      </c>
      <c r="AW1205" s="6" t="s">
        <v>8703</v>
      </c>
      <c r="AX1205" s="6" t="s">
        <v>8704</v>
      </c>
      <c r="AY1205" s="6" t="s">
        <v>8705</v>
      </c>
      <c r="AZ1205" s="6" t="s">
        <v>8705</v>
      </c>
      <c r="BA1205" s="6" t="s">
        <v>8706</v>
      </c>
      <c r="BB1205" s="28"/>
      <c r="BC1205" s="6" t="s">
        <v>8707</v>
      </c>
      <c r="BE1205" s="15" t="s">
        <v>2145</v>
      </c>
      <c r="BF1205" s="6" t="s">
        <v>8708</v>
      </c>
    </row>
    <row r="1206" customFormat="false" ht="82.5" hidden="false" customHeight="false" outlineLevel="0" collapsed="false">
      <c r="A1206" s="26" t="s">
        <v>63</v>
      </c>
      <c r="B1206" s="27" t="s">
        <v>2129</v>
      </c>
      <c r="C1206" s="27" t="s">
        <v>2130</v>
      </c>
      <c r="D1206" s="27" t="s">
        <v>8709</v>
      </c>
      <c r="E1206" s="27" t="s">
        <v>8710</v>
      </c>
      <c r="F1206" s="27" t="s">
        <v>8711</v>
      </c>
      <c r="G1206" s="28"/>
      <c r="H1206" s="6" t="s">
        <v>63</v>
      </c>
      <c r="I1206" s="6" t="s">
        <v>62</v>
      </c>
      <c r="J1206" s="6" t="s">
        <v>63</v>
      </c>
      <c r="K1206" s="6" t="s">
        <v>63</v>
      </c>
      <c r="L1206" s="6" t="s">
        <v>64</v>
      </c>
      <c r="M1206" s="27" t="s">
        <v>8712</v>
      </c>
      <c r="N1206" s="27" t="s">
        <v>8713</v>
      </c>
      <c r="O1206" s="6" t="s">
        <v>246</v>
      </c>
      <c r="P1206" s="28"/>
      <c r="Q1206" s="6" t="s">
        <v>67</v>
      </c>
      <c r="R1206" s="6" t="s">
        <v>123</v>
      </c>
      <c r="S1206" s="27" t="s">
        <v>7693</v>
      </c>
      <c r="T1206" s="6" t="s">
        <v>6138</v>
      </c>
      <c r="U1206" s="7" t="n">
        <v>5</v>
      </c>
      <c r="V1206" s="7" t="n">
        <v>5</v>
      </c>
      <c r="W1206" s="8" t="s">
        <v>3515</v>
      </c>
      <c r="X1206" s="8" t="s">
        <v>3515</v>
      </c>
      <c r="Y1206" s="8" t="s">
        <v>6113</v>
      </c>
      <c r="Z1206" s="8" t="s">
        <v>6113</v>
      </c>
      <c r="AA1206" s="7" t="n">
        <v>762</v>
      </c>
      <c r="AB1206" s="7" t="n">
        <v>563</v>
      </c>
      <c r="AC1206" s="7" t="n">
        <v>611</v>
      </c>
      <c r="AD1206" s="7" t="n">
        <v>4</v>
      </c>
      <c r="AE1206" s="7" t="n">
        <v>4</v>
      </c>
      <c r="AF1206" s="7" t="n">
        <v>33</v>
      </c>
      <c r="AG1206" s="7" t="n">
        <v>34</v>
      </c>
      <c r="AH1206" s="7" t="n">
        <v>14</v>
      </c>
      <c r="AI1206" s="7" t="n">
        <v>14</v>
      </c>
      <c r="AJ1206" s="7" t="n">
        <v>7</v>
      </c>
      <c r="AK1206" s="7" t="n">
        <v>7</v>
      </c>
      <c r="AL1206" s="7" t="n">
        <v>21</v>
      </c>
      <c r="AM1206" s="7" t="n">
        <v>22</v>
      </c>
      <c r="AN1206" s="7" t="n">
        <v>3</v>
      </c>
      <c r="AO1206" s="7" t="n">
        <v>3</v>
      </c>
      <c r="AP1206" s="7" t="n">
        <v>0</v>
      </c>
      <c r="AQ1206" s="7" t="n">
        <v>0</v>
      </c>
      <c r="AR1206" s="6" t="s">
        <v>63</v>
      </c>
      <c r="AS1206" s="6" t="s">
        <v>57</v>
      </c>
      <c r="AT1206" s="9" t="str">
        <f aca="false">HYPERLINK("http://catalog.hathitrust.org/Record/000732104","HathiTrust Record")</f>
        <v>HathiTrust Record</v>
      </c>
      <c r="AU1206" s="9" t="str">
        <f aca="false">HYPERLINK("https://creighton-primo.hosted.exlibrisgroup.com/primo-explore/search?tab=default_tab&amp;search_scope=EVERYTHING&amp;vid=01CRU&amp;lang=en_US&amp;offset=0&amp;query=any,contains,991004806909702656","Catalog Record")</f>
        <v>Catalog Record</v>
      </c>
      <c r="AV1206" s="9" t="str">
        <f aca="false">HYPERLINK("http://www.worldcat.org/oclc/5258007","WorldCat Record")</f>
        <v>WorldCat Record</v>
      </c>
      <c r="AW1206" s="6" t="s">
        <v>8714</v>
      </c>
      <c r="AX1206" s="6" t="s">
        <v>8715</v>
      </c>
      <c r="AY1206" s="6" t="s">
        <v>8716</v>
      </c>
      <c r="AZ1206" s="6" t="s">
        <v>8716</v>
      </c>
      <c r="BA1206" s="6" t="s">
        <v>8717</v>
      </c>
      <c r="BB1206" s="6" t="s">
        <v>8718</v>
      </c>
      <c r="BC1206" s="6" t="s">
        <v>8719</v>
      </c>
      <c r="BE1206" s="15" t="s">
        <v>2145</v>
      </c>
      <c r="BF1206" s="6" t="s">
        <v>8720</v>
      </c>
    </row>
    <row r="1207" customFormat="false" ht="105.5" hidden="false" customHeight="false" outlineLevel="0" collapsed="false">
      <c r="A1207" s="26" t="s">
        <v>57</v>
      </c>
      <c r="B1207" s="27" t="s">
        <v>2129</v>
      </c>
      <c r="C1207" s="27" t="s">
        <v>2130</v>
      </c>
      <c r="D1207" s="27" t="s">
        <v>8721</v>
      </c>
      <c r="E1207" s="27" t="s">
        <v>8722</v>
      </c>
      <c r="F1207" s="27" t="s">
        <v>8723</v>
      </c>
      <c r="G1207" s="28"/>
      <c r="H1207" s="6" t="s">
        <v>63</v>
      </c>
      <c r="I1207" s="6" t="s">
        <v>62</v>
      </c>
      <c r="J1207" s="6" t="s">
        <v>63</v>
      </c>
      <c r="K1207" s="6" t="s">
        <v>63</v>
      </c>
      <c r="L1207" s="6" t="s">
        <v>64</v>
      </c>
      <c r="M1207" s="27" t="s">
        <v>8724</v>
      </c>
      <c r="N1207" s="27" t="s">
        <v>8725</v>
      </c>
      <c r="O1207" s="6" t="s">
        <v>2396</v>
      </c>
      <c r="P1207" s="27" t="s">
        <v>5390</v>
      </c>
      <c r="Q1207" s="6" t="s">
        <v>67</v>
      </c>
      <c r="R1207" s="6" t="s">
        <v>123</v>
      </c>
      <c r="S1207" s="27" t="s">
        <v>8726</v>
      </c>
      <c r="T1207" s="6" t="s">
        <v>6138</v>
      </c>
      <c r="U1207" s="7" t="n">
        <v>6</v>
      </c>
      <c r="V1207" s="7" t="n">
        <v>6</v>
      </c>
      <c r="W1207" s="8" t="s">
        <v>8727</v>
      </c>
      <c r="X1207" s="8" t="s">
        <v>8727</v>
      </c>
      <c r="Y1207" s="8" t="s">
        <v>6113</v>
      </c>
      <c r="Z1207" s="8" t="s">
        <v>6113</v>
      </c>
      <c r="AA1207" s="7" t="n">
        <v>370</v>
      </c>
      <c r="AB1207" s="7" t="n">
        <v>299</v>
      </c>
      <c r="AC1207" s="7" t="n">
        <v>777</v>
      </c>
      <c r="AD1207" s="7" t="n">
        <v>4</v>
      </c>
      <c r="AE1207" s="7" t="n">
        <v>7</v>
      </c>
      <c r="AF1207" s="7" t="n">
        <v>18</v>
      </c>
      <c r="AG1207" s="7" t="n">
        <v>34</v>
      </c>
      <c r="AH1207" s="7" t="n">
        <v>8</v>
      </c>
      <c r="AI1207" s="7" t="n">
        <v>15</v>
      </c>
      <c r="AJ1207" s="7" t="n">
        <v>3</v>
      </c>
      <c r="AK1207" s="7" t="n">
        <v>7</v>
      </c>
      <c r="AL1207" s="7" t="n">
        <v>9</v>
      </c>
      <c r="AM1207" s="7" t="n">
        <v>17</v>
      </c>
      <c r="AN1207" s="7" t="n">
        <v>2</v>
      </c>
      <c r="AO1207" s="7" t="n">
        <v>3</v>
      </c>
      <c r="AP1207" s="7" t="n">
        <v>0</v>
      </c>
      <c r="AQ1207" s="7" t="n">
        <v>1</v>
      </c>
      <c r="AR1207" s="6" t="s">
        <v>63</v>
      </c>
      <c r="AS1207" s="6" t="s">
        <v>63</v>
      </c>
      <c r="AT1207" s="9" t="str">
        <f aca="false">HYPERLINK("http://catalog.hathitrust.org/Record/001915811","HathiTrust Record")</f>
        <v>HathiTrust Record</v>
      </c>
      <c r="AU1207" s="9" t="str">
        <f aca="false">HYPERLINK("https://creighton-primo.hosted.exlibrisgroup.com/primo-explore/search?tab=default_tab&amp;search_scope=EVERYTHING&amp;vid=01CRU&amp;lang=en_US&amp;offset=0&amp;query=any,contains,991003399149702656","Catalog Record")</f>
        <v>Catalog Record</v>
      </c>
      <c r="AV1207" s="9" t="str">
        <f aca="false">HYPERLINK("http://www.worldcat.org/oclc/938980","WorldCat Record")</f>
        <v>WorldCat Record</v>
      </c>
      <c r="AW1207" s="6" t="s">
        <v>8728</v>
      </c>
      <c r="AX1207" s="6" t="s">
        <v>8729</v>
      </c>
      <c r="AY1207" s="6" t="s">
        <v>8730</v>
      </c>
      <c r="AZ1207" s="6" t="s">
        <v>8730</v>
      </c>
      <c r="BA1207" s="6" t="s">
        <v>8731</v>
      </c>
      <c r="BB1207" s="28"/>
      <c r="BC1207" s="6" t="s">
        <v>8732</v>
      </c>
      <c r="BE1207" s="15" t="s">
        <v>2145</v>
      </c>
      <c r="BF1207" s="6" t="s">
        <v>8733</v>
      </c>
    </row>
    <row r="1208" customFormat="false" ht="151.5" hidden="false" customHeight="false" outlineLevel="0" collapsed="false">
      <c r="A1208" s="26" t="s">
        <v>63</v>
      </c>
      <c r="B1208" s="27" t="s">
        <v>2129</v>
      </c>
      <c r="C1208" s="27" t="s">
        <v>2130</v>
      </c>
      <c r="D1208" s="27" t="s">
        <v>8734</v>
      </c>
      <c r="E1208" s="27" t="s">
        <v>8735</v>
      </c>
      <c r="F1208" s="27" t="s">
        <v>8736</v>
      </c>
      <c r="G1208" s="28"/>
      <c r="H1208" s="6" t="s">
        <v>63</v>
      </c>
      <c r="I1208" s="6" t="s">
        <v>62</v>
      </c>
      <c r="J1208" s="6" t="s">
        <v>63</v>
      </c>
      <c r="K1208" s="6" t="s">
        <v>63</v>
      </c>
      <c r="L1208" s="6" t="s">
        <v>64</v>
      </c>
      <c r="M1208" s="27" t="s">
        <v>8737</v>
      </c>
      <c r="N1208" s="27" t="s">
        <v>8738</v>
      </c>
      <c r="O1208" s="6" t="s">
        <v>4223</v>
      </c>
      <c r="P1208" s="28"/>
      <c r="Q1208" s="6" t="s">
        <v>67</v>
      </c>
      <c r="R1208" s="6" t="s">
        <v>384</v>
      </c>
      <c r="S1208" s="28"/>
      <c r="T1208" s="6" t="s">
        <v>6138</v>
      </c>
      <c r="U1208" s="7" t="n">
        <v>15</v>
      </c>
      <c r="V1208" s="7" t="n">
        <v>15</v>
      </c>
      <c r="W1208" s="8" t="s">
        <v>8739</v>
      </c>
      <c r="X1208" s="8" t="s">
        <v>8739</v>
      </c>
      <c r="Y1208" s="8" t="s">
        <v>7403</v>
      </c>
      <c r="Z1208" s="8" t="s">
        <v>7403</v>
      </c>
      <c r="AA1208" s="7" t="n">
        <v>226</v>
      </c>
      <c r="AB1208" s="7" t="n">
        <v>148</v>
      </c>
      <c r="AC1208" s="7" t="n">
        <v>763</v>
      </c>
      <c r="AD1208" s="7" t="n">
        <v>2</v>
      </c>
      <c r="AE1208" s="7" t="n">
        <v>4</v>
      </c>
      <c r="AF1208" s="7" t="n">
        <v>16</v>
      </c>
      <c r="AG1208" s="7" t="n">
        <v>38</v>
      </c>
      <c r="AH1208" s="7" t="n">
        <v>5</v>
      </c>
      <c r="AI1208" s="7" t="n">
        <v>15</v>
      </c>
      <c r="AJ1208" s="7" t="n">
        <v>6</v>
      </c>
      <c r="AK1208" s="7" t="n">
        <v>9</v>
      </c>
      <c r="AL1208" s="7" t="n">
        <v>13</v>
      </c>
      <c r="AM1208" s="7" t="n">
        <v>24</v>
      </c>
      <c r="AN1208" s="7" t="n">
        <v>0</v>
      </c>
      <c r="AO1208" s="7" t="n">
        <v>2</v>
      </c>
      <c r="AP1208" s="7" t="n">
        <v>0</v>
      </c>
      <c r="AQ1208" s="7" t="n">
        <v>0</v>
      </c>
      <c r="AR1208" s="6" t="s">
        <v>63</v>
      </c>
      <c r="AS1208" s="6" t="s">
        <v>63</v>
      </c>
      <c r="AT1208" s="28"/>
      <c r="AU1208" s="9" t="str">
        <f aca="false">HYPERLINK("https://creighton-primo.hosted.exlibrisgroup.com/primo-explore/search?tab=default_tab&amp;search_scope=EVERYTHING&amp;vid=01CRU&amp;lang=en_US&amp;offset=0&amp;query=any,contains,991005385099702656","Catalog Record")</f>
        <v>Catalog Record</v>
      </c>
      <c r="AV1208" s="9" t="str">
        <f aca="false">HYPERLINK("http://www.worldcat.org/oclc/6824926","WorldCat Record")</f>
        <v>WorldCat Record</v>
      </c>
      <c r="AW1208" s="6" t="s">
        <v>8740</v>
      </c>
      <c r="AX1208" s="6" t="s">
        <v>8741</v>
      </c>
      <c r="AY1208" s="6" t="s">
        <v>8742</v>
      </c>
      <c r="AZ1208" s="6" t="s">
        <v>8742</v>
      </c>
      <c r="BA1208" s="6" t="s">
        <v>8743</v>
      </c>
      <c r="BB1208" s="28"/>
      <c r="BC1208" s="6" t="s">
        <v>8744</v>
      </c>
      <c r="BE1208" s="15" t="s">
        <v>2145</v>
      </c>
      <c r="BF1208" s="6" t="s">
        <v>8745</v>
      </c>
    </row>
    <row r="1209" customFormat="false" ht="71" hidden="false" customHeight="false" outlineLevel="0" collapsed="false">
      <c r="A1209" s="26" t="s">
        <v>63</v>
      </c>
      <c r="B1209" s="27" t="s">
        <v>2129</v>
      </c>
      <c r="C1209" s="27" t="s">
        <v>2130</v>
      </c>
      <c r="D1209" s="27" t="s">
        <v>8746</v>
      </c>
      <c r="E1209" s="27" t="s">
        <v>8747</v>
      </c>
      <c r="F1209" s="27" t="s">
        <v>8748</v>
      </c>
      <c r="G1209" s="28"/>
      <c r="H1209" s="6" t="s">
        <v>63</v>
      </c>
      <c r="I1209" s="6" t="s">
        <v>62</v>
      </c>
      <c r="J1209" s="6" t="s">
        <v>63</v>
      </c>
      <c r="K1209" s="6" t="s">
        <v>63</v>
      </c>
      <c r="L1209" s="6" t="s">
        <v>64</v>
      </c>
      <c r="M1209" s="27" t="s">
        <v>8749</v>
      </c>
      <c r="N1209" s="27" t="s">
        <v>8750</v>
      </c>
      <c r="O1209" s="6" t="s">
        <v>264</v>
      </c>
      <c r="P1209" s="28"/>
      <c r="Q1209" s="6" t="s">
        <v>67</v>
      </c>
      <c r="R1209" s="6" t="s">
        <v>68</v>
      </c>
      <c r="S1209" s="28"/>
      <c r="T1209" s="6" t="s">
        <v>6138</v>
      </c>
      <c r="U1209" s="7" t="n">
        <v>7</v>
      </c>
      <c r="V1209" s="7" t="n">
        <v>7</v>
      </c>
      <c r="W1209" s="8" t="s">
        <v>8751</v>
      </c>
      <c r="X1209" s="8" t="s">
        <v>8751</v>
      </c>
      <c r="Y1209" s="8" t="s">
        <v>6113</v>
      </c>
      <c r="Z1209" s="8" t="s">
        <v>6113</v>
      </c>
      <c r="AA1209" s="7" t="n">
        <v>177</v>
      </c>
      <c r="AB1209" s="7" t="n">
        <v>157</v>
      </c>
      <c r="AC1209" s="7" t="n">
        <v>532</v>
      </c>
      <c r="AD1209" s="7" t="n">
        <v>4</v>
      </c>
      <c r="AE1209" s="7" t="n">
        <v>7</v>
      </c>
      <c r="AF1209" s="7" t="n">
        <v>11</v>
      </c>
      <c r="AG1209" s="7" t="n">
        <v>33</v>
      </c>
      <c r="AH1209" s="7" t="n">
        <v>3</v>
      </c>
      <c r="AI1209" s="7" t="n">
        <v>11</v>
      </c>
      <c r="AJ1209" s="7" t="n">
        <v>3</v>
      </c>
      <c r="AK1209" s="7" t="n">
        <v>8</v>
      </c>
      <c r="AL1209" s="7" t="n">
        <v>5</v>
      </c>
      <c r="AM1209" s="7" t="n">
        <v>17</v>
      </c>
      <c r="AN1209" s="7" t="n">
        <v>3</v>
      </c>
      <c r="AO1209" s="7" t="n">
        <v>5</v>
      </c>
      <c r="AP1209" s="7" t="n">
        <v>0</v>
      </c>
      <c r="AQ1209" s="7" t="n">
        <v>1</v>
      </c>
      <c r="AR1209" s="6" t="s">
        <v>63</v>
      </c>
      <c r="AS1209" s="6" t="s">
        <v>57</v>
      </c>
      <c r="AT1209" s="9" t="str">
        <f aca="false">HYPERLINK("http://catalog.hathitrust.org/Record/012270620","HathiTrust Record")</f>
        <v>HathiTrust Record</v>
      </c>
      <c r="AU1209" s="9" t="str">
        <f aca="false">HYPERLINK("https://creighton-primo.hosted.exlibrisgroup.com/primo-explore/search?tab=default_tab&amp;search_scope=EVERYTHING&amp;vid=01CRU&amp;lang=en_US&amp;offset=0&amp;query=any,contains,991000185769702656","Catalog Record")</f>
        <v>Catalog Record</v>
      </c>
      <c r="AV1209" s="9" t="str">
        <f aca="false">HYPERLINK("http://www.worldcat.org/oclc/62721","WorldCat Record")</f>
        <v>WorldCat Record</v>
      </c>
      <c r="AW1209" s="6" t="s">
        <v>8752</v>
      </c>
      <c r="AX1209" s="6" t="s">
        <v>8753</v>
      </c>
      <c r="AY1209" s="6" t="s">
        <v>8754</v>
      </c>
      <c r="AZ1209" s="6" t="s">
        <v>8754</v>
      </c>
      <c r="BA1209" s="6" t="s">
        <v>8755</v>
      </c>
      <c r="BB1209" s="6" t="s">
        <v>8756</v>
      </c>
      <c r="BC1209" s="6" t="s">
        <v>8757</v>
      </c>
      <c r="BE1209" s="15" t="s">
        <v>2145</v>
      </c>
      <c r="BF1209" s="6" t="s">
        <v>8758</v>
      </c>
    </row>
    <row r="1210" customFormat="false" ht="105.5" hidden="false" customHeight="false" outlineLevel="0" collapsed="false">
      <c r="A1210" s="26" t="s">
        <v>63</v>
      </c>
      <c r="B1210" s="27" t="s">
        <v>2129</v>
      </c>
      <c r="C1210" s="27" t="s">
        <v>2130</v>
      </c>
      <c r="D1210" s="27" t="s">
        <v>8759</v>
      </c>
      <c r="E1210" s="27" t="s">
        <v>8760</v>
      </c>
      <c r="F1210" s="27" t="s">
        <v>8761</v>
      </c>
      <c r="G1210" s="28"/>
      <c r="H1210" s="6" t="s">
        <v>63</v>
      </c>
      <c r="I1210" s="6" t="s">
        <v>62</v>
      </c>
      <c r="J1210" s="6" t="s">
        <v>63</v>
      </c>
      <c r="K1210" s="6" t="s">
        <v>63</v>
      </c>
      <c r="L1210" s="6" t="s">
        <v>64</v>
      </c>
      <c r="M1210" s="27" t="s">
        <v>8762</v>
      </c>
      <c r="N1210" s="27" t="s">
        <v>8763</v>
      </c>
      <c r="O1210" s="6" t="s">
        <v>254</v>
      </c>
      <c r="P1210" s="28"/>
      <c r="Q1210" s="6" t="s">
        <v>67</v>
      </c>
      <c r="R1210" s="6" t="s">
        <v>68</v>
      </c>
      <c r="S1210" s="27" t="s">
        <v>8764</v>
      </c>
      <c r="T1210" s="6" t="s">
        <v>6138</v>
      </c>
      <c r="U1210" s="7" t="n">
        <v>4</v>
      </c>
      <c r="V1210" s="7" t="n">
        <v>4</v>
      </c>
      <c r="W1210" s="8" t="s">
        <v>8751</v>
      </c>
      <c r="X1210" s="8" t="s">
        <v>8751</v>
      </c>
      <c r="Y1210" s="8" t="s">
        <v>6113</v>
      </c>
      <c r="Z1210" s="8" t="s">
        <v>6113</v>
      </c>
      <c r="AA1210" s="7" t="n">
        <v>150</v>
      </c>
      <c r="AB1210" s="7" t="n">
        <v>129</v>
      </c>
      <c r="AC1210" s="7" t="n">
        <v>144</v>
      </c>
      <c r="AD1210" s="7" t="n">
        <v>3</v>
      </c>
      <c r="AE1210" s="7" t="n">
        <v>3</v>
      </c>
      <c r="AF1210" s="7" t="n">
        <v>6</v>
      </c>
      <c r="AG1210" s="7" t="n">
        <v>6</v>
      </c>
      <c r="AH1210" s="7" t="n">
        <v>0</v>
      </c>
      <c r="AI1210" s="7" t="n">
        <v>0</v>
      </c>
      <c r="AJ1210" s="7" t="n">
        <v>2</v>
      </c>
      <c r="AK1210" s="7" t="n">
        <v>2</v>
      </c>
      <c r="AL1210" s="7" t="n">
        <v>3</v>
      </c>
      <c r="AM1210" s="7" t="n">
        <v>3</v>
      </c>
      <c r="AN1210" s="7" t="n">
        <v>2</v>
      </c>
      <c r="AO1210" s="7" t="n">
        <v>2</v>
      </c>
      <c r="AP1210" s="7" t="n">
        <v>0</v>
      </c>
      <c r="AQ1210" s="7" t="n">
        <v>0</v>
      </c>
      <c r="AR1210" s="6" t="s">
        <v>63</v>
      </c>
      <c r="AS1210" s="6" t="s">
        <v>57</v>
      </c>
      <c r="AT1210" s="9" t="str">
        <f aca="false">HYPERLINK("http://catalog.hathitrust.org/Record/006854096","HathiTrust Record")</f>
        <v>HathiTrust Record</v>
      </c>
      <c r="AU1210" s="9" t="str">
        <f aca="false">HYPERLINK("https://creighton-primo.hosted.exlibrisgroup.com/primo-explore/search?tab=default_tab&amp;search_scope=EVERYTHING&amp;vid=01CRU&amp;lang=en_US&amp;offset=0&amp;query=any,contains,991003066329702656","Catalog Record")</f>
        <v>Catalog Record</v>
      </c>
      <c r="AV1210" s="9" t="str">
        <f aca="false">HYPERLINK("http://www.worldcat.org/oclc/622497","WorldCat Record")</f>
        <v>WorldCat Record</v>
      </c>
      <c r="AW1210" s="6" t="s">
        <v>8765</v>
      </c>
      <c r="AX1210" s="6" t="s">
        <v>8766</v>
      </c>
      <c r="AY1210" s="6" t="s">
        <v>8767</v>
      </c>
      <c r="AZ1210" s="6" t="s">
        <v>8767</v>
      </c>
      <c r="BA1210" s="6" t="s">
        <v>8768</v>
      </c>
      <c r="BB1210" s="6" t="s">
        <v>8769</v>
      </c>
      <c r="BC1210" s="6" t="s">
        <v>8770</v>
      </c>
      <c r="BE1210" s="15" t="s">
        <v>2145</v>
      </c>
      <c r="BF1210" s="6" t="s">
        <v>8771</v>
      </c>
    </row>
    <row r="1211" customFormat="false" ht="163" hidden="false" customHeight="false" outlineLevel="0" collapsed="false">
      <c r="A1211" s="26" t="s">
        <v>63</v>
      </c>
      <c r="B1211" s="27" t="s">
        <v>2129</v>
      </c>
      <c r="C1211" s="27" t="s">
        <v>2130</v>
      </c>
      <c r="D1211" s="27" t="s">
        <v>8772</v>
      </c>
      <c r="E1211" s="27" t="s">
        <v>8773</v>
      </c>
      <c r="F1211" s="27" t="s">
        <v>8774</v>
      </c>
      <c r="G1211" s="28"/>
      <c r="H1211" s="6" t="s">
        <v>63</v>
      </c>
      <c r="I1211" s="6" t="s">
        <v>62</v>
      </c>
      <c r="J1211" s="6" t="s">
        <v>63</v>
      </c>
      <c r="K1211" s="6" t="s">
        <v>63</v>
      </c>
      <c r="L1211" s="6" t="s">
        <v>64</v>
      </c>
      <c r="M1211" s="27" t="s">
        <v>8775</v>
      </c>
      <c r="N1211" s="27" t="s">
        <v>8776</v>
      </c>
      <c r="O1211" s="6" t="s">
        <v>2426</v>
      </c>
      <c r="P1211" s="28"/>
      <c r="Q1211" s="6" t="s">
        <v>67</v>
      </c>
      <c r="R1211" s="6" t="s">
        <v>68</v>
      </c>
      <c r="S1211" s="28"/>
      <c r="T1211" s="6" t="s">
        <v>6138</v>
      </c>
      <c r="U1211" s="7" t="n">
        <v>3</v>
      </c>
      <c r="V1211" s="7" t="n">
        <v>3</v>
      </c>
      <c r="W1211" s="8" t="s">
        <v>8751</v>
      </c>
      <c r="X1211" s="8" t="s">
        <v>8751</v>
      </c>
      <c r="Y1211" s="8" t="s">
        <v>6113</v>
      </c>
      <c r="Z1211" s="8" t="s">
        <v>6113</v>
      </c>
      <c r="AA1211" s="7" t="n">
        <v>108</v>
      </c>
      <c r="AB1211" s="7" t="n">
        <v>83</v>
      </c>
      <c r="AC1211" s="7" t="n">
        <v>199</v>
      </c>
      <c r="AD1211" s="7" t="n">
        <v>2</v>
      </c>
      <c r="AE1211" s="7" t="n">
        <v>4</v>
      </c>
      <c r="AF1211" s="7" t="n">
        <v>6</v>
      </c>
      <c r="AG1211" s="7" t="n">
        <v>11</v>
      </c>
      <c r="AH1211" s="7" t="n">
        <v>0</v>
      </c>
      <c r="AI1211" s="7" t="n">
        <v>2</v>
      </c>
      <c r="AJ1211" s="7" t="n">
        <v>4</v>
      </c>
      <c r="AK1211" s="7" t="n">
        <v>6</v>
      </c>
      <c r="AL1211" s="7" t="n">
        <v>3</v>
      </c>
      <c r="AM1211" s="7" t="n">
        <v>4</v>
      </c>
      <c r="AN1211" s="7" t="n">
        <v>1</v>
      </c>
      <c r="AO1211" s="7" t="n">
        <v>2</v>
      </c>
      <c r="AP1211" s="7" t="n">
        <v>0</v>
      </c>
      <c r="AQ1211" s="7" t="n">
        <v>0</v>
      </c>
      <c r="AR1211" s="6" t="s">
        <v>63</v>
      </c>
      <c r="AS1211" s="6" t="s">
        <v>63</v>
      </c>
      <c r="AT1211" s="28"/>
      <c r="AU1211" s="9" t="str">
        <f aca="false">HYPERLINK("https://creighton-primo.hosted.exlibrisgroup.com/primo-explore/search?tab=default_tab&amp;search_scope=EVERYTHING&amp;vid=01CRU&amp;lang=en_US&amp;offset=0&amp;query=any,contains,991003551469702656","Catalog Record")</f>
        <v>Catalog Record</v>
      </c>
      <c r="AV1211" s="9" t="str">
        <f aca="false">HYPERLINK("http://www.worldcat.org/oclc/1119652","WorldCat Record")</f>
        <v>WorldCat Record</v>
      </c>
      <c r="AW1211" s="6" t="s">
        <v>8777</v>
      </c>
      <c r="AX1211" s="6" t="s">
        <v>8778</v>
      </c>
      <c r="AY1211" s="6" t="s">
        <v>8779</v>
      </c>
      <c r="AZ1211" s="6" t="s">
        <v>8779</v>
      </c>
      <c r="BA1211" s="6" t="s">
        <v>8780</v>
      </c>
      <c r="BB1211" s="6" t="s">
        <v>8781</v>
      </c>
      <c r="BC1211" s="6" t="s">
        <v>8782</v>
      </c>
      <c r="BE1211" s="15" t="s">
        <v>2145</v>
      </c>
      <c r="BF1211" s="6" t="s">
        <v>8783</v>
      </c>
    </row>
    <row r="1212" customFormat="false" ht="59.5" hidden="false" customHeight="false" outlineLevel="0" collapsed="false">
      <c r="A1212" s="26" t="s">
        <v>63</v>
      </c>
      <c r="B1212" s="27" t="s">
        <v>2129</v>
      </c>
      <c r="C1212" s="27" t="s">
        <v>2130</v>
      </c>
      <c r="D1212" s="27" t="s">
        <v>8784</v>
      </c>
      <c r="E1212" s="27" t="s">
        <v>8785</v>
      </c>
      <c r="F1212" s="27" t="s">
        <v>8786</v>
      </c>
      <c r="G1212" s="28"/>
      <c r="H1212" s="6" t="s">
        <v>63</v>
      </c>
      <c r="I1212" s="6" t="s">
        <v>62</v>
      </c>
      <c r="J1212" s="6" t="s">
        <v>63</v>
      </c>
      <c r="K1212" s="6" t="s">
        <v>63</v>
      </c>
      <c r="L1212" s="6" t="s">
        <v>64</v>
      </c>
      <c r="M1212" s="27" t="s">
        <v>8787</v>
      </c>
      <c r="N1212" s="27" t="s">
        <v>8788</v>
      </c>
      <c r="O1212" s="6" t="s">
        <v>108</v>
      </c>
      <c r="P1212" s="28"/>
      <c r="Q1212" s="6" t="s">
        <v>67</v>
      </c>
      <c r="R1212" s="6" t="s">
        <v>222</v>
      </c>
      <c r="S1212" s="27" t="s">
        <v>8789</v>
      </c>
      <c r="T1212" s="6" t="s">
        <v>6138</v>
      </c>
      <c r="U1212" s="7" t="n">
        <v>5</v>
      </c>
      <c r="V1212" s="7" t="n">
        <v>5</v>
      </c>
      <c r="W1212" s="8" t="s">
        <v>8751</v>
      </c>
      <c r="X1212" s="8" t="s">
        <v>8751</v>
      </c>
      <c r="Y1212" s="8" t="s">
        <v>6113</v>
      </c>
      <c r="Z1212" s="8" t="s">
        <v>6113</v>
      </c>
      <c r="AA1212" s="7" t="n">
        <v>752</v>
      </c>
      <c r="AB1212" s="7" t="n">
        <v>657</v>
      </c>
      <c r="AC1212" s="7" t="n">
        <v>664</v>
      </c>
      <c r="AD1212" s="7" t="n">
        <v>6</v>
      </c>
      <c r="AE1212" s="7" t="n">
        <v>6</v>
      </c>
      <c r="AF1212" s="7" t="n">
        <v>29</v>
      </c>
      <c r="AG1212" s="7" t="n">
        <v>29</v>
      </c>
      <c r="AH1212" s="7" t="n">
        <v>11</v>
      </c>
      <c r="AI1212" s="7" t="n">
        <v>11</v>
      </c>
      <c r="AJ1212" s="7" t="n">
        <v>8</v>
      </c>
      <c r="AK1212" s="7" t="n">
        <v>8</v>
      </c>
      <c r="AL1212" s="7" t="n">
        <v>14</v>
      </c>
      <c r="AM1212" s="7" t="n">
        <v>14</v>
      </c>
      <c r="AN1212" s="7" t="n">
        <v>4</v>
      </c>
      <c r="AO1212" s="7" t="n">
        <v>4</v>
      </c>
      <c r="AP1212" s="7" t="n">
        <v>0</v>
      </c>
      <c r="AQ1212" s="7" t="n">
        <v>0</v>
      </c>
      <c r="AR1212" s="6" t="s">
        <v>63</v>
      </c>
      <c r="AS1212" s="6" t="s">
        <v>57</v>
      </c>
      <c r="AT1212" s="9" t="str">
        <f aca="false">HYPERLINK("http://catalog.hathitrust.org/Record/000092944","HathiTrust Record")</f>
        <v>HathiTrust Record</v>
      </c>
      <c r="AU1212" s="9" t="str">
        <f aca="false">HYPERLINK("https://creighton-primo.hosted.exlibrisgroup.com/primo-explore/search?tab=default_tab&amp;search_scope=EVERYTHING&amp;vid=01CRU&amp;lang=en_US&amp;offset=0&amp;query=any,contains,991004488209702656","Catalog Record")</f>
        <v>Catalog Record</v>
      </c>
      <c r="AV1212" s="9" t="str">
        <f aca="false">HYPERLINK("http://www.worldcat.org/oclc/3650123","WorldCat Record")</f>
        <v>WorldCat Record</v>
      </c>
      <c r="AW1212" s="6" t="s">
        <v>8790</v>
      </c>
      <c r="AX1212" s="6" t="s">
        <v>8791</v>
      </c>
      <c r="AY1212" s="6" t="s">
        <v>8792</v>
      </c>
      <c r="AZ1212" s="6" t="s">
        <v>8792</v>
      </c>
      <c r="BA1212" s="6" t="s">
        <v>8793</v>
      </c>
      <c r="BB1212" s="6" t="s">
        <v>8794</v>
      </c>
      <c r="BC1212" s="6" t="s">
        <v>8795</v>
      </c>
      <c r="BE1212" s="15" t="s">
        <v>2145</v>
      </c>
      <c r="BF1212" s="6" t="s">
        <v>8796</v>
      </c>
    </row>
    <row r="1213" customFormat="false" ht="117" hidden="false" customHeight="false" outlineLevel="0" collapsed="false">
      <c r="A1213" s="26" t="s">
        <v>63</v>
      </c>
      <c r="B1213" s="27" t="s">
        <v>2129</v>
      </c>
      <c r="C1213" s="27" t="s">
        <v>2130</v>
      </c>
      <c r="D1213" s="27" t="s">
        <v>8797</v>
      </c>
      <c r="E1213" s="27" t="s">
        <v>8798</v>
      </c>
      <c r="F1213" s="27" t="s">
        <v>8799</v>
      </c>
      <c r="G1213" s="28"/>
      <c r="H1213" s="6" t="s">
        <v>63</v>
      </c>
      <c r="I1213" s="6" t="s">
        <v>62</v>
      </c>
      <c r="J1213" s="6" t="s">
        <v>63</v>
      </c>
      <c r="K1213" s="6" t="s">
        <v>63</v>
      </c>
      <c r="L1213" s="6" t="s">
        <v>64</v>
      </c>
      <c r="M1213" s="27" t="s">
        <v>8800</v>
      </c>
      <c r="N1213" s="27" t="s">
        <v>8801</v>
      </c>
      <c r="O1213" s="6" t="s">
        <v>3919</v>
      </c>
      <c r="P1213" s="28"/>
      <c r="Q1213" s="6" t="s">
        <v>67</v>
      </c>
      <c r="R1213" s="6" t="s">
        <v>181</v>
      </c>
      <c r="S1213" s="28"/>
      <c r="T1213" s="6" t="s">
        <v>6138</v>
      </c>
      <c r="U1213" s="7" t="n">
        <v>4</v>
      </c>
      <c r="V1213" s="7" t="n">
        <v>4</v>
      </c>
      <c r="W1213" s="8" t="s">
        <v>8802</v>
      </c>
      <c r="X1213" s="8" t="s">
        <v>8802</v>
      </c>
      <c r="Y1213" s="8" t="s">
        <v>6113</v>
      </c>
      <c r="Z1213" s="8" t="s">
        <v>6113</v>
      </c>
      <c r="AA1213" s="7" t="n">
        <v>852</v>
      </c>
      <c r="AB1213" s="7" t="n">
        <v>739</v>
      </c>
      <c r="AC1213" s="7" t="n">
        <v>855</v>
      </c>
      <c r="AD1213" s="7" t="n">
        <v>7</v>
      </c>
      <c r="AE1213" s="7" t="n">
        <v>7</v>
      </c>
      <c r="AF1213" s="7" t="n">
        <v>39</v>
      </c>
      <c r="AG1213" s="7" t="n">
        <v>44</v>
      </c>
      <c r="AH1213" s="7" t="n">
        <v>15</v>
      </c>
      <c r="AI1213" s="7" t="n">
        <v>18</v>
      </c>
      <c r="AJ1213" s="7" t="n">
        <v>7</v>
      </c>
      <c r="AK1213" s="7" t="n">
        <v>8</v>
      </c>
      <c r="AL1213" s="7" t="n">
        <v>20</v>
      </c>
      <c r="AM1213" s="7" t="n">
        <v>25</v>
      </c>
      <c r="AN1213" s="7" t="n">
        <v>5</v>
      </c>
      <c r="AO1213" s="7" t="n">
        <v>5</v>
      </c>
      <c r="AP1213" s="7" t="n">
        <v>0</v>
      </c>
      <c r="AQ1213" s="7" t="n">
        <v>0</v>
      </c>
      <c r="AR1213" s="6" t="s">
        <v>63</v>
      </c>
      <c r="AS1213" s="6" t="s">
        <v>63</v>
      </c>
      <c r="AT1213" s="9" t="str">
        <f aca="false">HYPERLINK("http://catalog.hathitrust.org/Record/001384234","HathiTrust Record")</f>
        <v>HathiTrust Record</v>
      </c>
      <c r="AU1213" s="9" t="str">
        <f aca="false">HYPERLINK("https://creighton-primo.hosted.exlibrisgroup.com/primo-explore/search?tab=default_tab&amp;search_scope=EVERYTHING&amp;vid=01CRU&amp;lang=en_US&amp;offset=0&amp;query=any,contains,991003695089702656","Catalog Record")</f>
        <v>Catalog Record</v>
      </c>
      <c r="AV1213" s="9" t="str">
        <f aca="false">HYPERLINK("http://www.worldcat.org/oclc/1327025","WorldCat Record")</f>
        <v>WorldCat Record</v>
      </c>
      <c r="AW1213" s="6" t="s">
        <v>8803</v>
      </c>
      <c r="AX1213" s="6" t="s">
        <v>8804</v>
      </c>
      <c r="AY1213" s="6" t="s">
        <v>8805</v>
      </c>
      <c r="AZ1213" s="6" t="s">
        <v>8805</v>
      </c>
      <c r="BA1213" s="6" t="s">
        <v>8806</v>
      </c>
      <c r="BB1213" s="28"/>
      <c r="BC1213" s="6" t="s">
        <v>8807</v>
      </c>
      <c r="BE1213" s="15" t="s">
        <v>2145</v>
      </c>
      <c r="BF1213" s="6" t="s">
        <v>8808</v>
      </c>
    </row>
    <row r="1214" customFormat="false" ht="94" hidden="false" customHeight="false" outlineLevel="0" collapsed="false">
      <c r="A1214" s="26" t="s">
        <v>63</v>
      </c>
      <c r="B1214" s="27" t="s">
        <v>2129</v>
      </c>
      <c r="C1214" s="27" t="s">
        <v>2130</v>
      </c>
      <c r="D1214" s="27" t="s">
        <v>8809</v>
      </c>
      <c r="E1214" s="27" t="s">
        <v>8810</v>
      </c>
      <c r="F1214" s="27" t="s">
        <v>8811</v>
      </c>
      <c r="G1214" s="28"/>
      <c r="H1214" s="6" t="s">
        <v>63</v>
      </c>
      <c r="I1214" s="6" t="s">
        <v>62</v>
      </c>
      <c r="J1214" s="6" t="s">
        <v>63</v>
      </c>
      <c r="K1214" s="6" t="s">
        <v>63</v>
      </c>
      <c r="L1214" s="6" t="s">
        <v>64</v>
      </c>
      <c r="M1214" s="27" t="s">
        <v>8812</v>
      </c>
      <c r="N1214" s="27" t="s">
        <v>8813</v>
      </c>
      <c r="O1214" s="6" t="s">
        <v>122</v>
      </c>
      <c r="P1214" s="27" t="s">
        <v>4594</v>
      </c>
      <c r="Q1214" s="6" t="s">
        <v>67</v>
      </c>
      <c r="R1214" s="6" t="s">
        <v>123</v>
      </c>
      <c r="S1214" s="28"/>
      <c r="T1214" s="6" t="s">
        <v>6138</v>
      </c>
      <c r="U1214" s="7" t="n">
        <v>4</v>
      </c>
      <c r="V1214" s="7" t="n">
        <v>4</v>
      </c>
      <c r="W1214" s="8" t="s">
        <v>8814</v>
      </c>
      <c r="X1214" s="8" t="s">
        <v>8814</v>
      </c>
      <c r="Y1214" s="8" t="s">
        <v>6113</v>
      </c>
      <c r="Z1214" s="8" t="s">
        <v>6113</v>
      </c>
      <c r="AA1214" s="7" t="n">
        <v>545</v>
      </c>
      <c r="AB1214" s="7" t="n">
        <v>452</v>
      </c>
      <c r="AC1214" s="7" t="n">
        <v>609</v>
      </c>
      <c r="AD1214" s="7" t="n">
        <v>4</v>
      </c>
      <c r="AE1214" s="7" t="n">
        <v>5</v>
      </c>
      <c r="AF1214" s="7" t="n">
        <v>27</v>
      </c>
      <c r="AG1214" s="7" t="n">
        <v>34</v>
      </c>
      <c r="AH1214" s="7" t="n">
        <v>11</v>
      </c>
      <c r="AI1214" s="7" t="n">
        <v>12</v>
      </c>
      <c r="AJ1214" s="7" t="n">
        <v>4</v>
      </c>
      <c r="AK1214" s="7" t="n">
        <v>7</v>
      </c>
      <c r="AL1214" s="7" t="n">
        <v>17</v>
      </c>
      <c r="AM1214" s="7" t="n">
        <v>21</v>
      </c>
      <c r="AN1214" s="7" t="n">
        <v>3</v>
      </c>
      <c r="AO1214" s="7" t="n">
        <v>4</v>
      </c>
      <c r="AP1214" s="7" t="n">
        <v>0</v>
      </c>
      <c r="AQ1214" s="7" t="n">
        <v>0</v>
      </c>
      <c r="AR1214" s="6" t="s">
        <v>63</v>
      </c>
      <c r="AS1214" s="6" t="s">
        <v>63</v>
      </c>
      <c r="AT1214" s="28"/>
      <c r="AU1214" s="9" t="str">
        <f aca="false">HYPERLINK("https://creighton-primo.hosted.exlibrisgroup.com/primo-explore/search?tab=default_tab&amp;search_scope=EVERYTHING&amp;vid=01CRU&amp;lang=en_US&amp;offset=0&amp;query=any,contains,991002566939702656","Catalog Record")</f>
        <v>Catalog Record</v>
      </c>
      <c r="AV1214" s="9" t="str">
        <f aca="false">HYPERLINK("http://www.worldcat.org/oclc/372784","WorldCat Record")</f>
        <v>WorldCat Record</v>
      </c>
      <c r="AW1214" s="6" t="s">
        <v>8815</v>
      </c>
      <c r="AX1214" s="6" t="s">
        <v>8816</v>
      </c>
      <c r="AY1214" s="6" t="s">
        <v>8817</v>
      </c>
      <c r="AZ1214" s="6" t="s">
        <v>8817</v>
      </c>
      <c r="BA1214" s="6" t="s">
        <v>8818</v>
      </c>
      <c r="BB1214" s="28"/>
      <c r="BC1214" s="6" t="s">
        <v>8819</v>
      </c>
      <c r="BE1214" s="15" t="s">
        <v>2145</v>
      </c>
      <c r="BF1214" s="6" t="s">
        <v>8820</v>
      </c>
    </row>
    <row r="1215" customFormat="false" ht="71" hidden="false" customHeight="false" outlineLevel="0" collapsed="false">
      <c r="A1215" s="26" t="s">
        <v>63</v>
      </c>
      <c r="B1215" s="27" t="s">
        <v>2129</v>
      </c>
      <c r="C1215" s="27" t="s">
        <v>2130</v>
      </c>
      <c r="D1215" s="27" t="s">
        <v>8821</v>
      </c>
      <c r="E1215" s="27" t="s">
        <v>8822</v>
      </c>
      <c r="F1215" s="27" t="s">
        <v>8823</v>
      </c>
      <c r="G1215" s="28"/>
      <c r="H1215" s="6" t="s">
        <v>63</v>
      </c>
      <c r="I1215" s="6" t="s">
        <v>62</v>
      </c>
      <c r="J1215" s="6" t="s">
        <v>63</v>
      </c>
      <c r="K1215" s="6" t="s">
        <v>63</v>
      </c>
      <c r="L1215" s="6" t="s">
        <v>64</v>
      </c>
      <c r="M1215" s="27" t="s">
        <v>8824</v>
      </c>
      <c r="N1215" s="27" t="s">
        <v>8825</v>
      </c>
      <c r="O1215" s="6" t="s">
        <v>2329</v>
      </c>
      <c r="P1215" s="28"/>
      <c r="Q1215" s="6" t="s">
        <v>67</v>
      </c>
      <c r="R1215" s="6" t="s">
        <v>68</v>
      </c>
      <c r="S1215" s="28"/>
      <c r="T1215" s="6" t="s">
        <v>6138</v>
      </c>
      <c r="U1215" s="7" t="n">
        <v>2</v>
      </c>
      <c r="V1215" s="7" t="n">
        <v>2</v>
      </c>
      <c r="W1215" s="8" t="s">
        <v>8802</v>
      </c>
      <c r="X1215" s="8" t="s">
        <v>8802</v>
      </c>
      <c r="Y1215" s="8" t="s">
        <v>6113</v>
      </c>
      <c r="Z1215" s="8" t="s">
        <v>6113</v>
      </c>
      <c r="AA1215" s="7" t="n">
        <v>528</v>
      </c>
      <c r="AB1215" s="7" t="n">
        <v>453</v>
      </c>
      <c r="AC1215" s="7" t="n">
        <v>630</v>
      </c>
      <c r="AD1215" s="7" t="n">
        <v>4</v>
      </c>
      <c r="AE1215" s="7" t="n">
        <v>6</v>
      </c>
      <c r="AF1215" s="7" t="n">
        <v>21</v>
      </c>
      <c r="AG1215" s="7" t="n">
        <v>33</v>
      </c>
      <c r="AH1215" s="7" t="n">
        <v>8</v>
      </c>
      <c r="AI1215" s="7" t="n">
        <v>12</v>
      </c>
      <c r="AJ1215" s="7" t="n">
        <v>4</v>
      </c>
      <c r="AK1215" s="7" t="n">
        <v>7</v>
      </c>
      <c r="AL1215" s="7" t="n">
        <v>11</v>
      </c>
      <c r="AM1215" s="7" t="n">
        <v>20</v>
      </c>
      <c r="AN1215" s="7" t="n">
        <v>3</v>
      </c>
      <c r="AO1215" s="7" t="n">
        <v>4</v>
      </c>
      <c r="AP1215" s="7" t="n">
        <v>0</v>
      </c>
      <c r="AQ1215" s="7" t="n">
        <v>0</v>
      </c>
      <c r="AR1215" s="6" t="s">
        <v>63</v>
      </c>
      <c r="AS1215" s="6" t="s">
        <v>63</v>
      </c>
      <c r="AT1215" s="9" t="str">
        <f aca="false">HYPERLINK("http://catalog.hathitrust.org/Record/004461856","HathiTrust Record")</f>
        <v>HathiTrust Record</v>
      </c>
      <c r="AU1215" s="9" t="str">
        <f aca="false">HYPERLINK("https://creighton-primo.hosted.exlibrisgroup.com/primo-explore/search?tab=default_tab&amp;search_scope=EVERYTHING&amp;vid=01CRU&amp;lang=en_US&amp;offset=0&amp;query=any,contains,991002566199702656","Catalog Record")</f>
        <v>Catalog Record</v>
      </c>
      <c r="AV1215" s="9" t="str">
        <f aca="false">HYPERLINK("http://www.worldcat.org/oclc/372709","WorldCat Record")</f>
        <v>WorldCat Record</v>
      </c>
      <c r="AW1215" s="6" t="s">
        <v>8826</v>
      </c>
      <c r="AX1215" s="6" t="s">
        <v>8827</v>
      </c>
      <c r="AY1215" s="6" t="s">
        <v>8828</v>
      </c>
      <c r="AZ1215" s="6" t="s">
        <v>8828</v>
      </c>
      <c r="BA1215" s="6" t="s">
        <v>8829</v>
      </c>
      <c r="BB1215" s="28"/>
      <c r="BC1215" s="6" t="s">
        <v>8830</v>
      </c>
      <c r="BE1215" s="15" t="s">
        <v>2145</v>
      </c>
      <c r="BF1215" s="6" t="s">
        <v>8831</v>
      </c>
    </row>
    <row r="1216" customFormat="false" ht="82.5" hidden="false" customHeight="false" outlineLevel="0" collapsed="false">
      <c r="A1216" s="26" t="s">
        <v>63</v>
      </c>
      <c r="B1216" s="27" t="s">
        <v>2129</v>
      </c>
      <c r="C1216" s="27" t="s">
        <v>2130</v>
      </c>
      <c r="D1216" s="27" t="s">
        <v>8832</v>
      </c>
      <c r="E1216" s="27" t="s">
        <v>8833</v>
      </c>
      <c r="F1216" s="27" t="s">
        <v>8834</v>
      </c>
      <c r="G1216" s="28"/>
      <c r="H1216" s="6" t="s">
        <v>63</v>
      </c>
      <c r="I1216" s="6" t="s">
        <v>62</v>
      </c>
      <c r="J1216" s="6" t="s">
        <v>63</v>
      </c>
      <c r="K1216" s="6" t="s">
        <v>63</v>
      </c>
      <c r="L1216" s="6" t="s">
        <v>64</v>
      </c>
      <c r="M1216" s="27" t="s">
        <v>8835</v>
      </c>
      <c r="N1216" s="27" t="s">
        <v>8836</v>
      </c>
      <c r="O1216" s="6" t="s">
        <v>3029</v>
      </c>
      <c r="P1216" s="28"/>
      <c r="Q1216" s="6" t="s">
        <v>67</v>
      </c>
      <c r="R1216" s="6" t="s">
        <v>1108</v>
      </c>
      <c r="S1216" s="27" t="s">
        <v>8837</v>
      </c>
      <c r="T1216" s="6" t="s">
        <v>6138</v>
      </c>
      <c r="U1216" s="7" t="n">
        <v>3</v>
      </c>
      <c r="V1216" s="7" t="n">
        <v>3</v>
      </c>
      <c r="W1216" s="8" t="s">
        <v>8838</v>
      </c>
      <c r="X1216" s="8" t="s">
        <v>8838</v>
      </c>
      <c r="Y1216" s="8" t="s">
        <v>6113</v>
      </c>
      <c r="Z1216" s="8" t="s">
        <v>6113</v>
      </c>
      <c r="AA1216" s="7" t="n">
        <v>692</v>
      </c>
      <c r="AB1216" s="7" t="n">
        <v>607</v>
      </c>
      <c r="AC1216" s="7" t="n">
        <v>649</v>
      </c>
      <c r="AD1216" s="7" t="n">
        <v>2</v>
      </c>
      <c r="AE1216" s="7" t="n">
        <v>2</v>
      </c>
      <c r="AF1216" s="7" t="n">
        <v>30</v>
      </c>
      <c r="AG1216" s="7" t="n">
        <v>31</v>
      </c>
      <c r="AH1216" s="7" t="n">
        <v>12</v>
      </c>
      <c r="AI1216" s="7" t="n">
        <v>13</v>
      </c>
      <c r="AJ1216" s="7" t="n">
        <v>6</v>
      </c>
      <c r="AK1216" s="7" t="n">
        <v>6</v>
      </c>
      <c r="AL1216" s="7" t="n">
        <v>19</v>
      </c>
      <c r="AM1216" s="7" t="n">
        <v>20</v>
      </c>
      <c r="AN1216" s="7" t="n">
        <v>1</v>
      </c>
      <c r="AO1216" s="7" t="n">
        <v>1</v>
      </c>
      <c r="AP1216" s="7" t="n">
        <v>1</v>
      </c>
      <c r="AQ1216" s="7" t="n">
        <v>1</v>
      </c>
      <c r="AR1216" s="6" t="s">
        <v>63</v>
      </c>
      <c r="AS1216" s="6" t="s">
        <v>63</v>
      </c>
      <c r="AT1216" s="9" t="str">
        <f aca="false">HYPERLINK("http://catalog.hathitrust.org/Record/001384247","HathiTrust Record")</f>
        <v>HathiTrust Record</v>
      </c>
      <c r="AU1216" s="9" t="str">
        <f aca="false">HYPERLINK("https://creighton-primo.hosted.exlibrisgroup.com/primo-explore/search?tab=default_tab&amp;search_scope=EVERYTHING&amp;vid=01CRU&amp;lang=en_US&amp;offset=0&amp;query=any,contains,991002566259702656","Catalog Record")</f>
        <v>Catalog Record</v>
      </c>
      <c r="AV1216" s="9" t="str">
        <f aca="false">HYPERLINK("http://www.worldcat.org/oclc/372711","WorldCat Record")</f>
        <v>WorldCat Record</v>
      </c>
      <c r="AW1216" s="6" t="s">
        <v>8839</v>
      </c>
      <c r="AX1216" s="6" t="s">
        <v>8840</v>
      </c>
      <c r="AY1216" s="6" t="s">
        <v>8841</v>
      </c>
      <c r="AZ1216" s="6" t="s">
        <v>8841</v>
      </c>
      <c r="BA1216" s="6" t="s">
        <v>8842</v>
      </c>
      <c r="BB1216" s="28"/>
      <c r="BC1216" s="6" t="s">
        <v>8843</v>
      </c>
      <c r="BE1216" s="15" t="s">
        <v>2145</v>
      </c>
      <c r="BF1216" s="6" t="s">
        <v>8844</v>
      </c>
    </row>
    <row r="1217" customFormat="false" ht="94" hidden="false" customHeight="false" outlineLevel="0" collapsed="false">
      <c r="A1217" s="26" t="s">
        <v>63</v>
      </c>
      <c r="B1217" s="27" t="s">
        <v>2129</v>
      </c>
      <c r="C1217" s="27" t="s">
        <v>2130</v>
      </c>
      <c r="D1217" s="27" t="s">
        <v>8845</v>
      </c>
      <c r="E1217" s="27" t="s">
        <v>8846</v>
      </c>
      <c r="F1217" s="27" t="s">
        <v>8847</v>
      </c>
      <c r="G1217" s="28"/>
      <c r="H1217" s="6" t="s">
        <v>63</v>
      </c>
      <c r="I1217" s="6" t="s">
        <v>62</v>
      </c>
      <c r="J1217" s="6" t="s">
        <v>63</v>
      </c>
      <c r="K1217" s="6" t="s">
        <v>63</v>
      </c>
      <c r="L1217" s="6" t="s">
        <v>64</v>
      </c>
      <c r="M1217" s="27" t="s">
        <v>8848</v>
      </c>
      <c r="N1217" s="27" t="s">
        <v>8849</v>
      </c>
      <c r="O1217" s="6" t="s">
        <v>167</v>
      </c>
      <c r="P1217" s="28"/>
      <c r="Q1217" s="6" t="s">
        <v>67</v>
      </c>
      <c r="R1217" s="6" t="s">
        <v>123</v>
      </c>
      <c r="S1217" s="28"/>
      <c r="T1217" s="6" t="s">
        <v>6138</v>
      </c>
      <c r="U1217" s="7" t="n">
        <v>3</v>
      </c>
      <c r="V1217" s="7" t="n">
        <v>3</v>
      </c>
      <c r="W1217" s="8" t="s">
        <v>8850</v>
      </c>
      <c r="X1217" s="8" t="s">
        <v>8850</v>
      </c>
      <c r="Y1217" s="8" t="s">
        <v>5377</v>
      </c>
      <c r="Z1217" s="8" t="s">
        <v>5377</v>
      </c>
      <c r="AA1217" s="7" t="n">
        <v>81</v>
      </c>
      <c r="AB1217" s="7" t="n">
        <v>78</v>
      </c>
      <c r="AC1217" s="7" t="n">
        <v>852</v>
      </c>
      <c r="AD1217" s="7" t="n">
        <v>1</v>
      </c>
      <c r="AE1217" s="7" t="n">
        <v>7</v>
      </c>
      <c r="AF1217" s="7" t="n">
        <v>4</v>
      </c>
      <c r="AG1217" s="7" t="n">
        <v>47</v>
      </c>
      <c r="AH1217" s="7" t="n">
        <v>0</v>
      </c>
      <c r="AI1217" s="7" t="n">
        <v>19</v>
      </c>
      <c r="AJ1217" s="7" t="n">
        <v>3</v>
      </c>
      <c r="AK1217" s="7" t="n">
        <v>10</v>
      </c>
      <c r="AL1217" s="7" t="n">
        <v>2</v>
      </c>
      <c r="AM1217" s="7" t="n">
        <v>24</v>
      </c>
      <c r="AN1217" s="7" t="n">
        <v>0</v>
      </c>
      <c r="AO1217" s="7" t="n">
        <v>5</v>
      </c>
      <c r="AP1217" s="7" t="n">
        <v>0</v>
      </c>
      <c r="AQ1217" s="7" t="n">
        <v>0</v>
      </c>
      <c r="AR1217" s="6" t="s">
        <v>63</v>
      </c>
      <c r="AS1217" s="6" t="s">
        <v>63</v>
      </c>
      <c r="AT1217" s="28"/>
      <c r="AU1217" s="9" t="str">
        <f aca="false">HYPERLINK("https://creighton-primo.hosted.exlibrisgroup.com/primo-explore/search?tab=default_tab&amp;search_scope=EVERYTHING&amp;vid=01CRU&amp;lang=en_US&amp;offset=0&amp;query=any,contains,991003780699702656","Catalog Record")</f>
        <v>Catalog Record</v>
      </c>
      <c r="AV1217" s="9" t="str">
        <f aca="false">HYPERLINK("http://www.worldcat.org/oclc/1493990","WorldCat Record")</f>
        <v>WorldCat Record</v>
      </c>
      <c r="AW1217" s="6" t="s">
        <v>8851</v>
      </c>
      <c r="AX1217" s="6" t="s">
        <v>8852</v>
      </c>
      <c r="AY1217" s="6" t="s">
        <v>8853</v>
      </c>
      <c r="AZ1217" s="6" t="s">
        <v>8853</v>
      </c>
      <c r="BA1217" s="6" t="s">
        <v>8854</v>
      </c>
      <c r="BB1217" s="28"/>
      <c r="BC1217" s="6" t="s">
        <v>8855</v>
      </c>
      <c r="BE1217" s="15" t="s">
        <v>2145</v>
      </c>
      <c r="BF1217" s="6" t="s">
        <v>8856</v>
      </c>
    </row>
    <row r="1218" customFormat="false" ht="59.5" hidden="false" customHeight="false" outlineLevel="0" collapsed="false">
      <c r="A1218" s="26" t="s">
        <v>63</v>
      </c>
      <c r="B1218" s="27" t="s">
        <v>2129</v>
      </c>
      <c r="C1218" s="27" t="s">
        <v>2130</v>
      </c>
      <c r="D1218" s="27" t="s">
        <v>8857</v>
      </c>
      <c r="E1218" s="27" t="s">
        <v>8858</v>
      </c>
      <c r="F1218" s="27" t="s">
        <v>8859</v>
      </c>
      <c r="G1218" s="28"/>
      <c r="H1218" s="6" t="s">
        <v>63</v>
      </c>
      <c r="I1218" s="6" t="s">
        <v>62</v>
      </c>
      <c r="J1218" s="6" t="s">
        <v>63</v>
      </c>
      <c r="K1218" s="6" t="s">
        <v>63</v>
      </c>
      <c r="L1218" s="6" t="s">
        <v>64</v>
      </c>
      <c r="M1218" s="27" t="s">
        <v>8860</v>
      </c>
      <c r="N1218" s="27" t="s">
        <v>8861</v>
      </c>
      <c r="O1218" s="6" t="s">
        <v>2329</v>
      </c>
      <c r="P1218" s="28"/>
      <c r="Q1218" s="6" t="s">
        <v>67</v>
      </c>
      <c r="R1218" s="6" t="s">
        <v>1224</v>
      </c>
      <c r="S1218" s="28"/>
      <c r="T1218" s="6" t="s">
        <v>6138</v>
      </c>
      <c r="U1218" s="7" t="n">
        <v>2</v>
      </c>
      <c r="V1218" s="7" t="n">
        <v>2</v>
      </c>
      <c r="W1218" s="8" t="s">
        <v>8838</v>
      </c>
      <c r="X1218" s="8" t="s">
        <v>8838</v>
      </c>
      <c r="Y1218" s="8" t="s">
        <v>5377</v>
      </c>
      <c r="Z1218" s="8" t="s">
        <v>5377</v>
      </c>
      <c r="AA1218" s="7" t="n">
        <v>1117</v>
      </c>
      <c r="AB1218" s="7" t="n">
        <v>981</v>
      </c>
      <c r="AC1218" s="7" t="n">
        <v>1130</v>
      </c>
      <c r="AD1218" s="7" t="n">
        <v>8</v>
      </c>
      <c r="AE1218" s="7" t="n">
        <v>10</v>
      </c>
      <c r="AF1218" s="7" t="n">
        <v>46</v>
      </c>
      <c r="AG1218" s="7" t="n">
        <v>52</v>
      </c>
      <c r="AH1218" s="7" t="n">
        <v>18</v>
      </c>
      <c r="AI1218" s="7" t="n">
        <v>21</v>
      </c>
      <c r="AJ1218" s="7" t="n">
        <v>9</v>
      </c>
      <c r="AK1218" s="7" t="n">
        <v>9</v>
      </c>
      <c r="AL1218" s="7" t="n">
        <v>26</v>
      </c>
      <c r="AM1218" s="7" t="n">
        <v>26</v>
      </c>
      <c r="AN1218" s="7" t="n">
        <v>6</v>
      </c>
      <c r="AO1218" s="7" t="n">
        <v>8</v>
      </c>
      <c r="AP1218" s="7" t="n">
        <v>0</v>
      </c>
      <c r="AQ1218" s="7" t="n">
        <v>1</v>
      </c>
      <c r="AR1218" s="6" t="s">
        <v>63</v>
      </c>
      <c r="AS1218" s="6" t="s">
        <v>63</v>
      </c>
      <c r="AT1218" s="9" t="str">
        <f aca="false">HYPERLINK("http://catalog.hathitrust.org/Record/001384251","HathiTrust Record")</f>
        <v>HathiTrust Record</v>
      </c>
      <c r="AU1218" s="9" t="str">
        <f aca="false">HYPERLINK("https://creighton-primo.hosted.exlibrisgroup.com/primo-explore/search?tab=default_tab&amp;search_scope=EVERYTHING&amp;vid=01CRU&amp;lang=en_US&amp;offset=0&amp;query=any,contains,991001820359702656","Catalog Record")</f>
        <v>Catalog Record</v>
      </c>
      <c r="AV1218" s="9" t="str">
        <f aca="false">HYPERLINK("http://www.worldcat.org/oclc/237187","WorldCat Record")</f>
        <v>WorldCat Record</v>
      </c>
      <c r="AW1218" s="6" t="s">
        <v>8862</v>
      </c>
      <c r="AX1218" s="6" t="s">
        <v>8863</v>
      </c>
      <c r="AY1218" s="6" t="s">
        <v>8864</v>
      </c>
      <c r="AZ1218" s="6" t="s">
        <v>8864</v>
      </c>
      <c r="BA1218" s="6" t="s">
        <v>8865</v>
      </c>
      <c r="BB1218" s="28"/>
      <c r="BC1218" s="6" t="s">
        <v>8866</v>
      </c>
      <c r="BE1218" s="15" t="s">
        <v>2145</v>
      </c>
      <c r="BF1218" s="6" t="s">
        <v>8867</v>
      </c>
    </row>
    <row r="1219" customFormat="false" ht="186" hidden="false" customHeight="false" outlineLevel="0" collapsed="false">
      <c r="A1219" s="26" t="s">
        <v>63</v>
      </c>
      <c r="B1219" s="27" t="s">
        <v>2129</v>
      </c>
      <c r="C1219" s="27" t="s">
        <v>2130</v>
      </c>
      <c r="D1219" s="27" t="s">
        <v>8868</v>
      </c>
      <c r="E1219" s="27" t="s">
        <v>8869</v>
      </c>
      <c r="F1219" s="27" t="s">
        <v>8870</v>
      </c>
      <c r="G1219" s="28"/>
      <c r="H1219" s="6" t="s">
        <v>63</v>
      </c>
      <c r="I1219" s="6" t="s">
        <v>62</v>
      </c>
      <c r="J1219" s="6" t="s">
        <v>63</v>
      </c>
      <c r="K1219" s="6" t="s">
        <v>63</v>
      </c>
      <c r="L1219" s="6" t="s">
        <v>64</v>
      </c>
      <c r="M1219" s="27" t="s">
        <v>8871</v>
      </c>
      <c r="N1219" s="27" t="s">
        <v>8872</v>
      </c>
      <c r="O1219" s="6" t="s">
        <v>3301</v>
      </c>
      <c r="P1219" s="28"/>
      <c r="Q1219" s="6" t="s">
        <v>67</v>
      </c>
      <c r="R1219" s="6" t="s">
        <v>68</v>
      </c>
      <c r="S1219" s="27" t="s">
        <v>8873</v>
      </c>
      <c r="T1219" s="6" t="s">
        <v>6138</v>
      </c>
      <c r="U1219" s="7" t="n">
        <v>4</v>
      </c>
      <c r="V1219" s="7" t="n">
        <v>4</v>
      </c>
      <c r="W1219" s="8" t="s">
        <v>6392</v>
      </c>
      <c r="X1219" s="8" t="s">
        <v>6392</v>
      </c>
      <c r="Y1219" s="8" t="s">
        <v>5377</v>
      </c>
      <c r="Z1219" s="8" t="s">
        <v>5377</v>
      </c>
      <c r="AA1219" s="7" t="n">
        <v>375</v>
      </c>
      <c r="AB1219" s="7" t="n">
        <v>324</v>
      </c>
      <c r="AC1219" s="7" t="n">
        <v>328</v>
      </c>
      <c r="AD1219" s="7" t="n">
        <v>2</v>
      </c>
      <c r="AE1219" s="7" t="n">
        <v>2</v>
      </c>
      <c r="AF1219" s="7" t="n">
        <v>19</v>
      </c>
      <c r="AG1219" s="7" t="n">
        <v>19</v>
      </c>
      <c r="AH1219" s="7" t="n">
        <v>4</v>
      </c>
      <c r="AI1219" s="7" t="n">
        <v>4</v>
      </c>
      <c r="AJ1219" s="7" t="n">
        <v>6</v>
      </c>
      <c r="AK1219" s="7" t="n">
        <v>6</v>
      </c>
      <c r="AL1219" s="7" t="n">
        <v>15</v>
      </c>
      <c r="AM1219" s="7" t="n">
        <v>15</v>
      </c>
      <c r="AN1219" s="7" t="n">
        <v>1</v>
      </c>
      <c r="AO1219" s="7" t="n">
        <v>1</v>
      </c>
      <c r="AP1219" s="7" t="n">
        <v>0</v>
      </c>
      <c r="AQ1219" s="7" t="n">
        <v>0</v>
      </c>
      <c r="AR1219" s="6" t="s">
        <v>63</v>
      </c>
      <c r="AS1219" s="6" t="s">
        <v>63</v>
      </c>
      <c r="AT1219" s="28"/>
      <c r="AU1219" s="9" t="str">
        <f aca="false">HYPERLINK("https://creighton-primo.hosted.exlibrisgroup.com/primo-explore/search?tab=default_tab&amp;search_scope=EVERYTHING&amp;vid=01CRU&amp;lang=en_US&amp;offset=0&amp;query=any,contains,991005147369702656","Catalog Record")</f>
        <v>Catalog Record</v>
      </c>
      <c r="AV1219" s="9" t="str">
        <f aca="false">HYPERLINK("http://www.worldcat.org/oclc/7672200","WorldCat Record")</f>
        <v>WorldCat Record</v>
      </c>
      <c r="AW1219" s="6" t="s">
        <v>8874</v>
      </c>
      <c r="AX1219" s="6" t="s">
        <v>8875</v>
      </c>
      <c r="AY1219" s="6" t="s">
        <v>8876</v>
      </c>
      <c r="AZ1219" s="6" t="s">
        <v>8876</v>
      </c>
      <c r="BA1219" s="6" t="s">
        <v>8877</v>
      </c>
      <c r="BB1219" s="6" t="s">
        <v>8878</v>
      </c>
      <c r="BC1219" s="6" t="s">
        <v>8879</v>
      </c>
      <c r="BE1219" s="15" t="s">
        <v>2145</v>
      </c>
      <c r="BF1219" s="6" t="s">
        <v>8880</v>
      </c>
    </row>
    <row r="1220" customFormat="false" ht="117" hidden="false" customHeight="false" outlineLevel="0" collapsed="false">
      <c r="A1220" s="26" t="s">
        <v>63</v>
      </c>
      <c r="B1220" s="27" t="s">
        <v>2129</v>
      </c>
      <c r="C1220" s="27" t="s">
        <v>2130</v>
      </c>
      <c r="D1220" s="27" t="s">
        <v>8881</v>
      </c>
      <c r="E1220" s="27" t="s">
        <v>8882</v>
      </c>
      <c r="F1220" s="27" t="s">
        <v>8883</v>
      </c>
      <c r="G1220" s="28"/>
      <c r="H1220" s="6" t="s">
        <v>63</v>
      </c>
      <c r="I1220" s="6" t="s">
        <v>62</v>
      </c>
      <c r="J1220" s="6" t="s">
        <v>63</v>
      </c>
      <c r="K1220" s="6" t="s">
        <v>63</v>
      </c>
      <c r="L1220" s="6" t="s">
        <v>64</v>
      </c>
      <c r="M1220" s="27" t="s">
        <v>8884</v>
      </c>
      <c r="N1220" s="27" t="s">
        <v>4819</v>
      </c>
      <c r="O1220" s="6" t="s">
        <v>2467</v>
      </c>
      <c r="P1220" s="28"/>
      <c r="Q1220" s="6" t="s">
        <v>67</v>
      </c>
      <c r="R1220" s="6" t="s">
        <v>1059</v>
      </c>
      <c r="S1220" s="28"/>
      <c r="T1220" s="6" t="s">
        <v>6138</v>
      </c>
      <c r="U1220" s="7" t="n">
        <v>1</v>
      </c>
      <c r="V1220" s="7" t="n">
        <v>1</v>
      </c>
      <c r="W1220" s="8" t="s">
        <v>8885</v>
      </c>
      <c r="X1220" s="8" t="s">
        <v>8885</v>
      </c>
      <c r="Y1220" s="8" t="s">
        <v>5377</v>
      </c>
      <c r="Z1220" s="8" t="s">
        <v>5377</v>
      </c>
      <c r="AA1220" s="7" t="n">
        <v>622</v>
      </c>
      <c r="AB1220" s="7" t="n">
        <v>544</v>
      </c>
      <c r="AC1220" s="7" t="n">
        <v>552</v>
      </c>
      <c r="AD1220" s="7" t="n">
        <v>3</v>
      </c>
      <c r="AE1220" s="7" t="n">
        <v>3</v>
      </c>
      <c r="AF1220" s="7" t="n">
        <v>28</v>
      </c>
      <c r="AG1220" s="7" t="n">
        <v>28</v>
      </c>
      <c r="AH1220" s="7" t="n">
        <v>11</v>
      </c>
      <c r="AI1220" s="7" t="n">
        <v>11</v>
      </c>
      <c r="AJ1220" s="7" t="n">
        <v>8</v>
      </c>
      <c r="AK1220" s="7" t="n">
        <v>8</v>
      </c>
      <c r="AL1220" s="7" t="n">
        <v>18</v>
      </c>
      <c r="AM1220" s="7" t="n">
        <v>18</v>
      </c>
      <c r="AN1220" s="7" t="n">
        <v>1</v>
      </c>
      <c r="AO1220" s="7" t="n">
        <v>1</v>
      </c>
      <c r="AP1220" s="7" t="n">
        <v>0</v>
      </c>
      <c r="AQ1220" s="7" t="n">
        <v>0</v>
      </c>
      <c r="AR1220" s="6" t="s">
        <v>63</v>
      </c>
      <c r="AS1220" s="6" t="s">
        <v>57</v>
      </c>
      <c r="AT1220" s="9" t="str">
        <f aca="false">HYPERLINK("http://catalog.hathitrust.org/Record/001384257","HathiTrust Record")</f>
        <v>HathiTrust Record</v>
      </c>
      <c r="AU1220" s="9" t="str">
        <f aca="false">HYPERLINK("https://creighton-primo.hosted.exlibrisgroup.com/primo-explore/search?tab=default_tab&amp;search_scope=EVERYTHING&amp;vid=01CRU&amp;lang=en_US&amp;offset=0&amp;query=any,contains,991003263359702656","Catalog Record")</f>
        <v>Catalog Record</v>
      </c>
      <c r="AV1220" s="9" t="str">
        <f aca="false">HYPERLINK("http://www.worldcat.org/oclc/789528","WorldCat Record")</f>
        <v>WorldCat Record</v>
      </c>
      <c r="AW1220" s="6" t="s">
        <v>8886</v>
      </c>
      <c r="AX1220" s="6" t="s">
        <v>8887</v>
      </c>
      <c r="AY1220" s="6" t="s">
        <v>8888</v>
      </c>
      <c r="AZ1220" s="6" t="s">
        <v>8888</v>
      </c>
      <c r="BA1220" s="6" t="s">
        <v>8889</v>
      </c>
      <c r="BB1220" s="28"/>
      <c r="BC1220" s="6" t="s">
        <v>8890</v>
      </c>
      <c r="BE1220" s="15" t="s">
        <v>2145</v>
      </c>
      <c r="BF1220" s="6" t="s">
        <v>8891</v>
      </c>
    </row>
    <row r="1221" customFormat="false" ht="243.5" hidden="false" customHeight="false" outlineLevel="0" collapsed="false">
      <c r="A1221" s="26" t="s">
        <v>63</v>
      </c>
      <c r="B1221" s="27" t="s">
        <v>2129</v>
      </c>
      <c r="C1221" s="27" t="s">
        <v>2130</v>
      </c>
      <c r="D1221" s="27" t="s">
        <v>8892</v>
      </c>
      <c r="E1221" s="27" t="s">
        <v>8893</v>
      </c>
      <c r="F1221" s="27" t="s">
        <v>8894</v>
      </c>
      <c r="G1221" s="28"/>
      <c r="H1221" s="6" t="s">
        <v>63</v>
      </c>
      <c r="I1221" s="6" t="s">
        <v>62</v>
      </c>
      <c r="J1221" s="6" t="s">
        <v>63</v>
      </c>
      <c r="K1221" s="6" t="s">
        <v>63</v>
      </c>
      <c r="L1221" s="6" t="s">
        <v>64</v>
      </c>
      <c r="M1221" s="27" t="s">
        <v>8895</v>
      </c>
      <c r="N1221" s="27" t="s">
        <v>8896</v>
      </c>
      <c r="O1221" s="6" t="s">
        <v>264</v>
      </c>
      <c r="P1221" s="28"/>
      <c r="Q1221" s="6" t="s">
        <v>67</v>
      </c>
      <c r="R1221" s="6" t="s">
        <v>181</v>
      </c>
      <c r="S1221" s="28"/>
      <c r="T1221" s="6" t="s">
        <v>6138</v>
      </c>
      <c r="U1221" s="7" t="n">
        <v>2</v>
      </c>
      <c r="V1221" s="7" t="n">
        <v>2</v>
      </c>
      <c r="W1221" s="8" t="s">
        <v>8838</v>
      </c>
      <c r="X1221" s="8" t="s">
        <v>8838</v>
      </c>
      <c r="Y1221" s="8" t="s">
        <v>5377</v>
      </c>
      <c r="Z1221" s="8" t="s">
        <v>5377</v>
      </c>
      <c r="AA1221" s="7" t="n">
        <v>241</v>
      </c>
      <c r="AB1221" s="7" t="n">
        <v>213</v>
      </c>
      <c r="AC1221" s="7" t="n">
        <v>497</v>
      </c>
      <c r="AD1221" s="7" t="n">
        <v>2</v>
      </c>
      <c r="AE1221" s="7" t="n">
        <v>3</v>
      </c>
      <c r="AF1221" s="7" t="n">
        <v>15</v>
      </c>
      <c r="AG1221" s="7" t="n">
        <v>25</v>
      </c>
      <c r="AH1221" s="7" t="n">
        <v>6</v>
      </c>
      <c r="AI1221" s="7" t="n">
        <v>9</v>
      </c>
      <c r="AJ1221" s="7" t="n">
        <v>3</v>
      </c>
      <c r="AK1221" s="7" t="n">
        <v>6</v>
      </c>
      <c r="AL1221" s="7" t="n">
        <v>11</v>
      </c>
      <c r="AM1221" s="7" t="n">
        <v>17</v>
      </c>
      <c r="AN1221" s="7" t="n">
        <v>1</v>
      </c>
      <c r="AO1221" s="7" t="n">
        <v>2</v>
      </c>
      <c r="AP1221" s="7" t="n">
        <v>0</v>
      </c>
      <c r="AQ1221" s="7" t="n">
        <v>0</v>
      </c>
      <c r="AR1221" s="6" t="s">
        <v>63</v>
      </c>
      <c r="AS1221" s="6" t="s">
        <v>63</v>
      </c>
      <c r="AT1221" s="28"/>
      <c r="AU1221" s="9" t="str">
        <f aca="false">HYPERLINK("https://creighton-primo.hosted.exlibrisgroup.com/primo-explore/search?tab=default_tab&amp;search_scope=EVERYTHING&amp;vid=01CRU&amp;lang=en_US&amp;offset=0&amp;query=any,contains,991000209559702656","Catalog Record")</f>
        <v>Catalog Record</v>
      </c>
      <c r="AV1221" s="9" t="str">
        <f aca="false">HYPERLINK("http://www.worldcat.org/oclc/66115","WorldCat Record")</f>
        <v>WorldCat Record</v>
      </c>
      <c r="AW1221" s="6" t="s">
        <v>8897</v>
      </c>
      <c r="AX1221" s="6" t="s">
        <v>8898</v>
      </c>
      <c r="AY1221" s="6" t="s">
        <v>8899</v>
      </c>
      <c r="AZ1221" s="6" t="s">
        <v>8899</v>
      </c>
      <c r="BA1221" s="6" t="s">
        <v>8900</v>
      </c>
      <c r="BB1221" s="6" t="s">
        <v>8901</v>
      </c>
      <c r="BC1221" s="6" t="s">
        <v>8902</v>
      </c>
      <c r="BE1221" s="15" t="s">
        <v>2145</v>
      </c>
      <c r="BF1221" s="6" t="s">
        <v>8903</v>
      </c>
    </row>
    <row r="1222" customFormat="false" ht="128.5" hidden="false" customHeight="false" outlineLevel="0" collapsed="false">
      <c r="A1222" s="26" t="s">
        <v>63</v>
      </c>
      <c r="B1222" s="27" t="s">
        <v>2129</v>
      </c>
      <c r="C1222" s="27" t="s">
        <v>2130</v>
      </c>
      <c r="D1222" s="27" t="s">
        <v>8904</v>
      </c>
      <c r="E1222" s="27" t="s">
        <v>8905</v>
      </c>
      <c r="F1222" s="27" t="s">
        <v>8906</v>
      </c>
      <c r="G1222" s="28"/>
      <c r="H1222" s="6" t="s">
        <v>63</v>
      </c>
      <c r="I1222" s="6" t="s">
        <v>62</v>
      </c>
      <c r="J1222" s="6" t="s">
        <v>63</v>
      </c>
      <c r="K1222" s="6" t="s">
        <v>63</v>
      </c>
      <c r="L1222" s="6" t="s">
        <v>64</v>
      </c>
      <c r="M1222" s="27" t="s">
        <v>8907</v>
      </c>
      <c r="N1222" s="27" t="s">
        <v>8908</v>
      </c>
      <c r="O1222" s="6" t="s">
        <v>2975</v>
      </c>
      <c r="P1222" s="28"/>
      <c r="Q1222" s="6" t="s">
        <v>67</v>
      </c>
      <c r="R1222" s="6" t="s">
        <v>4707</v>
      </c>
      <c r="S1222" s="28"/>
      <c r="T1222" s="6" t="s">
        <v>6138</v>
      </c>
      <c r="U1222" s="7" t="n">
        <v>1</v>
      </c>
      <c r="V1222" s="7" t="n">
        <v>1</v>
      </c>
      <c r="W1222" s="8" t="s">
        <v>8802</v>
      </c>
      <c r="X1222" s="8" t="s">
        <v>8802</v>
      </c>
      <c r="Y1222" s="8" t="s">
        <v>5377</v>
      </c>
      <c r="Z1222" s="8" t="s">
        <v>5377</v>
      </c>
      <c r="AA1222" s="7" t="n">
        <v>132</v>
      </c>
      <c r="AB1222" s="7" t="n">
        <v>116</v>
      </c>
      <c r="AC1222" s="7" t="n">
        <v>118</v>
      </c>
      <c r="AD1222" s="7" t="n">
        <v>2</v>
      </c>
      <c r="AE1222" s="7" t="n">
        <v>2</v>
      </c>
      <c r="AF1222" s="7" t="n">
        <v>7</v>
      </c>
      <c r="AG1222" s="7" t="n">
        <v>7</v>
      </c>
      <c r="AH1222" s="7" t="n">
        <v>4</v>
      </c>
      <c r="AI1222" s="7" t="n">
        <v>4</v>
      </c>
      <c r="AJ1222" s="7" t="n">
        <v>1</v>
      </c>
      <c r="AK1222" s="7" t="n">
        <v>1</v>
      </c>
      <c r="AL1222" s="7" t="n">
        <v>3</v>
      </c>
      <c r="AM1222" s="7" t="n">
        <v>3</v>
      </c>
      <c r="AN1222" s="7" t="n">
        <v>1</v>
      </c>
      <c r="AO1222" s="7" t="n">
        <v>1</v>
      </c>
      <c r="AP1222" s="7" t="n">
        <v>0</v>
      </c>
      <c r="AQ1222" s="7" t="n">
        <v>0</v>
      </c>
      <c r="AR1222" s="6" t="s">
        <v>63</v>
      </c>
      <c r="AS1222" s="6" t="s">
        <v>63</v>
      </c>
      <c r="AT1222" s="28"/>
      <c r="AU1222" s="9" t="str">
        <f aca="false">HYPERLINK("https://creighton-primo.hosted.exlibrisgroup.com/primo-explore/search?tab=default_tab&amp;search_scope=EVERYTHING&amp;vid=01CRU&amp;lang=en_US&amp;offset=0&amp;query=any,contains,991000634629702656","Catalog Record")</f>
        <v>Catalog Record</v>
      </c>
      <c r="AV1222" s="9" t="str">
        <f aca="false">HYPERLINK("http://www.worldcat.org/oclc/107184","WorldCat Record")</f>
        <v>WorldCat Record</v>
      </c>
      <c r="AW1222" s="6" t="s">
        <v>8909</v>
      </c>
      <c r="AX1222" s="6" t="s">
        <v>8910</v>
      </c>
      <c r="AY1222" s="6" t="s">
        <v>8911</v>
      </c>
      <c r="AZ1222" s="6" t="s">
        <v>8911</v>
      </c>
      <c r="BA1222" s="6" t="s">
        <v>8912</v>
      </c>
      <c r="BB1222" s="28"/>
      <c r="BC1222" s="6" t="s">
        <v>8913</v>
      </c>
      <c r="BE1222" s="15" t="s">
        <v>2145</v>
      </c>
      <c r="BF1222" s="6" t="s">
        <v>8914</v>
      </c>
    </row>
    <row r="1223" customFormat="false" ht="220.5" hidden="false" customHeight="false" outlineLevel="0" collapsed="false">
      <c r="A1223" s="26" t="s">
        <v>63</v>
      </c>
      <c r="B1223" s="27" t="s">
        <v>2129</v>
      </c>
      <c r="C1223" s="27" t="s">
        <v>2130</v>
      </c>
      <c r="D1223" s="27" t="s">
        <v>8915</v>
      </c>
      <c r="E1223" s="27" t="s">
        <v>8916</v>
      </c>
      <c r="F1223" s="27" t="s">
        <v>8917</v>
      </c>
      <c r="G1223" s="28"/>
      <c r="H1223" s="6" t="s">
        <v>63</v>
      </c>
      <c r="I1223" s="6" t="s">
        <v>62</v>
      </c>
      <c r="J1223" s="6" t="s">
        <v>63</v>
      </c>
      <c r="K1223" s="6" t="s">
        <v>63</v>
      </c>
      <c r="L1223" s="6" t="s">
        <v>64</v>
      </c>
      <c r="M1223" s="27" t="s">
        <v>8918</v>
      </c>
      <c r="N1223" s="27" t="s">
        <v>8919</v>
      </c>
      <c r="O1223" s="6" t="s">
        <v>8920</v>
      </c>
      <c r="P1223" s="27" t="s">
        <v>8921</v>
      </c>
      <c r="Q1223" s="6" t="s">
        <v>67</v>
      </c>
      <c r="R1223" s="6" t="s">
        <v>68</v>
      </c>
      <c r="S1223" s="28"/>
      <c r="T1223" s="6" t="s">
        <v>6138</v>
      </c>
      <c r="U1223" s="7" t="n">
        <v>1</v>
      </c>
      <c r="V1223" s="7" t="n">
        <v>1</v>
      </c>
      <c r="W1223" s="8" t="s">
        <v>8922</v>
      </c>
      <c r="X1223" s="8" t="s">
        <v>8922</v>
      </c>
      <c r="Y1223" s="8" t="s">
        <v>5377</v>
      </c>
      <c r="Z1223" s="8" t="s">
        <v>5377</v>
      </c>
      <c r="AA1223" s="7" t="n">
        <v>576</v>
      </c>
      <c r="AB1223" s="7" t="n">
        <v>526</v>
      </c>
      <c r="AC1223" s="7" t="n">
        <v>1033</v>
      </c>
      <c r="AD1223" s="7" t="n">
        <v>3</v>
      </c>
      <c r="AE1223" s="7" t="n">
        <v>5</v>
      </c>
      <c r="AF1223" s="7" t="n">
        <v>23</v>
      </c>
      <c r="AG1223" s="7" t="n">
        <v>44</v>
      </c>
      <c r="AH1223" s="7" t="n">
        <v>7</v>
      </c>
      <c r="AI1223" s="7" t="n">
        <v>17</v>
      </c>
      <c r="AJ1223" s="7" t="n">
        <v>6</v>
      </c>
      <c r="AK1223" s="7" t="n">
        <v>10</v>
      </c>
      <c r="AL1223" s="7" t="n">
        <v>13</v>
      </c>
      <c r="AM1223" s="7" t="n">
        <v>24</v>
      </c>
      <c r="AN1223" s="7" t="n">
        <v>2</v>
      </c>
      <c r="AO1223" s="7" t="n">
        <v>2</v>
      </c>
      <c r="AP1223" s="7" t="n">
        <v>2</v>
      </c>
      <c r="AQ1223" s="7" t="n">
        <v>2</v>
      </c>
      <c r="AR1223" s="6" t="s">
        <v>63</v>
      </c>
      <c r="AS1223" s="6" t="s">
        <v>63</v>
      </c>
      <c r="AT1223" s="9" t="str">
        <f aca="false">HYPERLINK("http://catalog.hathitrust.org/Record/001395988","HathiTrust Record")</f>
        <v>HathiTrust Record</v>
      </c>
      <c r="AU1223" s="9" t="str">
        <f aca="false">HYPERLINK("https://creighton-primo.hosted.exlibrisgroup.com/primo-explore/search?tab=default_tab&amp;search_scope=EVERYTHING&amp;vid=01CRU&amp;lang=en_US&amp;offset=0&amp;query=any,contains,991003623749702656","Catalog Record")</f>
        <v>Catalog Record</v>
      </c>
      <c r="AV1223" s="9" t="str">
        <f aca="false">HYPERLINK("http://www.worldcat.org/oclc/1213328","WorldCat Record")</f>
        <v>WorldCat Record</v>
      </c>
      <c r="AW1223" s="6" t="s">
        <v>8923</v>
      </c>
      <c r="AX1223" s="6" t="s">
        <v>8924</v>
      </c>
      <c r="AY1223" s="6" t="s">
        <v>8925</v>
      </c>
      <c r="AZ1223" s="6" t="s">
        <v>8925</v>
      </c>
      <c r="BA1223" s="6" t="s">
        <v>8926</v>
      </c>
      <c r="BB1223" s="28"/>
      <c r="BC1223" s="6" t="s">
        <v>8927</v>
      </c>
      <c r="BE1223" s="15" t="s">
        <v>2145</v>
      </c>
      <c r="BF1223" s="6" t="s">
        <v>8928</v>
      </c>
    </row>
    <row r="1224" customFormat="false" ht="128.5" hidden="false" customHeight="false" outlineLevel="0" collapsed="false">
      <c r="A1224" s="26" t="s">
        <v>63</v>
      </c>
      <c r="B1224" s="27" t="s">
        <v>2129</v>
      </c>
      <c r="C1224" s="27" t="s">
        <v>2130</v>
      </c>
      <c r="D1224" s="27" t="s">
        <v>8929</v>
      </c>
      <c r="E1224" s="27" t="s">
        <v>8930</v>
      </c>
      <c r="F1224" s="27" t="s">
        <v>8931</v>
      </c>
      <c r="G1224" s="28"/>
      <c r="H1224" s="6" t="s">
        <v>63</v>
      </c>
      <c r="I1224" s="6" t="s">
        <v>62</v>
      </c>
      <c r="J1224" s="6" t="s">
        <v>63</v>
      </c>
      <c r="K1224" s="6" t="s">
        <v>63</v>
      </c>
      <c r="L1224" s="6" t="s">
        <v>64</v>
      </c>
      <c r="M1224" s="28"/>
      <c r="N1224" s="27" t="s">
        <v>8932</v>
      </c>
      <c r="O1224" s="6" t="s">
        <v>221</v>
      </c>
      <c r="P1224" s="28"/>
      <c r="Q1224" s="6" t="s">
        <v>67</v>
      </c>
      <c r="R1224" s="6" t="s">
        <v>68</v>
      </c>
      <c r="S1224" s="28"/>
      <c r="T1224" s="6" t="s">
        <v>6138</v>
      </c>
      <c r="U1224" s="7" t="n">
        <v>3</v>
      </c>
      <c r="V1224" s="7" t="n">
        <v>3</v>
      </c>
      <c r="W1224" s="8" t="s">
        <v>8933</v>
      </c>
      <c r="X1224" s="8" t="s">
        <v>8933</v>
      </c>
      <c r="Y1224" s="8" t="s">
        <v>5377</v>
      </c>
      <c r="Z1224" s="8" t="s">
        <v>5377</v>
      </c>
      <c r="AA1224" s="7" t="n">
        <v>463</v>
      </c>
      <c r="AB1224" s="7" t="n">
        <v>390</v>
      </c>
      <c r="AC1224" s="7" t="n">
        <v>391</v>
      </c>
      <c r="AD1224" s="7" t="n">
        <v>4</v>
      </c>
      <c r="AE1224" s="7" t="n">
        <v>4</v>
      </c>
      <c r="AF1224" s="7" t="n">
        <v>26</v>
      </c>
      <c r="AG1224" s="7" t="n">
        <v>26</v>
      </c>
      <c r="AH1224" s="7" t="n">
        <v>9</v>
      </c>
      <c r="AI1224" s="7" t="n">
        <v>9</v>
      </c>
      <c r="AJ1224" s="7" t="n">
        <v>8</v>
      </c>
      <c r="AK1224" s="7" t="n">
        <v>8</v>
      </c>
      <c r="AL1224" s="7" t="n">
        <v>16</v>
      </c>
      <c r="AM1224" s="7" t="n">
        <v>16</v>
      </c>
      <c r="AN1224" s="7" t="n">
        <v>3</v>
      </c>
      <c r="AO1224" s="7" t="n">
        <v>3</v>
      </c>
      <c r="AP1224" s="7" t="n">
        <v>0</v>
      </c>
      <c r="AQ1224" s="7" t="n">
        <v>0</v>
      </c>
      <c r="AR1224" s="6" t="s">
        <v>63</v>
      </c>
      <c r="AS1224" s="6" t="s">
        <v>63</v>
      </c>
      <c r="AT1224" s="28"/>
      <c r="AU1224" s="9" t="str">
        <f aca="false">HYPERLINK("https://creighton-primo.hosted.exlibrisgroup.com/primo-explore/search?tab=default_tab&amp;search_scope=EVERYTHING&amp;vid=01CRU&amp;lang=en_US&amp;offset=0&amp;query=any,contains,991000357359702656","Catalog Record")</f>
        <v>Catalog Record</v>
      </c>
      <c r="AV1224" s="9" t="str">
        <f aca="false">HYPERLINK("http://www.worldcat.org/oclc/10345367","WorldCat Record")</f>
        <v>WorldCat Record</v>
      </c>
      <c r="AW1224" s="6" t="s">
        <v>8934</v>
      </c>
      <c r="AX1224" s="6" t="s">
        <v>8935</v>
      </c>
      <c r="AY1224" s="6" t="s">
        <v>8936</v>
      </c>
      <c r="AZ1224" s="6" t="s">
        <v>8936</v>
      </c>
      <c r="BA1224" s="6" t="s">
        <v>8937</v>
      </c>
      <c r="BB1224" s="6" t="s">
        <v>8938</v>
      </c>
      <c r="BC1224" s="6" t="s">
        <v>8939</v>
      </c>
      <c r="BE1224" s="15" t="s">
        <v>2145</v>
      </c>
      <c r="BF1224" s="6" t="s">
        <v>8940</v>
      </c>
    </row>
    <row r="1225" customFormat="false" ht="82.5" hidden="false" customHeight="false" outlineLevel="0" collapsed="false">
      <c r="A1225" s="26" t="s">
        <v>63</v>
      </c>
      <c r="B1225" s="27" t="s">
        <v>2129</v>
      </c>
      <c r="C1225" s="27" t="s">
        <v>2130</v>
      </c>
      <c r="D1225" s="27" t="s">
        <v>8941</v>
      </c>
      <c r="E1225" s="27" t="s">
        <v>8942</v>
      </c>
      <c r="F1225" s="27" t="s">
        <v>8943</v>
      </c>
      <c r="G1225" s="28"/>
      <c r="H1225" s="6" t="s">
        <v>63</v>
      </c>
      <c r="I1225" s="6" t="s">
        <v>62</v>
      </c>
      <c r="J1225" s="6" t="s">
        <v>63</v>
      </c>
      <c r="K1225" s="6" t="s">
        <v>63</v>
      </c>
      <c r="L1225" s="6" t="s">
        <v>64</v>
      </c>
      <c r="M1225" s="27" t="s">
        <v>8724</v>
      </c>
      <c r="N1225" s="27" t="s">
        <v>8725</v>
      </c>
      <c r="O1225" s="6" t="s">
        <v>2396</v>
      </c>
      <c r="P1225" s="27" t="s">
        <v>5054</v>
      </c>
      <c r="Q1225" s="6" t="s">
        <v>67</v>
      </c>
      <c r="R1225" s="6" t="s">
        <v>68</v>
      </c>
      <c r="S1225" s="27" t="s">
        <v>8726</v>
      </c>
      <c r="T1225" s="6" t="s">
        <v>6138</v>
      </c>
      <c r="U1225" s="7" t="n">
        <v>3</v>
      </c>
      <c r="V1225" s="7" t="n">
        <v>3</v>
      </c>
      <c r="W1225" s="8" t="s">
        <v>8944</v>
      </c>
      <c r="X1225" s="8" t="s">
        <v>8944</v>
      </c>
      <c r="Y1225" s="8" t="s">
        <v>5377</v>
      </c>
      <c r="Z1225" s="8" t="s">
        <v>5377</v>
      </c>
      <c r="AA1225" s="7" t="n">
        <v>790</v>
      </c>
      <c r="AB1225" s="7" t="n">
        <v>693</v>
      </c>
      <c r="AC1225" s="7" t="n">
        <v>875</v>
      </c>
      <c r="AD1225" s="7" t="n">
        <v>5</v>
      </c>
      <c r="AE1225" s="7" t="n">
        <v>5</v>
      </c>
      <c r="AF1225" s="7" t="n">
        <v>34</v>
      </c>
      <c r="AG1225" s="7" t="n">
        <v>42</v>
      </c>
      <c r="AH1225" s="7" t="n">
        <v>15</v>
      </c>
      <c r="AI1225" s="7" t="n">
        <v>19</v>
      </c>
      <c r="AJ1225" s="7" t="n">
        <v>8</v>
      </c>
      <c r="AK1225" s="7" t="n">
        <v>9</v>
      </c>
      <c r="AL1225" s="7" t="n">
        <v>18</v>
      </c>
      <c r="AM1225" s="7" t="n">
        <v>21</v>
      </c>
      <c r="AN1225" s="7" t="n">
        <v>4</v>
      </c>
      <c r="AO1225" s="7" t="n">
        <v>4</v>
      </c>
      <c r="AP1225" s="7" t="n">
        <v>0</v>
      </c>
      <c r="AQ1225" s="7" t="n">
        <v>1</v>
      </c>
      <c r="AR1225" s="6" t="s">
        <v>63</v>
      </c>
      <c r="AS1225" s="6" t="s">
        <v>63</v>
      </c>
      <c r="AT1225" s="9" t="str">
        <f aca="false">HYPERLINK("http://catalog.hathitrust.org/Record/001384260","HathiTrust Record")</f>
        <v>HathiTrust Record</v>
      </c>
      <c r="AU1225" s="9" t="str">
        <f aca="false">HYPERLINK("https://creighton-primo.hosted.exlibrisgroup.com/primo-explore/search?tab=default_tab&amp;search_scope=EVERYTHING&amp;vid=01CRU&amp;lang=en_US&amp;offset=0&amp;query=any,contains,991002162229702656","Catalog Record")</f>
        <v>Catalog Record</v>
      </c>
      <c r="AV1225" s="9" t="str">
        <f aca="false">HYPERLINK("http://www.worldcat.org/oclc/274159","WorldCat Record")</f>
        <v>WorldCat Record</v>
      </c>
      <c r="AW1225" s="6" t="s">
        <v>8945</v>
      </c>
      <c r="AX1225" s="6" t="s">
        <v>8946</v>
      </c>
      <c r="AY1225" s="6" t="s">
        <v>8947</v>
      </c>
      <c r="AZ1225" s="6" t="s">
        <v>8947</v>
      </c>
      <c r="BA1225" s="6" t="s">
        <v>8948</v>
      </c>
      <c r="BB1225" s="28"/>
      <c r="BC1225" s="6" t="s">
        <v>8949</v>
      </c>
      <c r="BE1225" s="15" t="s">
        <v>2145</v>
      </c>
      <c r="BF1225" s="6" t="s">
        <v>8950</v>
      </c>
    </row>
    <row r="1226" customFormat="false" ht="128.5" hidden="false" customHeight="false" outlineLevel="0" collapsed="false">
      <c r="A1226" s="26" t="s">
        <v>63</v>
      </c>
      <c r="B1226" s="27" t="s">
        <v>2129</v>
      </c>
      <c r="C1226" s="27" t="s">
        <v>2130</v>
      </c>
      <c r="D1226" s="27" t="s">
        <v>8951</v>
      </c>
      <c r="E1226" s="27" t="s">
        <v>8952</v>
      </c>
      <c r="F1226" s="27" t="s">
        <v>8953</v>
      </c>
      <c r="G1226" s="28"/>
      <c r="H1226" s="6" t="s">
        <v>63</v>
      </c>
      <c r="I1226" s="6" t="s">
        <v>62</v>
      </c>
      <c r="J1226" s="6" t="s">
        <v>63</v>
      </c>
      <c r="K1226" s="6" t="s">
        <v>63</v>
      </c>
      <c r="L1226" s="6" t="s">
        <v>64</v>
      </c>
      <c r="M1226" s="28"/>
      <c r="N1226" s="27" t="s">
        <v>8954</v>
      </c>
      <c r="O1226" s="6" t="s">
        <v>3248</v>
      </c>
      <c r="P1226" s="28"/>
      <c r="Q1226" s="6" t="s">
        <v>67</v>
      </c>
      <c r="R1226" s="6" t="s">
        <v>384</v>
      </c>
      <c r="S1226" s="27" t="s">
        <v>8955</v>
      </c>
      <c r="T1226" s="6" t="s">
        <v>6138</v>
      </c>
      <c r="U1226" s="7" t="n">
        <v>1</v>
      </c>
      <c r="V1226" s="7" t="n">
        <v>1</v>
      </c>
      <c r="W1226" s="8" t="s">
        <v>8956</v>
      </c>
      <c r="X1226" s="8" t="s">
        <v>8956</v>
      </c>
      <c r="Y1226" s="8" t="s">
        <v>6378</v>
      </c>
      <c r="Z1226" s="8" t="s">
        <v>6378</v>
      </c>
      <c r="AA1226" s="7" t="n">
        <v>203</v>
      </c>
      <c r="AB1226" s="7" t="n">
        <v>130</v>
      </c>
      <c r="AC1226" s="7" t="n">
        <v>130</v>
      </c>
      <c r="AD1226" s="7" t="n">
        <v>1</v>
      </c>
      <c r="AE1226" s="7" t="n">
        <v>1</v>
      </c>
      <c r="AF1226" s="7" t="n">
        <v>11</v>
      </c>
      <c r="AG1226" s="7" t="n">
        <v>11</v>
      </c>
      <c r="AH1226" s="7" t="n">
        <v>2</v>
      </c>
      <c r="AI1226" s="7" t="n">
        <v>2</v>
      </c>
      <c r="AJ1226" s="7" t="n">
        <v>5</v>
      </c>
      <c r="AK1226" s="7" t="n">
        <v>5</v>
      </c>
      <c r="AL1226" s="7" t="n">
        <v>7</v>
      </c>
      <c r="AM1226" s="7" t="n">
        <v>7</v>
      </c>
      <c r="AN1226" s="7" t="n">
        <v>0</v>
      </c>
      <c r="AO1226" s="7" t="n">
        <v>0</v>
      </c>
      <c r="AP1226" s="7" t="n">
        <v>0</v>
      </c>
      <c r="AQ1226" s="7" t="n">
        <v>0</v>
      </c>
      <c r="AR1226" s="6" t="s">
        <v>63</v>
      </c>
      <c r="AS1226" s="6" t="s">
        <v>63</v>
      </c>
      <c r="AT1226" s="28"/>
      <c r="AU1226" s="9" t="str">
        <f aca="false">HYPERLINK("https://creighton-primo.hosted.exlibrisgroup.com/primo-explore/search?tab=default_tab&amp;search_scope=EVERYTHING&amp;vid=01CRU&amp;lang=en_US&amp;offset=0&amp;query=any,contains,991002578369702656","Catalog Record")</f>
        <v>Catalog Record</v>
      </c>
      <c r="AV1226" s="9" t="str">
        <f aca="false">HYPERLINK("http://www.worldcat.org/oclc/33667633","WorldCat Record")</f>
        <v>WorldCat Record</v>
      </c>
      <c r="AW1226" s="6" t="s">
        <v>8957</v>
      </c>
      <c r="AX1226" s="6" t="s">
        <v>8958</v>
      </c>
      <c r="AY1226" s="6" t="s">
        <v>8959</v>
      </c>
      <c r="AZ1226" s="6" t="s">
        <v>8959</v>
      </c>
      <c r="BA1226" s="6" t="s">
        <v>8960</v>
      </c>
      <c r="BB1226" s="6" t="s">
        <v>8961</v>
      </c>
      <c r="BC1226" s="6" t="s">
        <v>8962</v>
      </c>
      <c r="BE1226" s="15" t="s">
        <v>2145</v>
      </c>
      <c r="BF1226" s="6" t="s">
        <v>8963</v>
      </c>
    </row>
    <row r="1227" customFormat="false" ht="59.5" hidden="false" customHeight="false" outlineLevel="0" collapsed="false">
      <c r="A1227" s="26" t="s">
        <v>63</v>
      </c>
      <c r="B1227" s="27" t="s">
        <v>2129</v>
      </c>
      <c r="C1227" s="27" t="s">
        <v>2130</v>
      </c>
      <c r="D1227" s="27" t="s">
        <v>8964</v>
      </c>
      <c r="E1227" s="27" t="s">
        <v>8965</v>
      </c>
      <c r="F1227" s="27" t="s">
        <v>8966</v>
      </c>
      <c r="G1227" s="28"/>
      <c r="H1227" s="6" t="s">
        <v>63</v>
      </c>
      <c r="I1227" s="6" t="s">
        <v>62</v>
      </c>
      <c r="J1227" s="6" t="s">
        <v>63</v>
      </c>
      <c r="K1227" s="6" t="s">
        <v>63</v>
      </c>
      <c r="L1227" s="6" t="s">
        <v>64</v>
      </c>
      <c r="M1227" s="27" t="s">
        <v>8967</v>
      </c>
      <c r="N1227" s="27" t="s">
        <v>8968</v>
      </c>
      <c r="O1227" s="6" t="s">
        <v>3094</v>
      </c>
      <c r="P1227" s="28"/>
      <c r="Q1227" s="6" t="s">
        <v>67</v>
      </c>
      <c r="R1227" s="6" t="s">
        <v>1224</v>
      </c>
      <c r="S1227" s="28"/>
      <c r="T1227" s="6" t="s">
        <v>6138</v>
      </c>
      <c r="U1227" s="7" t="n">
        <v>1</v>
      </c>
      <c r="V1227" s="7" t="n">
        <v>1</v>
      </c>
      <c r="W1227" s="8" t="s">
        <v>8969</v>
      </c>
      <c r="X1227" s="8" t="s">
        <v>8969</v>
      </c>
      <c r="Y1227" s="8" t="s">
        <v>7403</v>
      </c>
      <c r="Z1227" s="8" t="s">
        <v>7403</v>
      </c>
      <c r="AA1227" s="7" t="n">
        <v>892</v>
      </c>
      <c r="AB1227" s="7" t="n">
        <v>772</v>
      </c>
      <c r="AC1227" s="7" t="n">
        <v>863</v>
      </c>
      <c r="AD1227" s="7" t="n">
        <v>6</v>
      </c>
      <c r="AE1227" s="7" t="n">
        <v>8</v>
      </c>
      <c r="AF1227" s="7" t="n">
        <v>39</v>
      </c>
      <c r="AG1227" s="7" t="n">
        <v>44</v>
      </c>
      <c r="AH1227" s="7" t="n">
        <v>14</v>
      </c>
      <c r="AI1227" s="7" t="n">
        <v>17</v>
      </c>
      <c r="AJ1227" s="7" t="n">
        <v>8</v>
      </c>
      <c r="AK1227" s="7" t="n">
        <v>9</v>
      </c>
      <c r="AL1227" s="7" t="n">
        <v>24</v>
      </c>
      <c r="AM1227" s="7" t="n">
        <v>24</v>
      </c>
      <c r="AN1227" s="7" t="n">
        <v>4</v>
      </c>
      <c r="AO1227" s="7" t="n">
        <v>6</v>
      </c>
      <c r="AP1227" s="7" t="n">
        <v>0</v>
      </c>
      <c r="AQ1227" s="7" t="n">
        <v>0</v>
      </c>
      <c r="AR1227" s="6" t="s">
        <v>63</v>
      </c>
      <c r="AS1227" s="6" t="s">
        <v>57</v>
      </c>
      <c r="AT1227" s="9" t="str">
        <f aca="false">HYPERLINK("http://catalog.hathitrust.org/Record/001380443","HathiTrust Record")</f>
        <v>HathiTrust Record</v>
      </c>
      <c r="AU1227" s="9" t="str">
        <f aca="false">HYPERLINK("https://creighton-primo.hosted.exlibrisgroup.com/primo-explore/search?tab=default_tab&amp;search_scope=EVERYTHING&amp;vid=01CRU&amp;lang=en_US&amp;offset=0&amp;query=any,contains,991002545939702656","Catalog Record")</f>
        <v>Catalog Record</v>
      </c>
      <c r="AV1227" s="9" t="str">
        <f aca="false">HYPERLINK("http://www.worldcat.org/oclc/368889","WorldCat Record")</f>
        <v>WorldCat Record</v>
      </c>
      <c r="AW1227" s="6" t="s">
        <v>8970</v>
      </c>
      <c r="AX1227" s="6" t="s">
        <v>8971</v>
      </c>
      <c r="AY1227" s="6" t="s">
        <v>8972</v>
      </c>
      <c r="AZ1227" s="6" t="s">
        <v>8972</v>
      </c>
      <c r="BA1227" s="6" t="s">
        <v>8973</v>
      </c>
      <c r="BB1227" s="28"/>
      <c r="BC1227" s="6" t="s">
        <v>8974</v>
      </c>
      <c r="BE1227" s="15" t="s">
        <v>2145</v>
      </c>
      <c r="BF1227" s="6" t="s">
        <v>8975</v>
      </c>
    </row>
    <row r="1228" customFormat="false" ht="59.5" hidden="false" customHeight="false" outlineLevel="0" collapsed="false">
      <c r="A1228" s="26" t="s">
        <v>57</v>
      </c>
      <c r="B1228" s="27" t="s">
        <v>2129</v>
      </c>
      <c r="C1228" s="27" t="s">
        <v>2130</v>
      </c>
      <c r="D1228" s="27" t="s">
        <v>8976</v>
      </c>
      <c r="E1228" s="27" t="s">
        <v>8977</v>
      </c>
      <c r="F1228" s="27" t="s">
        <v>8978</v>
      </c>
      <c r="G1228" s="28"/>
      <c r="H1228" s="6" t="s">
        <v>63</v>
      </c>
      <c r="I1228" s="6" t="s">
        <v>62</v>
      </c>
      <c r="J1228" s="6" t="s">
        <v>63</v>
      </c>
      <c r="K1228" s="6" t="s">
        <v>63</v>
      </c>
      <c r="L1228" s="6" t="s">
        <v>64</v>
      </c>
      <c r="M1228" s="27" t="s">
        <v>8979</v>
      </c>
      <c r="N1228" s="27" t="s">
        <v>8980</v>
      </c>
      <c r="O1228" s="6" t="s">
        <v>167</v>
      </c>
      <c r="P1228" s="28"/>
      <c r="Q1228" s="6" t="s">
        <v>67</v>
      </c>
      <c r="R1228" s="6" t="s">
        <v>123</v>
      </c>
      <c r="S1228" s="28"/>
      <c r="T1228" s="6" t="s">
        <v>6138</v>
      </c>
      <c r="U1228" s="7" t="n">
        <v>3</v>
      </c>
      <c r="V1228" s="7" t="n">
        <v>3</v>
      </c>
      <c r="W1228" s="8" t="s">
        <v>8981</v>
      </c>
      <c r="X1228" s="8" t="s">
        <v>8981</v>
      </c>
      <c r="Y1228" s="8" t="s">
        <v>6024</v>
      </c>
      <c r="Z1228" s="8" t="s">
        <v>6024</v>
      </c>
      <c r="AA1228" s="7" t="n">
        <v>83</v>
      </c>
      <c r="AB1228" s="7" t="n">
        <v>76</v>
      </c>
      <c r="AC1228" s="7" t="n">
        <v>1218</v>
      </c>
      <c r="AD1228" s="7" t="n">
        <v>2</v>
      </c>
      <c r="AE1228" s="7" t="n">
        <v>13</v>
      </c>
      <c r="AF1228" s="7" t="n">
        <v>2</v>
      </c>
      <c r="AG1228" s="7" t="n">
        <v>55</v>
      </c>
      <c r="AH1228" s="7" t="n">
        <v>0</v>
      </c>
      <c r="AI1228" s="7" t="n">
        <v>23</v>
      </c>
      <c r="AJ1228" s="7" t="n">
        <v>0</v>
      </c>
      <c r="AK1228" s="7" t="n">
        <v>9</v>
      </c>
      <c r="AL1228" s="7" t="n">
        <v>1</v>
      </c>
      <c r="AM1228" s="7" t="n">
        <v>24</v>
      </c>
      <c r="AN1228" s="7" t="n">
        <v>1</v>
      </c>
      <c r="AO1228" s="7" t="n">
        <v>10</v>
      </c>
      <c r="AP1228" s="7" t="n">
        <v>0</v>
      </c>
      <c r="AQ1228" s="7" t="n">
        <v>0</v>
      </c>
      <c r="AR1228" s="6" t="s">
        <v>63</v>
      </c>
      <c r="AS1228" s="6" t="s">
        <v>63</v>
      </c>
      <c r="AT1228" s="28"/>
      <c r="AU1228" s="9" t="str">
        <f aca="false">HYPERLINK("https://creighton-primo.hosted.exlibrisgroup.com/primo-explore/search?tab=default_tab&amp;search_scope=EVERYTHING&amp;vid=01CRU&amp;lang=en_US&amp;offset=0&amp;query=any,contains,991004209609702656","Catalog Record")</f>
        <v>Catalog Record</v>
      </c>
      <c r="AV1228" s="9" t="str">
        <f aca="false">HYPERLINK("http://www.worldcat.org/oclc/2680266","WorldCat Record")</f>
        <v>WorldCat Record</v>
      </c>
      <c r="AW1228" s="6" t="s">
        <v>8982</v>
      </c>
      <c r="AX1228" s="6" t="s">
        <v>8983</v>
      </c>
      <c r="AY1228" s="6" t="s">
        <v>8984</v>
      </c>
      <c r="AZ1228" s="6" t="s">
        <v>8984</v>
      </c>
      <c r="BA1228" s="6" t="s">
        <v>8985</v>
      </c>
      <c r="BB1228" s="28"/>
      <c r="BC1228" s="6" t="s">
        <v>8986</v>
      </c>
      <c r="BE1228" s="15" t="s">
        <v>2145</v>
      </c>
      <c r="BF1228" s="6" t="s">
        <v>8987</v>
      </c>
    </row>
    <row r="1229" customFormat="false" ht="105.5" hidden="false" customHeight="false" outlineLevel="0" collapsed="false">
      <c r="A1229" s="26" t="s">
        <v>63</v>
      </c>
      <c r="B1229" s="27" t="s">
        <v>2129</v>
      </c>
      <c r="C1229" s="27" t="s">
        <v>2130</v>
      </c>
      <c r="D1229" s="27" t="s">
        <v>8988</v>
      </c>
      <c r="E1229" s="27" t="s">
        <v>8989</v>
      </c>
      <c r="F1229" s="27" t="s">
        <v>8990</v>
      </c>
      <c r="G1229" s="28"/>
      <c r="H1229" s="6" t="s">
        <v>63</v>
      </c>
      <c r="I1229" s="6" t="s">
        <v>62</v>
      </c>
      <c r="J1229" s="6" t="s">
        <v>63</v>
      </c>
      <c r="K1229" s="6" t="s">
        <v>57</v>
      </c>
      <c r="L1229" s="6" t="s">
        <v>64</v>
      </c>
      <c r="M1229" s="27" t="s">
        <v>8979</v>
      </c>
      <c r="N1229" s="27" t="s">
        <v>5634</v>
      </c>
      <c r="O1229" s="6" t="s">
        <v>167</v>
      </c>
      <c r="P1229" s="28"/>
      <c r="Q1229" s="6" t="s">
        <v>67</v>
      </c>
      <c r="R1229" s="6" t="s">
        <v>68</v>
      </c>
      <c r="S1229" s="27" t="s">
        <v>8991</v>
      </c>
      <c r="T1229" s="6" t="s">
        <v>6138</v>
      </c>
      <c r="U1229" s="7" t="n">
        <v>4</v>
      </c>
      <c r="V1229" s="7" t="n">
        <v>4</v>
      </c>
      <c r="W1229" s="8" t="s">
        <v>8992</v>
      </c>
      <c r="X1229" s="8" t="s">
        <v>8992</v>
      </c>
      <c r="Y1229" s="8" t="s">
        <v>6024</v>
      </c>
      <c r="Z1229" s="8" t="s">
        <v>6024</v>
      </c>
      <c r="AA1229" s="7" t="n">
        <v>329</v>
      </c>
      <c r="AB1229" s="7" t="n">
        <v>285</v>
      </c>
      <c r="AC1229" s="7" t="n">
        <v>680</v>
      </c>
      <c r="AD1229" s="7" t="n">
        <v>4</v>
      </c>
      <c r="AE1229" s="7" t="n">
        <v>7</v>
      </c>
      <c r="AF1229" s="7" t="n">
        <v>15</v>
      </c>
      <c r="AG1229" s="7" t="n">
        <v>42</v>
      </c>
      <c r="AH1229" s="7" t="n">
        <v>5</v>
      </c>
      <c r="AI1229" s="7" t="n">
        <v>16</v>
      </c>
      <c r="AJ1229" s="7" t="n">
        <v>2</v>
      </c>
      <c r="AK1229" s="7" t="n">
        <v>9</v>
      </c>
      <c r="AL1229" s="7" t="n">
        <v>8</v>
      </c>
      <c r="AM1229" s="7" t="n">
        <v>22</v>
      </c>
      <c r="AN1229" s="7" t="n">
        <v>2</v>
      </c>
      <c r="AO1229" s="7" t="n">
        <v>5</v>
      </c>
      <c r="AP1229" s="7" t="n">
        <v>0</v>
      </c>
      <c r="AQ1229" s="7" t="n">
        <v>0</v>
      </c>
      <c r="AR1229" s="6" t="s">
        <v>63</v>
      </c>
      <c r="AS1229" s="6" t="s">
        <v>57</v>
      </c>
      <c r="AT1229" s="9" t="str">
        <f aca="false">HYPERLINK("http://catalog.hathitrust.org/Record/001913048","HathiTrust Record")</f>
        <v>HathiTrust Record</v>
      </c>
      <c r="AU1229" s="9" t="str">
        <f aca="false">HYPERLINK("https://creighton-primo.hosted.exlibrisgroup.com/primo-explore/search?tab=default_tab&amp;search_scope=EVERYTHING&amp;vid=01CRU&amp;lang=en_US&amp;offset=0&amp;query=any,contains,991002545009702656","Catalog Record")</f>
        <v>Catalog Record</v>
      </c>
      <c r="AV1229" s="9" t="str">
        <f aca="false">HYPERLINK("http://www.worldcat.org/oclc/2510432","WorldCat Record")</f>
        <v>WorldCat Record</v>
      </c>
      <c r="AW1229" s="6" t="s">
        <v>8993</v>
      </c>
      <c r="AX1229" s="6" t="s">
        <v>8994</v>
      </c>
      <c r="AY1229" s="6" t="s">
        <v>8995</v>
      </c>
      <c r="AZ1229" s="6" t="s">
        <v>8995</v>
      </c>
      <c r="BA1229" s="6" t="s">
        <v>8996</v>
      </c>
      <c r="BB1229" s="28"/>
      <c r="BC1229" s="6" t="s">
        <v>8997</v>
      </c>
      <c r="BE1229" s="15" t="s">
        <v>2145</v>
      </c>
      <c r="BF1229" s="6" t="s">
        <v>8998</v>
      </c>
    </row>
    <row r="1230" customFormat="false" ht="105.5" hidden="false" customHeight="false" outlineLevel="0" collapsed="false">
      <c r="A1230" s="26" t="s">
        <v>63</v>
      </c>
      <c r="B1230" s="27" t="s">
        <v>2129</v>
      </c>
      <c r="C1230" s="27" t="s">
        <v>2130</v>
      </c>
      <c r="D1230" s="27" t="s">
        <v>8999</v>
      </c>
      <c r="E1230" s="27" t="s">
        <v>9000</v>
      </c>
      <c r="F1230" s="27" t="s">
        <v>9001</v>
      </c>
      <c r="G1230" s="28"/>
      <c r="H1230" s="6" t="s">
        <v>63</v>
      </c>
      <c r="I1230" s="6" t="s">
        <v>62</v>
      </c>
      <c r="J1230" s="6" t="s">
        <v>63</v>
      </c>
      <c r="K1230" s="6" t="s">
        <v>63</v>
      </c>
      <c r="L1230" s="6" t="s">
        <v>64</v>
      </c>
      <c r="M1230" s="27" t="s">
        <v>9002</v>
      </c>
      <c r="N1230" s="27" t="s">
        <v>9003</v>
      </c>
      <c r="O1230" s="6" t="s">
        <v>208</v>
      </c>
      <c r="P1230" s="28"/>
      <c r="Q1230" s="6" t="s">
        <v>67</v>
      </c>
      <c r="R1230" s="6" t="s">
        <v>68</v>
      </c>
      <c r="S1230" s="28"/>
      <c r="T1230" s="6" t="s">
        <v>6138</v>
      </c>
      <c r="U1230" s="7" t="n">
        <v>8</v>
      </c>
      <c r="V1230" s="7" t="n">
        <v>8</v>
      </c>
      <c r="W1230" s="8" t="s">
        <v>9004</v>
      </c>
      <c r="X1230" s="8" t="s">
        <v>9004</v>
      </c>
      <c r="Y1230" s="8" t="s">
        <v>6024</v>
      </c>
      <c r="Z1230" s="8" t="s">
        <v>6024</v>
      </c>
      <c r="AA1230" s="7" t="n">
        <v>219</v>
      </c>
      <c r="AB1230" s="7" t="n">
        <v>192</v>
      </c>
      <c r="AC1230" s="7" t="n">
        <v>196</v>
      </c>
      <c r="AD1230" s="7" t="n">
        <v>2</v>
      </c>
      <c r="AE1230" s="7" t="n">
        <v>2</v>
      </c>
      <c r="AF1230" s="7" t="n">
        <v>11</v>
      </c>
      <c r="AG1230" s="7" t="n">
        <v>11</v>
      </c>
      <c r="AH1230" s="7" t="n">
        <v>3</v>
      </c>
      <c r="AI1230" s="7" t="n">
        <v>3</v>
      </c>
      <c r="AJ1230" s="7" t="n">
        <v>1</v>
      </c>
      <c r="AK1230" s="7" t="n">
        <v>1</v>
      </c>
      <c r="AL1230" s="7" t="n">
        <v>9</v>
      </c>
      <c r="AM1230" s="7" t="n">
        <v>9</v>
      </c>
      <c r="AN1230" s="7" t="n">
        <v>1</v>
      </c>
      <c r="AO1230" s="7" t="n">
        <v>1</v>
      </c>
      <c r="AP1230" s="7" t="n">
        <v>0</v>
      </c>
      <c r="AQ1230" s="7" t="n">
        <v>0</v>
      </c>
      <c r="AR1230" s="6" t="s">
        <v>63</v>
      </c>
      <c r="AS1230" s="6" t="s">
        <v>57</v>
      </c>
      <c r="AT1230" s="9" t="str">
        <f aca="false">HYPERLINK("http://catalog.hathitrust.org/Record/000820891","HathiTrust Record")</f>
        <v>HathiTrust Record</v>
      </c>
      <c r="AU1230" s="9" t="str">
        <f aca="false">HYPERLINK("https://creighton-primo.hosted.exlibrisgroup.com/primo-explore/search?tab=default_tab&amp;search_scope=EVERYTHING&amp;vid=01CRU&amp;lang=en_US&amp;offset=0&amp;query=any,contains,991005406539702656","Catalog Record")</f>
        <v>Catalog Record</v>
      </c>
      <c r="AV1230" s="9" t="str">
        <f aca="false">HYPERLINK("http://www.worldcat.org/oclc/13559642","WorldCat Record")</f>
        <v>WorldCat Record</v>
      </c>
      <c r="AW1230" s="6" t="s">
        <v>9005</v>
      </c>
      <c r="AX1230" s="6" t="s">
        <v>9006</v>
      </c>
      <c r="AY1230" s="6" t="s">
        <v>9007</v>
      </c>
      <c r="AZ1230" s="6" t="s">
        <v>9007</v>
      </c>
      <c r="BA1230" s="6" t="s">
        <v>9008</v>
      </c>
      <c r="BB1230" s="6" t="s">
        <v>9009</v>
      </c>
      <c r="BC1230" s="6" t="s">
        <v>9010</v>
      </c>
      <c r="BE1230" s="15" t="s">
        <v>2145</v>
      </c>
      <c r="BF1230" s="6" t="s">
        <v>9011</v>
      </c>
    </row>
    <row r="1231" customFormat="false" ht="94" hidden="false" customHeight="false" outlineLevel="0" collapsed="false">
      <c r="A1231" s="26" t="s">
        <v>63</v>
      </c>
      <c r="B1231" s="27" t="s">
        <v>2129</v>
      </c>
      <c r="C1231" s="27" t="s">
        <v>2130</v>
      </c>
      <c r="D1231" s="27" t="s">
        <v>9012</v>
      </c>
      <c r="E1231" s="27" t="s">
        <v>9013</v>
      </c>
      <c r="F1231" s="27" t="s">
        <v>9014</v>
      </c>
      <c r="G1231" s="28"/>
      <c r="H1231" s="6" t="s">
        <v>63</v>
      </c>
      <c r="I1231" s="6" t="s">
        <v>62</v>
      </c>
      <c r="J1231" s="6" t="s">
        <v>63</v>
      </c>
      <c r="K1231" s="6" t="s">
        <v>63</v>
      </c>
      <c r="L1231" s="6" t="s">
        <v>64</v>
      </c>
      <c r="M1231" s="27" t="s">
        <v>9015</v>
      </c>
      <c r="N1231" s="27" t="s">
        <v>9016</v>
      </c>
      <c r="O1231" s="6" t="s">
        <v>3661</v>
      </c>
      <c r="P1231" s="28"/>
      <c r="Q1231" s="6" t="s">
        <v>67</v>
      </c>
      <c r="R1231" s="6" t="s">
        <v>123</v>
      </c>
      <c r="S1231" s="27" t="s">
        <v>9017</v>
      </c>
      <c r="T1231" s="6" t="s">
        <v>6138</v>
      </c>
      <c r="U1231" s="7" t="n">
        <v>1</v>
      </c>
      <c r="V1231" s="7" t="n">
        <v>1</v>
      </c>
      <c r="W1231" s="8" t="s">
        <v>9018</v>
      </c>
      <c r="X1231" s="8" t="s">
        <v>9018</v>
      </c>
      <c r="Y1231" s="8" t="s">
        <v>6024</v>
      </c>
      <c r="Z1231" s="8" t="s">
        <v>6024</v>
      </c>
      <c r="AA1231" s="7" t="n">
        <v>464</v>
      </c>
      <c r="AB1231" s="7" t="n">
        <v>432</v>
      </c>
      <c r="AC1231" s="7" t="n">
        <v>541</v>
      </c>
      <c r="AD1231" s="7" t="n">
        <v>3</v>
      </c>
      <c r="AE1231" s="7" t="n">
        <v>4</v>
      </c>
      <c r="AF1231" s="7" t="n">
        <v>14</v>
      </c>
      <c r="AG1231" s="7" t="n">
        <v>27</v>
      </c>
      <c r="AH1231" s="7" t="n">
        <v>3</v>
      </c>
      <c r="AI1231" s="7" t="n">
        <v>9</v>
      </c>
      <c r="AJ1231" s="7" t="n">
        <v>4</v>
      </c>
      <c r="AK1231" s="7" t="n">
        <v>7</v>
      </c>
      <c r="AL1231" s="7" t="n">
        <v>8</v>
      </c>
      <c r="AM1231" s="7" t="n">
        <v>18</v>
      </c>
      <c r="AN1231" s="7" t="n">
        <v>2</v>
      </c>
      <c r="AO1231" s="7" t="n">
        <v>2</v>
      </c>
      <c r="AP1231" s="7" t="n">
        <v>0</v>
      </c>
      <c r="AQ1231" s="7" t="n">
        <v>0</v>
      </c>
      <c r="AR1231" s="6" t="s">
        <v>63</v>
      </c>
      <c r="AS1231" s="6" t="s">
        <v>63</v>
      </c>
      <c r="AT1231" s="28"/>
      <c r="AU1231" s="9" t="str">
        <f aca="false">HYPERLINK("https://creighton-primo.hosted.exlibrisgroup.com/primo-explore/search?tab=default_tab&amp;search_scope=EVERYTHING&amp;vid=01CRU&amp;lang=en_US&amp;offset=0&amp;query=any,contains,991003391029702656","Catalog Record")</f>
        <v>Catalog Record</v>
      </c>
      <c r="AV1231" s="9" t="str">
        <f aca="false">HYPERLINK("http://www.worldcat.org/oclc/928893","WorldCat Record")</f>
        <v>WorldCat Record</v>
      </c>
      <c r="AW1231" s="6" t="s">
        <v>9019</v>
      </c>
      <c r="AX1231" s="6" t="s">
        <v>9020</v>
      </c>
      <c r="AY1231" s="6" t="s">
        <v>9021</v>
      </c>
      <c r="AZ1231" s="6" t="s">
        <v>9021</v>
      </c>
      <c r="BA1231" s="6" t="s">
        <v>9022</v>
      </c>
      <c r="BB1231" s="28"/>
      <c r="BC1231" s="6" t="s">
        <v>9023</v>
      </c>
      <c r="BE1231" s="15" t="s">
        <v>2145</v>
      </c>
      <c r="BF1231" s="6" t="s">
        <v>9024</v>
      </c>
    </row>
    <row r="1232" customFormat="false" ht="71" hidden="false" customHeight="false" outlineLevel="0" collapsed="false">
      <c r="A1232" s="26" t="s">
        <v>63</v>
      </c>
      <c r="B1232" s="27" t="s">
        <v>2129</v>
      </c>
      <c r="C1232" s="27" t="s">
        <v>2130</v>
      </c>
      <c r="D1232" s="27" t="s">
        <v>9025</v>
      </c>
      <c r="E1232" s="27" t="s">
        <v>9026</v>
      </c>
      <c r="F1232" s="27" t="s">
        <v>9027</v>
      </c>
      <c r="G1232" s="28"/>
      <c r="H1232" s="6" t="s">
        <v>63</v>
      </c>
      <c r="I1232" s="6" t="s">
        <v>62</v>
      </c>
      <c r="J1232" s="6" t="s">
        <v>63</v>
      </c>
      <c r="K1232" s="6" t="s">
        <v>63</v>
      </c>
      <c r="L1232" s="6" t="s">
        <v>64</v>
      </c>
      <c r="M1232" s="27" t="s">
        <v>9028</v>
      </c>
      <c r="N1232" s="27" t="s">
        <v>9029</v>
      </c>
      <c r="O1232" s="6" t="s">
        <v>2975</v>
      </c>
      <c r="P1232" s="28"/>
      <c r="Q1232" s="6" t="s">
        <v>67</v>
      </c>
      <c r="R1232" s="6" t="s">
        <v>68</v>
      </c>
      <c r="S1232" s="27" t="s">
        <v>9030</v>
      </c>
      <c r="T1232" s="6" t="s">
        <v>6138</v>
      </c>
      <c r="U1232" s="7" t="n">
        <v>5</v>
      </c>
      <c r="V1232" s="7" t="n">
        <v>5</v>
      </c>
      <c r="W1232" s="8" t="s">
        <v>9031</v>
      </c>
      <c r="X1232" s="8" t="s">
        <v>9031</v>
      </c>
      <c r="Y1232" s="8" t="s">
        <v>6024</v>
      </c>
      <c r="Z1232" s="8" t="s">
        <v>6024</v>
      </c>
      <c r="AA1232" s="7" t="n">
        <v>268</v>
      </c>
      <c r="AB1232" s="7" t="n">
        <v>230</v>
      </c>
      <c r="AC1232" s="7" t="n">
        <v>551</v>
      </c>
      <c r="AD1232" s="7" t="n">
        <v>3</v>
      </c>
      <c r="AE1232" s="7" t="n">
        <v>3</v>
      </c>
      <c r="AF1232" s="7" t="n">
        <v>11</v>
      </c>
      <c r="AG1232" s="7" t="n">
        <v>34</v>
      </c>
      <c r="AH1232" s="7" t="n">
        <v>3</v>
      </c>
      <c r="AI1232" s="7" t="n">
        <v>13</v>
      </c>
      <c r="AJ1232" s="7" t="n">
        <v>3</v>
      </c>
      <c r="AK1232" s="7" t="n">
        <v>8</v>
      </c>
      <c r="AL1232" s="7" t="n">
        <v>6</v>
      </c>
      <c r="AM1232" s="7" t="n">
        <v>22</v>
      </c>
      <c r="AN1232" s="7" t="n">
        <v>2</v>
      </c>
      <c r="AO1232" s="7" t="n">
        <v>2</v>
      </c>
      <c r="AP1232" s="7" t="n">
        <v>0</v>
      </c>
      <c r="AQ1232" s="7" t="n">
        <v>0</v>
      </c>
      <c r="AR1232" s="6" t="s">
        <v>63</v>
      </c>
      <c r="AS1232" s="6" t="s">
        <v>63</v>
      </c>
      <c r="AT1232" s="28"/>
      <c r="AU1232" s="9" t="str">
        <f aca="false">HYPERLINK("https://creighton-primo.hosted.exlibrisgroup.com/primo-explore/search?tab=default_tab&amp;search_scope=EVERYTHING&amp;vid=01CRU&amp;lang=en_US&amp;offset=0&amp;query=any,contains,991000125889702656","Catalog Record")</f>
        <v>Catalog Record</v>
      </c>
      <c r="AV1232" s="9" t="str">
        <f aca="false">HYPERLINK("http://www.worldcat.org/oclc/52056","WorldCat Record")</f>
        <v>WorldCat Record</v>
      </c>
      <c r="AW1232" s="6" t="s">
        <v>9032</v>
      </c>
      <c r="AX1232" s="6" t="s">
        <v>9033</v>
      </c>
      <c r="AY1232" s="6" t="s">
        <v>9034</v>
      </c>
      <c r="AZ1232" s="6" t="s">
        <v>9034</v>
      </c>
      <c r="BA1232" s="6" t="s">
        <v>9035</v>
      </c>
      <c r="BB1232" s="6" t="s">
        <v>9036</v>
      </c>
      <c r="BC1232" s="6" t="s">
        <v>9037</v>
      </c>
      <c r="BE1232" s="15" t="s">
        <v>2145</v>
      </c>
      <c r="BF1232" s="6" t="s">
        <v>9038</v>
      </c>
    </row>
    <row r="1233" customFormat="false" ht="71" hidden="false" customHeight="false" outlineLevel="0" collapsed="false">
      <c r="A1233" s="26" t="s">
        <v>63</v>
      </c>
      <c r="B1233" s="27" t="s">
        <v>2129</v>
      </c>
      <c r="C1233" s="27" t="s">
        <v>2130</v>
      </c>
      <c r="D1233" s="27" t="s">
        <v>9039</v>
      </c>
      <c r="E1233" s="27" t="s">
        <v>9040</v>
      </c>
      <c r="F1233" s="27" t="s">
        <v>9041</v>
      </c>
      <c r="G1233" s="28"/>
      <c r="H1233" s="6" t="s">
        <v>63</v>
      </c>
      <c r="I1233" s="6" t="s">
        <v>62</v>
      </c>
      <c r="J1233" s="6" t="s">
        <v>63</v>
      </c>
      <c r="K1233" s="6" t="s">
        <v>63</v>
      </c>
      <c r="L1233" s="6" t="s">
        <v>64</v>
      </c>
      <c r="M1233" s="27" t="s">
        <v>9042</v>
      </c>
      <c r="N1233" s="27" t="s">
        <v>9043</v>
      </c>
      <c r="O1233" s="6" t="s">
        <v>3919</v>
      </c>
      <c r="P1233" s="28"/>
      <c r="Q1233" s="6" t="s">
        <v>67</v>
      </c>
      <c r="R1233" s="6" t="s">
        <v>123</v>
      </c>
      <c r="S1233" s="28"/>
      <c r="T1233" s="6" t="s">
        <v>6138</v>
      </c>
      <c r="U1233" s="7" t="n">
        <v>2</v>
      </c>
      <c r="V1233" s="7" t="n">
        <v>2</v>
      </c>
      <c r="W1233" s="8" t="s">
        <v>9044</v>
      </c>
      <c r="X1233" s="8" t="s">
        <v>9044</v>
      </c>
      <c r="Y1233" s="8" t="s">
        <v>6024</v>
      </c>
      <c r="Z1233" s="8" t="s">
        <v>6024</v>
      </c>
      <c r="AA1233" s="7" t="n">
        <v>601</v>
      </c>
      <c r="AB1233" s="7" t="n">
        <v>532</v>
      </c>
      <c r="AC1233" s="7" t="n">
        <v>587</v>
      </c>
      <c r="AD1233" s="7" t="n">
        <v>4</v>
      </c>
      <c r="AE1233" s="7" t="n">
        <v>5</v>
      </c>
      <c r="AF1233" s="7" t="n">
        <v>33</v>
      </c>
      <c r="AG1233" s="7" t="n">
        <v>38</v>
      </c>
      <c r="AH1233" s="7" t="n">
        <v>12</v>
      </c>
      <c r="AI1233" s="7" t="n">
        <v>14</v>
      </c>
      <c r="AJ1233" s="7" t="n">
        <v>9</v>
      </c>
      <c r="AK1233" s="7" t="n">
        <v>9</v>
      </c>
      <c r="AL1233" s="7" t="n">
        <v>21</v>
      </c>
      <c r="AM1233" s="7" t="n">
        <v>24</v>
      </c>
      <c r="AN1233" s="7" t="n">
        <v>2</v>
      </c>
      <c r="AO1233" s="7" t="n">
        <v>3</v>
      </c>
      <c r="AP1233" s="7" t="n">
        <v>0</v>
      </c>
      <c r="AQ1233" s="7" t="n">
        <v>0</v>
      </c>
      <c r="AR1233" s="6" t="s">
        <v>63</v>
      </c>
      <c r="AS1233" s="6" t="s">
        <v>57</v>
      </c>
      <c r="AT1233" s="9" t="str">
        <f aca="false">HYPERLINK("http://catalog.hathitrust.org/Record/001380458","HathiTrust Record")</f>
        <v>HathiTrust Record</v>
      </c>
      <c r="AU1233" s="9" t="str">
        <f aca="false">HYPERLINK("https://creighton-primo.hosted.exlibrisgroup.com/primo-explore/search?tab=default_tab&amp;search_scope=EVERYTHING&amp;vid=01CRU&amp;lang=en_US&amp;offset=0&amp;query=any,contains,991002904009702656","Catalog Record")</f>
        <v>Catalog Record</v>
      </c>
      <c r="AV1233" s="9" t="str">
        <f aca="false">HYPERLINK("http://www.worldcat.org/oclc/518601","WorldCat Record")</f>
        <v>WorldCat Record</v>
      </c>
      <c r="AW1233" s="6" t="s">
        <v>9045</v>
      </c>
      <c r="AX1233" s="6" t="s">
        <v>9046</v>
      </c>
      <c r="AY1233" s="6" t="s">
        <v>9047</v>
      </c>
      <c r="AZ1233" s="6" t="s">
        <v>9047</v>
      </c>
      <c r="BA1233" s="6" t="s">
        <v>9048</v>
      </c>
      <c r="BB1233" s="28"/>
      <c r="BC1233" s="6" t="s">
        <v>9049</v>
      </c>
      <c r="BE1233" s="15" t="s">
        <v>2145</v>
      </c>
      <c r="BF1233" s="6" t="s">
        <v>9050</v>
      </c>
    </row>
    <row r="1234" customFormat="false" ht="105.5" hidden="false" customHeight="false" outlineLevel="0" collapsed="false">
      <c r="A1234" s="26" t="s">
        <v>63</v>
      </c>
      <c r="B1234" s="27" t="s">
        <v>2129</v>
      </c>
      <c r="C1234" s="27" t="s">
        <v>2130</v>
      </c>
      <c r="D1234" s="27" t="s">
        <v>9051</v>
      </c>
      <c r="E1234" s="27" t="s">
        <v>9052</v>
      </c>
      <c r="F1234" s="27" t="s">
        <v>9053</v>
      </c>
      <c r="G1234" s="28"/>
      <c r="H1234" s="6" t="s">
        <v>63</v>
      </c>
      <c r="I1234" s="6" t="s">
        <v>62</v>
      </c>
      <c r="J1234" s="6" t="s">
        <v>63</v>
      </c>
      <c r="K1234" s="6" t="s">
        <v>63</v>
      </c>
      <c r="L1234" s="6" t="s">
        <v>64</v>
      </c>
      <c r="M1234" s="27" t="s">
        <v>9054</v>
      </c>
      <c r="N1234" s="27" t="s">
        <v>9055</v>
      </c>
      <c r="O1234" s="6" t="s">
        <v>2467</v>
      </c>
      <c r="P1234" s="28"/>
      <c r="Q1234" s="6" t="s">
        <v>67</v>
      </c>
      <c r="R1234" s="6" t="s">
        <v>68</v>
      </c>
      <c r="S1234" s="28"/>
      <c r="T1234" s="6" t="s">
        <v>6138</v>
      </c>
      <c r="U1234" s="7" t="n">
        <v>1</v>
      </c>
      <c r="V1234" s="7" t="n">
        <v>1</v>
      </c>
      <c r="W1234" s="8" t="s">
        <v>6681</v>
      </c>
      <c r="X1234" s="8" t="s">
        <v>6681</v>
      </c>
      <c r="Y1234" s="8" t="s">
        <v>6024</v>
      </c>
      <c r="Z1234" s="8" t="s">
        <v>6024</v>
      </c>
      <c r="AA1234" s="7" t="n">
        <v>251</v>
      </c>
      <c r="AB1234" s="7" t="n">
        <v>233</v>
      </c>
      <c r="AC1234" s="7" t="n">
        <v>348</v>
      </c>
      <c r="AD1234" s="7" t="n">
        <v>4</v>
      </c>
      <c r="AE1234" s="7" t="n">
        <v>4</v>
      </c>
      <c r="AF1234" s="7" t="n">
        <v>17</v>
      </c>
      <c r="AG1234" s="7" t="n">
        <v>20</v>
      </c>
      <c r="AH1234" s="7" t="n">
        <v>5</v>
      </c>
      <c r="AI1234" s="7" t="n">
        <v>7</v>
      </c>
      <c r="AJ1234" s="7" t="n">
        <v>4</v>
      </c>
      <c r="AK1234" s="7" t="n">
        <v>5</v>
      </c>
      <c r="AL1234" s="7" t="n">
        <v>10</v>
      </c>
      <c r="AM1234" s="7" t="n">
        <v>11</v>
      </c>
      <c r="AN1234" s="7" t="n">
        <v>2</v>
      </c>
      <c r="AO1234" s="7" t="n">
        <v>2</v>
      </c>
      <c r="AP1234" s="7" t="n">
        <v>0</v>
      </c>
      <c r="AQ1234" s="7" t="n">
        <v>0</v>
      </c>
      <c r="AR1234" s="6" t="s">
        <v>63</v>
      </c>
      <c r="AS1234" s="6" t="s">
        <v>63</v>
      </c>
      <c r="AT1234" s="28"/>
      <c r="AU1234" s="9" t="str">
        <f aca="false">HYPERLINK("https://creighton-primo.hosted.exlibrisgroup.com/primo-explore/search?tab=default_tab&amp;search_scope=EVERYTHING&amp;vid=01CRU&amp;lang=en_US&amp;offset=0&amp;query=any,contains,991003047539702656","Catalog Record")</f>
        <v>Catalog Record</v>
      </c>
      <c r="AV1234" s="9" t="str">
        <f aca="false">HYPERLINK("http://www.worldcat.org/oclc/608132","WorldCat Record")</f>
        <v>WorldCat Record</v>
      </c>
      <c r="AW1234" s="6" t="s">
        <v>9056</v>
      </c>
      <c r="AX1234" s="6" t="s">
        <v>9057</v>
      </c>
      <c r="AY1234" s="6" t="s">
        <v>9058</v>
      </c>
      <c r="AZ1234" s="6" t="s">
        <v>9058</v>
      </c>
      <c r="BA1234" s="6" t="s">
        <v>9059</v>
      </c>
      <c r="BB1234" s="28"/>
      <c r="BC1234" s="6" t="s">
        <v>9060</v>
      </c>
      <c r="BE1234" s="15" t="s">
        <v>2145</v>
      </c>
      <c r="BF1234" s="6" t="s">
        <v>9061</v>
      </c>
    </row>
    <row r="1235" customFormat="false" ht="82.5" hidden="false" customHeight="false" outlineLevel="0" collapsed="false">
      <c r="A1235" s="26" t="s">
        <v>63</v>
      </c>
      <c r="B1235" s="27" t="s">
        <v>2129</v>
      </c>
      <c r="C1235" s="27" t="s">
        <v>2130</v>
      </c>
      <c r="D1235" s="27" t="s">
        <v>9062</v>
      </c>
      <c r="E1235" s="27" t="s">
        <v>9063</v>
      </c>
      <c r="F1235" s="27" t="s">
        <v>9064</v>
      </c>
      <c r="G1235" s="28"/>
      <c r="H1235" s="6" t="s">
        <v>63</v>
      </c>
      <c r="I1235" s="6" t="s">
        <v>62</v>
      </c>
      <c r="J1235" s="6" t="s">
        <v>63</v>
      </c>
      <c r="K1235" s="6" t="s">
        <v>63</v>
      </c>
      <c r="L1235" s="6" t="s">
        <v>64</v>
      </c>
      <c r="M1235" s="27" t="s">
        <v>9065</v>
      </c>
      <c r="N1235" s="27" t="s">
        <v>9066</v>
      </c>
      <c r="O1235" s="6" t="s">
        <v>2610</v>
      </c>
      <c r="P1235" s="28"/>
      <c r="Q1235" s="6" t="s">
        <v>67</v>
      </c>
      <c r="R1235" s="6" t="s">
        <v>384</v>
      </c>
      <c r="S1235" s="28"/>
      <c r="T1235" s="6" t="s">
        <v>6138</v>
      </c>
      <c r="U1235" s="7" t="n">
        <v>2</v>
      </c>
      <c r="V1235" s="7" t="n">
        <v>2</v>
      </c>
      <c r="W1235" s="8" t="s">
        <v>9067</v>
      </c>
      <c r="X1235" s="8" t="s">
        <v>9067</v>
      </c>
      <c r="Y1235" s="8" t="s">
        <v>6024</v>
      </c>
      <c r="Z1235" s="8" t="s">
        <v>6024</v>
      </c>
      <c r="AA1235" s="7" t="n">
        <v>284</v>
      </c>
      <c r="AB1235" s="7" t="n">
        <v>184</v>
      </c>
      <c r="AC1235" s="7" t="n">
        <v>923</v>
      </c>
      <c r="AD1235" s="7" t="n">
        <v>3</v>
      </c>
      <c r="AE1235" s="7" t="n">
        <v>9</v>
      </c>
      <c r="AF1235" s="7" t="n">
        <v>12</v>
      </c>
      <c r="AG1235" s="7" t="n">
        <v>44</v>
      </c>
      <c r="AH1235" s="7" t="n">
        <v>4</v>
      </c>
      <c r="AI1235" s="7" t="n">
        <v>16</v>
      </c>
      <c r="AJ1235" s="7" t="n">
        <v>2</v>
      </c>
      <c r="AK1235" s="7" t="n">
        <v>7</v>
      </c>
      <c r="AL1235" s="7" t="n">
        <v>8</v>
      </c>
      <c r="AM1235" s="7" t="n">
        <v>25</v>
      </c>
      <c r="AN1235" s="7" t="n">
        <v>2</v>
      </c>
      <c r="AO1235" s="7" t="n">
        <v>6</v>
      </c>
      <c r="AP1235" s="7" t="n">
        <v>0</v>
      </c>
      <c r="AQ1235" s="7" t="n">
        <v>0</v>
      </c>
      <c r="AR1235" s="6" t="s">
        <v>63</v>
      </c>
      <c r="AS1235" s="6" t="s">
        <v>63</v>
      </c>
      <c r="AT1235" s="28"/>
      <c r="AU1235" s="9" t="str">
        <f aca="false">HYPERLINK("https://creighton-primo.hosted.exlibrisgroup.com/primo-explore/search?tab=default_tab&amp;search_scope=EVERYTHING&amp;vid=01CRU&amp;lang=en_US&amp;offset=0&amp;query=any,contains,991000847429702656","Catalog Record")</f>
        <v>Catalog Record</v>
      </c>
      <c r="AV1235" s="9" t="str">
        <f aca="false">HYPERLINK("http://www.worldcat.org/oclc/13571329","WorldCat Record")</f>
        <v>WorldCat Record</v>
      </c>
      <c r="AW1235" s="6" t="s">
        <v>9068</v>
      </c>
      <c r="AX1235" s="6" t="s">
        <v>9069</v>
      </c>
      <c r="AY1235" s="6" t="s">
        <v>9070</v>
      </c>
      <c r="AZ1235" s="6" t="s">
        <v>9070</v>
      </c>
      <c r="BA1235" s="6" t="s">
        <v>9071</v>
      </c>
      <c r="BB1235" s="28"/>
      <c r="BC1235" s="6" t="s">
        <v>9072</v>
      </c>
      <c r="BE1235" s="15" t="s">
        <v>2145</v>
      </c>
      <c r="BF1235" s="6" t="s">
        <v>9073</v>
      </c>
    </row>
    <row r="1236" customFormat="false" ht="232" hidden="false" customHeight="false" outlineLevel="0" collapsed="false">
      <c r="A1236" s="26" t="s">
        <v>63</v>
      </c>
      <c r="B1236" s="27" t="s">
        <v>2129</v>
      </c>
      <c r="C1236" s="27" t="s">
        <v>2130</v>
      </c>
      <c r="D1236" s="27" t="s">
        <v>9074</v>
      </c>
      <c r="E1236" s="27" t="s">
        <v>9075</v>
      </c>
      <c r="F1236" s="27" t="s">
        <v>9076</v>
      </c>
      <c r="G1236" s="28"/>
      <c r="H1236" s="6" t="s">
        <v>63</v>
      </c>
      <c r="I1236" s="6" t="s">
        <v>62</v>
      </c>
      <c r="J1236" s="6" t="s">
        <v>63</v>
      </c>
      <c r="K1236" s="6" t="s">
        <v>63</v>
      </c>
      <c r="L1236" s="6" t="s">
        <v>64</v>
      </c>
      <c r="M1236" s="27" t="s">
        <v>9077</v>
      </c>
      <c r="N1236" s="27" t="s">
        <v>9078</v>
      </c>
      <c r="O1236" s="6" t="s">
        <v>7428</v>
      </c>
      <c r="P1236" s="28"/>
      <c r="Q1236" s="6" t="s">
        <v>67</v>
      </c>
      <c r="R1236" s="6" t="s">
        <v>384</v>
      </c>
      <c r="S1236" s="28"/>
      <c r="T1236" s="6" t="s">
        <v>6138</v>
      </c>
      <c r="U1236" s="7" t="n">
        <v>7</v>
      </c>
      <c r="V1236" s="7" t="n">
        <v>7</v>
      </c>
      <c r="W1236" s="8" t="s">
        <v>6844</v>
      </c>
      <c r="X1236" s="8" t="s">
        <v>6844</v>
      </c>
      <c r="Y1236" s="8" t="s">
        <v>6024</v>
      </c>
      <c r="Z1236" s="8" t="s">
        <v>6024</v>
      </c>
      <c r="AA1236" s="7" t="n">
        <v>142</v>
      </c>
      <c r="AB1236" s="7" t="n">
        <v>97</v>
      </c>
      <c r="AC1236" s="7" t="n">
        <v>597</v>
      </c>
      <c r="AD1236" s="7" t="n">
        <v>3</v>
      </c>
      <c r="AE1236" s="7" t="n">
        <v>5</v>
      </c>
      <c r="AF1236" s="7" t="n">
        <v>6</v>
      </c>
      <c r="AG1236" s="7" t="n">
        <v>35</v>
      </c>
      <c r="AH1236" s="7" t="n">
        <v>1</v>
      </c>
      <c r="AI1236" s="7" t="n">
        <v>13</v>
      </c>
      <c r="AJ1236" s="7" t="n">
        <v>1</v>
      </c>
      <c r="AK1236" s="7" t="n">
        <v>9</v>
      </c>
      <c r="AL1236" s="7" t="n">
        <v>3</v>
      </c>
      <c r="AM1236" s="7" t="n">
        <v>20</v>
      </c>
      <c r="AN1236" s="7" t="n">
        <v>2</v>
      </c>
      <c r="AO1236" s="7" t="n">
        <v>4</v>
      </c>
      <c r="AP1236" s="7" t="n">
        <v>0</v>
      </c>
      <c r="AQ1236" s="7" t="n">
        <v>0</v>
      </c>
      <c r="AR1236" s="6" t="s">
        <v>63</v>
      </c>
      <c r="AS1236" s="6" t="s">
        <v>63</v>
      </c>
      <c r="AT1236" s="28"/>
      <c r="AU1236" s="9" t="str">
        <f aca="false">HYPERLINK("https://creighton-primo.hosted.exlibrisgroup.com/primo-explore/search?tab=default_tab&amp;search_scope=EVERYTHING&amp;vid=01CRU&amp;lang=en_US&amp;offset=0&amp;query=any,contains,991004310959702656","Catalog Record")</f>
        <v>Catalog Record</v>
      </c>
      <c r="AV1236" s="9" t="str">
        <f aca="false">HYPERLINK("http://www.worldcat.org/oclc/2994282","WorldCat Record")</f>
        <v>WorldCat Record</v>
      </c>
      <c r="AW1236" s="6" t="s">
        <v>9079</v>
      </c>
      <c r="AX1236" s="6" t="s">
        <v>9080</v>
      </c>
      <c r="AY1236" s="6" t="s">
        <v>9081</v>
      </c>
      <c r="AZ1236" s="6" t="s">
        <v>9081</v>
      </c>
      <c r="BA1236" s="6" t="s">
        <v>9082</v>
      </c>
      <c r="BB1236" s="6" t="s">
        <v>9083</v>
      </c>
      <c r="BC1236" s="6" t="s">
        <v>9084</v>
      </c>
      <c r="BE1236" s="15" t="s">
        <v>2145</v>
      </c>
      <c r="BF1236" s="6" t="s">
        <v>9085</v>
      </c>
    </row>
    <row r="1237" customFormat="false" ht="370.5" hidden="false" customHeight="false" outlineLevel="0" collapsed="false">
      <c r="A1237" s="26" t="s">
        <v>63</v>
      </c>
      <c r="B1237" s="27" t="s">
        <v>2129</v>
      </c>
      <c r="C1237" s="27" t="s">
        <v>2130</v>
      </c>
      <c r="D1237" s="27" t="s">
        <v>9086</v>
      </c>
      <c r="E1237" s="27" t="s">
        <v>9087</v>
      </c>
      <c r="F1237" s="27" t="s">
        <v>9088</v>
      </c>
      <c r="G1237" s="28"/>
      <c r="H1237" s="6" t="s">
        <v>63</v>
      </c>
      <c r="I1237" s="6" t="s">
        <v>62</v>
      </c>
      <c r="J1237" s="6" t="s">
        <v>63</v>
      </c>
      <c r="K1237" s="6" t="s">
        <v>63</v>
      </c>
      <c r="L1237" s="6" t="s">
        <v>64</v>
      </c>
      <c r="M1237" s="28"/>
      <c r="N1237" s="27" t="s">
        <v>9089</v>
      </c>
      <c r="O1237" s="6" t="s">
        <v>6204</v>
      </c>
      <c r="P1237" s="28"/>
      <c r="Q1237" s="6" t="s">
        <v>9090</v>
      </c>
      <c r="R1237" s="6" t="s">
        <v>9091</v>
      </c>
      <c r="S1237" s="27" t="s">
        <v>9092</v>
      </c>
      <c r="T1237" s="6" t="s">
        <v>6138</v>
      </c>
      <c r="U1237" s="7" t="n">
        <v>0</v>
      </c>
      <c r="V1237" s="7" t="n">
        <v>0</v>
      </c>
      <c r="W1237" s="8" t="s">
        <v>9093</v>
      </c>
      <c r="X1237" s="8" t="s">
        <v>9093</v>
      </c>
      <c r="Y1237" s="8" t="s">
        <v>9094</v>
      </c>
      <c r="Z1237" s="8" t="s">
        <v>9094</v>
      </c>
      <c r="AA1237" s="7" t="n">
        <v>84</v>
      </c>
      <c r="AB1237" s="7" t="n">
        <v>51</v>
      </c>
      <c r="AC1237" s="7" t="n">
        <v>52</v>
      </c>
      <c r="AD1237" s="7" t="n">
        <v>1</v>
      </c>
      <c r="AE1237" s="7" t="n">
        <v>1</v>
      </c>
      <c r="AF1237" s="7" t="n">
        <v>4</v>
      </c>
      <c r="AG1237" s="7" t="n">
        <v>4</v>
      </c>
      <c r="AH1237" s="7" t="n">
        <v>0</v>
      </c>
      <c r="AI1237" s="7" t="n">
        <v>0</v>
      </c>
      <c r="AJ1237" s="7" t="n">
        <v>2</v>
      </c>
      <c r="AK1237" s="7" t="n">
        <v>2</v>
      </c>
      <c r="AL1237" s="7" t="n">
        <v>4</v>
      </c>
      <c r="AM1237" s="7" t="n">
        <v>4</v>
      </c>
      <c r="AN1237" s="7" t="n">
        <v>0</v>
      </c>
      <c r="AO1237" s="7" t="n">
        <v>0</v>
      </c>
      <c r="AP1237" s="7" t="n">
        <v>0</v>
      </c>
      <c r="AQ1237" s="7" t="n">
        <v>0</v>
      </c>
      <c r="AR1237" s="6" t="s">
        <v>63</v>
      </c>
      <c r="AS1237" s="6" t="s">
        <v>63</v>
      </c>
      <c r="AT1237" s="28"/>
      <c r="AU1237" s="9" t="str">
        <f aca="false">HYPERLINK("https://creighton-primo.hosted.exlibrisgroup.com/primo-explore/search?tab=default_tab&amp;search_scope=EVERYTHING&amp;vid=01CRU&amp;lang=en_US&amp;offset=0&amp;query=any,contains,991002987139702656","Catalog Record")</f>
        <v>Catalog Record</v>
      </c>
      <c r="AV1237" s="9" t="str">
        <f aca="false">HYPERLINK("http://www.worldcat.org/oclc/40259184","WorldCat Record")</f>
        <v>WorldCat Record</v>
      </c>
      <c r="AW1237" s="6" t="s">
        <v>9095</v>
      </c>
      <c r="AX1237" s="6" t="s">
        <v>9096</v>
      </c>
      <c r="AY1237" s="6" t="s">
        <v>9097</v>
      </c>
      <c r="AZ1237" s="6" t="s">
        <v>9097</v>
      </c>
      <c r="BA1237" s="6" t="s">
        <v>9098</v>
      </c>
      <c r="BB1237" s="6" t="s">
        <v>9099</v>
      </c>
      <c r="BC1237" s="6" t="s">
        <v>9100</v>
      </c>
      <c r="BE1237" s="15" t="s">
        <v>2145</v>
      </c>
      <c r="BF1237" s="6" t="s">
        <v>9101</v>
      </c>
    </row>
    <row r="1238" customFormat="false" ht="117" hidden="false" customHeight="false" outlineLevel="0" collapsed="false">
      <c r="A1238" s="26" t="s">
        <v>63</v>
      </c>
      <c r="B1238" s="27" t="s">
        <v>2129</v>
      </c>
      <c r="C1238" s="27" t="s">
        <v>2130</v>
      </c>
      <c r="D1238" s="27" t="s">
        <v>9102</v>
      </c>
      <c r="E1238" s="27" t="s">
        <v>9103</v>
      </c>
      <c r="F1238" s="27" t="s">
        <v>9104</v>
      </c>
      <c r="G1238" s="6" t="s">
        <v>1586</v>
      </c>
      <c r="H1238" s="6" t="s">
        <v>57</v>
      </c>
      <c r="I1238" s="6" t="s">
        <v>62</v>
      </c>
      <c r="J1238" s="6" t="s">
        <v>63</v>
      </c>
      <c r="K1238" s="6" t="s">
        <v>63</v>
      </c>
      <c r="L1238" s="6" t="s">
        <v>64</v>
      </c>
      <c r="M1238" s="27" t="s">
        <v>9105</v>
      </c>
      <c r="N1238" s="27" t="s">
        <v>9106</v>
      </c>
      <c r="O1238" s="6" t="s">
        <v>9107</v>
      </c>
      <c r="P1238" s="27" t="s">
        <v>9108</v>
      </c>
      <c r="Q1238" s="6" t="s">
        <v>67</v>
      </c>
      <c r="R1238" s="6" t="s">
        <v>384</v>
      </c>
      <c r="S1238" s="28"/>
      <c r="T1238" s="6" t="s">
        <v>6138</v>
      </c>
      <c r="U1238" s="7" t="n">
        <v>0</v>
      </c>
      <c r="V1238" s="7" t="n">
        <v>3</v>
      </c>
      <c r="W1238" s="28"/>
      <c r="X1238" s="8" t="s">
        <v>9109</v>
      </c>
      <c r="Y1238" s="8" t="s">
        <v>6024</v>
      </c>
      <c r="Z1238" s="8" t="s">
        <v>6024</v>
      </c>
      <c r="AA1238" s="7" t="n">
        <v>580</v>
      </c>
      <c r="AB1238" s="7" t="n">
        <v>474</v>
      </c>
      <c r="AC1238" s="7" t="n">
        <v>699</v>
      </c>
      <c r="AD1238" s="7" t="n">
        <v>3</v>
      </c>
      <c r="AE1238" s="7" t="n">
        <v>4</v>
      </c>
      <c r="AF1238" s="7" t="n">
        <v>27</v>
      </c>
      <c r="AG1238" s="7" t="n">
        <v>37</v>
      </c>
      <c r="AH1238" s="7" t="n">
        <v>13</v>
      </c>
      <c r="AI1238" s="7" t="n">
        <v>15</v>
      </c>
      <c r="AJ1238" s="7" t="n">
        <v>2</v>
      </c>
      <c r="AK1238" s="7" t="n">
        <v>6</v>
      </c>
      <c r="AL1238" s="7" t="n">
        <v>17</v>
      </c>
      <c r="AM1238" s="7" t="n">
        <v>24</v>
      </c>
      <c r="AN1238" s="7" t="n">
        <v>2</v>
      </c>
      <c r="AO1238" s="7" t="n">
        <v>3</v>
      </c>
      <c r="AP1238" s="7" t="n">
        <v>0</v>
      </c>
      <c r="AQ1238" s="7" t="n">
        <v>0</v>
      </c>
      <c r="AR1238" s="6" t="s">
        <v>57</v>
      </c>
      <c r="AS1238" s="6" t="s">
        <v>63</v>
      </c>
      <c r="AT1238" s="9" t="str">
        <f aca="false">HYPERLINK("http://catalog.hathitrust.org/Record/008899931","HathiTrust Record")</f>
        <v>HathiTrust Record</v>
      </c>
      <c r="AU1238" s="9" t="str">
        <f aca="false">HYPERLINK("https://creighton-primo.hosted.exlibrisgroup.com/primo-explore/search?tab=default_tab&amp;search_scope=EVERYTHING&amp;vid=01CRU&amp;lang=en_US&amp;offset=0&amp;query=any,contains,991005046589702656","Catalog Record")</f>
        <v>Catalog Record</v>
      </c>
      <c r="AV1238" s="9" t="str">
        <f aca="false">HYPERLINK("http://www.worldcat.org/oclc/6843862","WorldCat Record")</f>
        <v>WorldCat Record</v>
      </c>
      <c r="AW1238" s="6" t="s">
        <v>9110</v>
      </c>
      <c r="AX1238" s="6" t="s">
        <v>9111</v>
      </c>
      <c r="AY1238" s="6" t="s">
        <v>9112</v>
      </c>
      <c r="AZ1238" s="6" t="s">
        <v>9112</v>
      </c>
      <c r="BA1238" s="6" t="s">
        <v>9113</v>
      </c>
      <c r="BB1238" s="28"/>
      <c r="BC1238" s="6" t="s">
        <v>9114</v>
      </c>
      <c r="BE1238" s="15" t="s">
        <v>2145</v>
      </c>
      <c r="BF1238" s="6" t="s">
        <v>9115</v>
      </c>
    </row>
    <row r="1239" customFormat="false" ht="117" hidden="false" customHeight="false" outlineLevel="0" collapsed="false">
      <c r="A1239" s="26" t="s">
        <v>63</v>
      </c>
      <c r="B1239" s="27" t="s">
        <v>2129</v>
      </c>
      <c r="C1239" s="27" t="s">
        <v>2130</v>
      </c>
      <c r="D1239" s="27" t="s">
        <v>9102</v>
      </c>
      <c r="E1239" s="27" t="s">
        <v>9103</v>
      </c>
      <c r="F1239" s="27" t="s">
        <v>9104</v>
      </c>
      <c r="G1239" s="6" t="s">
        <v>395</v>
      </c>
      <c r="H1239" s="6" t="s">
        <v>57</v>
      </c>
      <c r="I1239" s="6" t="s">
        <v>62</v>
      </c>
      <c r="J1239" s="6" t="s">
        <v>63</v>
      </c>
      <c r="K1239" s="6" t="s">
        <v>63</v>
      </c>
      <c r="L1239" s="6" t="s">
        <v>64</v>
      </c>
      <c r="M1239" s="27" t="s">
        <v>9105</v>
      </c>
      <c r="N1239" s="27" t="s">
        <v>9106</v>
      </c>
      <c r="O1239" s="6" t="s">
        <v>9107</v>
      </c>
      <c r="P1239" s="27" t="s">
        <v>9108</v>
      </c>
      <c r="Q1239" s="6" t="s">
        <v>67</v>
      </c>
      <c r="R1239" s="6" t="s">
        <v>384</v>
      </c>
      <c r="S1239" s="28"/>
      <c r="T1239" s="6" t="s">
        <v>6138</v>
      </c>
      <c r="U1239" s="7" t="n">
        <v>0</v>
      </c>
      <c r="V1239" s="7" t="n">
        <v>3</v>
      </c>
      <c r="W1239" s="28"/>
      <c r="X1239" s="8" t="s">
        <v>9109</v>
      </c>
      <c r="Y1239" s="8" t="s">
        <v>6024</v>
      </c>
      <c r="Z1239" s="8" t="s">
        <v>6024</v>
      </c>
      <c r="AA1239" s="7" t="n">
        <v>580</v>
      </c>
      <c r="AB1239" s="7" t="n">
        <v>474</v>
      </c>
      <c r="AC1239" s="7" t="n">
        <v>699</v>
      </c>
      <c r="AD1239" s="7" t="n">
        <v>3</v>
      </c>
      <c r="AE1239" s="7" t="n">
        <v>4</v>
      </c>
      <c r="AF1239" s="7" t="n">
        <v>27</v>
      </c>
      <c r="AG1239" s="7" t="n">
        <v>37</v>
      </c>
      <c r="AH1239" s="7" t="n">
        <v>13</v>
      </c>
      <c r="AI1239" s="7" t="n">
        <v>15</v>
      </c>
      <c r="AJ1239" s="7" t="n">
        <v>2</v>
      </c>
      <c r="AK1239" s="7" t="n">
        <v>6</v>
      </c>
      <c r="AL1239" s="7" t="n">
        <v>17</v>
      </c>
      <c r="AM1239" s="7" t="n">
        <v>24</v>
      </c>
      <c r="AN1239" s="7" t="n">
        <v>2</v>
      </c>
      <c r="AO1239" s="7" t="n">
        <v>3</v>
      </c>
      <c r="AP1239" s="7" t="n">
        <v>0</v>
      </c>
      <c r="AQ1239" s="7" t="n">
        <v>0</v>
      </c>
      <c r="AR1239" s="6" t="s">
        <v>57</v>
      </c>
      <c r="AS1239" s="6" t="s">
        <v>63</v>
      </c>
      <c r="AT1239" s="9" t="str">
        <f aca="false">HYPERLINK("http://catalog.hathitrust.org/Record/008899931","HathiTrust Record")</f>
        <v>HathiTrust Record</v>
      </c>
      <c r="AU1239" s="9" t="str">
        <f aca="false">HYPERLINK("https://creighton-primo.hosted.exlibrisgroup.com/primo-explore/search?tab=default_tab&amp;search_scope=EVERYTHING&amp;vid=01CRU&amp;lang=en_US&amp;offset=0&amp;query=any,contains,991005046589702656","Catalog Record")</f>
        <v>Catalog Record</v>
      </c>
      <c r="AV1239" s="9" t="str">
        <f aca="false">HYPERLINK("http://www.worldcat.org/oclc/6843862","WorldCat Record")</f>
        <v>WorldCat Record</v>
      </c>
      <c r="AW1239" s="6" t="s">
        <v>9110</v>
      </c>
      <c r="AX1239" s="6" t="s">
        <v>9111</v>
      </c>
      <c r="AY1239" s="6" t="s">
        <v>9112</v>
      </c>
      <c r="AZ1239" s="6" t="s">
        <v>9112</v>
      </c>
      <c r="BA1239" s="6" t="s">
        <v>9113</v>
      </c>
      <c r="BB1239" s="28"/>
      <c r="BC1239" s="6" t="s">
        <v>9116</v>
      </c>
      <c r="BE1239" s="15" t="s">
        <v>2145</v>
      </c>
      <c r="BF1239" s="6" t="s">
        <v>9117</v>
      </c>
    </row>
    <row r="1240" customFormat="false" ht="117" hidden="false" customHeight="false" outlineLevel="0" collapsed="false">
      <c r="A1240" s="26" t="s">
        <v>63</v>
      </c>
      <c r="B1240" s="27" t="s">
        <v>2129</v>
      </c>
      <c r="C1240" s="27" t="s">
        <v>2130</v>
      </c>
      <c r="D1240" s="27" t="s">
        <v>9102</v>
      </c>
      <c r="E1240" s="27" t="s">
        <v>9103</v>
      </c>
      <c r="F1240" s="27" t="s">
        <v>9104</v>
      </c>
      <c r="G1240" s="6" t="s">
        <v>517</v>
      </c>
      <c r="H1240" s="6" t="s">
        <v>57</v>
      </c>
      <c r="I1240" s="6" t="s">
        <v>62</v>
      </c>
      <c r="J1240" s="6" t="s">
        <v>63</v>
      </c>
      <c r="K1240" s="6" t="s">
        <v>63</v>
      </c>
      <c r="L1240" s="6" t="s">
        <v>64</v>
      </c>
      <c r="M1240" s="27" t="s">
        <v>9105</v>
      </c>
      <c r="N1240" s="27" t="s">
        <v>9106</v>
      </c>
      <c r="O1240" s="6" t="s">
        <v>9107</v>
      </c>
      <c r="P1240" s="27" t="s">
        <v>9108</v>
      </c>
      <c r="Q1240" s="6" t="s">
        <v>67</v>
      </c>
      <c r="R1240" s="6" t="s">
        <v>384</v>
      </c>
      <c r="S1240" s="28"/>
      <c r="T1240" s="6" t="s">
        <v>6138</v>
      </c>
      <c r="U1240" s="7" t="n">
        <v>0</v>
      </c>
      <c r="V1240" s="7" t="n">
        <v>3</v>
      </c>
      <c r="W1240" s="28"/>
      <c r="X1240" s="8" t="s">
        <v>9109</v>
      </c>
      <c r="Y1240" s="8" t="s">
        <v>6024</v>
      </c>
      <c r="Z1240" s="8" t="s">
        <v>6024</v>
      </c>
      <c r="AA1240" s="7" t="n">
        <v>580</v>
      </c>
      <c r="AB1240" s="7" t="n">
        <v>474</v>
      </c>
      <c r="AC1240" s="7" t="n">
        <v>699</v>
      </c>
      <c r="AD1240" s="7" t="n">
        <v>3</v>
      </c>
      <c r="AE1240" s="7" t="n">
        <v>4</v>
      </c>
      <c r="AF1240" s="7" t="n">
        <v>27</v>
      </c>
      <c r="AG1240" s="7" t="n">
        <v>37</v>
      </c>
      <c r="AH1240" s="7" t="n">
        <v>13</v>
      </c>
      <c r="AI1240" s="7" t="n">
        <v>15</v>
      </c>
      <c r="AJ1240" s="7" t="n">
        <v>2</v>
      </c>
      <c r="AK1240" s="7" t="n">
        <v>6</v>
      </c>
      <c r="AL1240" s="7" t="n">
        <v>17</v>
      </c>
      <c r="AM1240" s="7" t="n">
        <v>24</v>
      </c>
      <c r="AN1240" s="7" t="n">
        <v>2</v>
      </c>
      <c r="AO1240" s="7" t="n">
        <v>3</v>
      </c>
      <c r="AP1240" s="7" t="n">
        <v>0</v>
      </c>
      <c r="AQ1240" s="7" t="n">
        <v>0</v>
      </c>
      <c r="AR1240" s="6" t="s">
        <v>57</v>
      </c>
      <c r="AS1240" s="6" t="s">
        <v>63</v>
      </c>
      <c r="AT1240" s="9" t="str">
        <f aca="false">HYPERLINK("http://catalog.hathitrust.org/Record/008899931","HathiTrust Record")</f>
        <v>HathiTrust Record</v>
      </c>
      <c r="AU1240" s="9" t="str">
        <f aca="false">HYPERLINK("https://creighton-primo.hosted.exlibrisgroup.com/primo-explore/search?tab=default_tab&amp;search_scope=EVERYTHING&amp;vid=01CRU&amp;lang=en_US&amp;offset=0&amp;query=any,contains,991005046589702656","Catalog Record")</f>
        <v>Catalog Record</v>
      </c>
      <c r="AV1240" s="9" t="str">
        <f aca="false">HYPERLINK("http://www.worldcat.org/oclc/6843862","WorldCat Record")</f>
        <v>WorldCat Record</v>
      </c>
      <c r="AW1240" s="6" t="s">
        <v>9110</v>
      </c>
      <c r="AX1240" s="6" t="s">
        <v>9111</v>
      </c>
      <c r="AY1240" s="6" t="s">
        <v>9112</v>
      </c>
      <c r="AZ1240" s="6" t="s">
        <v>9112</v>
      </c>
      <c r="BA1240" s="6" t="s">
        <v>9113</v>
      </c>
      <c r="BB1240" s="28"/>
      <c r="BC1240" s="6" t="s">
        <v>9118</v>
      </c>
      <c r="BE1240" s="15" t="s">
        <v>2145</v>
      </c>
      <c r="BF1240" s="6" t="s">
        <v>9119</v>
      </c>
    </row>
    <row r="1241" customFormat="false" ht="117" hidden="false" customHeight="false" outlineLevel="0" collapsed="false">
      <c r="A1241" s="26" t="s">
        <v>63</v>
      </c>
      <c r="B1241" s="27" t="s">
        <v>2129</v>
      </c>
      <c r="C1241" s="27" t="s">
        <v>2130</v>
      </c>
      <c r="D1241" s="27" t="s">
        <v>9102</v>
      </c>
      <c r="E1241" s="27" t="s">
        <v>9103</v>
      </c>
      <c r="F1241" s="27" t="s">
        <v>9104</v>
      </c>
      <c r="G1241" s="6" t="s">
        <v>390</v>
      </c>
      <c r="H1241" s="6" t="s">
        <v>57</v>
      </c>
      <c r="I1241" s="6" t="s">
        <v>62</v>
      </c>
      <c r="J1241" s="6" t="s">
        <v>63</v>
      </c>
      <c r="K1241" s="6" t="s">
        <v>63</v>
      </c>
      <c r="L1241" s="6" t="s">
        <v>64</v>
      </c>
      <c r="M1241" s="27" t="s">
        <v>9105</v>
      </c>
      <c r="N1241" s="27" t="s">
        <v>9106</v>
      </c>
      <c r="O1241" s="6" t="s">
        <v>9107</v>
      </c>
      <c r="P1241" s="27" t="s">
        <v>9108</v>
      </c>
      <c r="Q1241" s="6" t="s">
        <v>67</v>
      </c>
      <c r="R1241" s="6" t="s">
        <v>384</v>
      </c>
      <c r="S1241" s="28"/>
      <c r="T1241" s="6" t="s">
        <v>6138</v>
      </c>
      <c r="U1241" s="7" t="n">
        <v>3</v>
      </c>
      <c r="V1241" s="7" t="n">
        <v>3</v>
      </c>
      <c r="W1241" s="8" t="s">
        <v>9109</v>
      </c>
      <c r="X1241" s="8" t="s">
        <v>9109</v>
      </c>
      <c r="Y1241" s="8" t="s">
        <v>6024</v>
      </c>
      <c r="Z1241" s="8" t="s">
        <v>6024</v>
      </c>
      <c r="AA1241" s="7" t="n">
        <v>580</v>
      </c>
      <c r="AB1241" s="7" t="n">
        <v>474</v>
      </c>
      <c r="AC1241" s="7" t="n">
        <v>699</v>
      </c>
      <c r="AD1241" s="7" t="n">
        <v>3</v>
      </c>
      <c r="AE1241" s="7" t="n">
        <v>4</v>
      </c>
      <c r="AF1241" s="7" t="n">
        <v>27</v>
      </c>
      <c r="AG1241" s="7" t="n">
        <v>37</v>
      </c>
      <c r="AH1241" s="7" t="n">
        <v>13</v>
      </c>
      <c r="AI1241" s="7" t="n">
        <v>15</v>
      </c>
      <c r="AJ1241" s="7" t="n">
        <v>2</v>
      </c>
      <c r="AK1241" s="7" t="n">
        <v>6</v>
      </c>
      <c r="AL1241" s="7" t="n">
        <v>17</v>
      </c>
      <c r="AM1241" s="7" t="n">
        <v>24</v>
      </c>
      <c r="AN1241" s="7" t="n">
        <v>2</v>
      </c>
      <c r="AO1241" s="7" t="n">
        <v>3</v>
      </c>
      <c r="AP1241" s="7" t="n">
        <v>0</v>
      </c>
      <c r="AQ1241" s="7" t="n">
        <v>0</v>
      </c>
      <c r="AR1241" s="6" t="s">
        <v>57</v>
      </c>
      <c r="AS1241" s="6" t="s">
        <v>63</v>
      </c>
      <c r="AT1241" s="9" t="str">
        <f aca="false">HYPERLINK("http://catalog.hathitrust.org/Record/008899931","HathiTrust Record")</f>
        <v>HathiTrust Record</v>
      </c>
      <c r="AU1241" s="9" t="str">
        <f aca="false">HYPERLINK("https://creighton-primo.hosted.exlibrisgroup.com/primo-explore/search?tab=default_tab&amp;search_scope=EVERYTHING&amp;vid=01CRU&amp;lang=en_US&amp;offset=0&amp;query=any,contains,991005046589702656","Catalog Record")</f>
        <v>Catalog Record</v>
      </c>
      <c r="AV1241" s="9" t="str">
        <f aca="false">HYPERLINK("http://www.worldcat.org/oclc/6843862","WorldCat Record")</f>
        <v>WorldCat Record</v>
      </c>
      <c r="AW1241" s="6" t="s">
        <v>9110</v>
      </c>
      <c r="AX1241" s="6" t="s">
        <v>9111</v>
      </c>
      <c r="AY1241" s="6" t="s">
        <v>9112</v>
      </c>
      <c r="AZ1241" s="6" t="s">
        <v>9112</v>
      </c>
      <c r="BA1241" s="6" t="s">
        <v>9113</v>
      </c>
      <c r="BB1241" s="28"/>
      <c r="BC1241" s="6" t="s">
        <v>9120</v>
      </c>
      <c r="BE1241" s="15" t="s">
        <v>2145</v>
      </c>
      <c r="BF1241" s="6" t="s">
        <v>9121</v>
      </c>
    </row>
    <row r="1242" customFormat="false" ht="71" hidden="false" customHeight="false" outlineLevel="0" collapsed="false">
      <c r="A1242" s="26" t="s">
        <v>63</v>
      </c>
      <c r="B1242" s="27" t="s">
        <v>2129</v>
      </c>
      <c r="C1242" s="27" t="s">
        <v>2130</v>
      </c>
      <c r="D1242" s="27" t="s">
        <v>9122</v>
      </c>
      <c r="E1242" s="27" t="s">
        <v>9123</v>
      </c>
      <c r="F1242" s="27" t="s">
        <v>9124</v>
      </c>
      <c r="G1242" s="28"/>
      <c r="H1242" s="6" t="s">
        <v>63</v>
      </c>
      <c r="I1242" s="6" t="s">
        <v>62</v>
      </c>
      <c r="J1242" s="6" t="s">
        <v>63</v>
      </c>
      <c r="K1242" s="6" t="s">
        <v>63</v>
      </c>
      <c r="L1242" s="6" t="s">
        <v>64</v>
      </c>
      <c r="M1242" s="27" t="s">
        <v>9125</v>
      </c>
      <c r="N1242" s="27" t="s">
        <v>9126</v>
      </c>
      <c r="O1242" s="6" t="s">
        <v>167</v>
      </c>
      <c r="P1242" s="28"/>
      <c r="Q1242" s="6" t="s">
        <v>67</v>
      </c>
      <c r="R1242" s="6" t="s">
        <v>68</v>
      </c>
      <c r="S1242" s="28"/>
      <c r="T1242" s="6" t="s">
        <v>6138</v>
      </c>
      <c r="U1242" s="7" t="n">
        <v>1</v>
      </c>
      <c r="V1242" s="7" t="n">
        <v>1</v>
      </c>
      <c r="W1242" s="8" t="s">
        <v>9127</v>
      </c>
      <c r="X1242" s="8" t="s">
        <v>9127</v>
      </c>
      <c r="Y1242" s="8" t="s">
        <v>6024</v>
      </c>
      <c r="Z1242" s="8" t="s">
        <v>6024</v>
      </c>
      <c r="AA1242" s="7" t="n">
        <v>410</v>
      </c>
      <c r="AB1242" s="7" t="n">
        <v>345</v>
      </c>
      <c r="AC1242" s="7" t="n">
        <v>354</v>
      </c>
      <c r="AD1242" s="7" t="n">
        <v>7</v>
      </c>
      <c r="AE1242" s="7" t="n">
        <v>7</v>
      </c>
      <c r="AF1242" s="7" t="n">
        <v>20</v>
      </c>
      <c r="AG1242" s="7" t="n">
        <v>20</v>
      </c>
      <c r="AH1242" s="7" t="n">
        <v>5</v>
      </c>
      <c r="AI1242" s="7" t="n">
        <v>5</v>
      </c>
      <c r="AJ1242" s="7" t="n">
        <v>6</v>
      </c>
      <c r="AK1242" s="7" t="n">
        <v>6</v>
      </c>
      <c r="AL1242" s="7" t="n">
        <v>10</v>
      </c>
      <c r="AM1242" s="7" t="n">
        <v>10</v>
      </c>
      <c r="AN1242" s="7" t="n">
        <v>6</v>
      </c>
      <c r="AO1242" s="7" t="n">
        <v>6</v>
      </c>
      <c r="AP1242" s="7" t="n">
        <v>0</v>
      </c>
      <c r="AQ1242" s="7" t="n">
        <v>0</v>
      </c>
      <c r="AR1242" s="6" t="s">
        <v>63</v>
      </c>
      <c r="AS1242" s="6" t="s">
        <v>57</v>
      </c>
      <c r="AT1242" s="9" t="str">
        <f aca="false">HYPERLINK("http://catalog.hathitrust.org/Record/001380490","HathiTrust Record")</f>
        <v>HathiTrust Record</v>
      </c>
      <c r="AU1242" s="9" t="str">
        <f aca="false">HYPERLINK("https://creighton-primo.hosted.exlibrisgroup.com/primo-explore/search?tab=default_tab&amp;search_scope=EVERYTHING&amp;vid=01CRU&amp;lang=en_US&amp;offset=0&amp;query=any,contains,991003363259702656","Catalog Record")</f>
        <v>Catalog Record</v>
      </c>
      <c r="AV1242" s="9" t="str">
        <f aca="false">HYPERLINK("http://www.worldcat.org/oclc/899224","WorldCat Record")</f>
        <v>WorldCat Record</v>
      </c>
      <c r="AW1242" s="6" t="s">
        <v>9128</v>
      </c>
      <c r="AX1242" s="6" t="s">
        <v>9129</v>
      </c>
      <c r="AY1242" s="6" t="s">
        <v>9130</v>
      </c>
      <c r="AZ1242" s="6" t="s">
        <v>9130</v>
      </c>
      <c r="BA1242" s="6" t="s">
        <v>9131</v>
      </c>
      <c r="BB1242" s="28"/>
      <c r="BC1242" s="6" t="s">
        <v>9132</v>
      </c>
      <c r="BE1242" s="15" t="s">
        <v>2145</v>
      </c>
      <c r="BF1242" s="6" t="s">
        <v>9133</v>
      </c>
    </row>
    <row r="1243" customFormat="false" ht="94" hidden="false" customHeight="false" outlineLevel="0" collapsed="false">
      <c r="A1243" s="26" t="s">
        <v>57</v>
      </c>
      <c r="B1243" s="27" t="s">
        <v>2129</v>
      </c>
      <c r="C1243" s="27" t="s">
        <v>2130</v>
      </c>
      <c r="D1243" s="27" t="s">
        <v>9134</v>
      </c>
      <c r="E1243" s="27" t="s">
        <v>9135</v>
      </c>
      <c r="F1243" s="27" t="s">
        <v>9136</v>
      </c>
      <c r="G1243" s="28"/>
      <c r="H1243" s="6" t="s">
        <v>63</v>
      </c>
      <c r="I1243" s="6" t="s">
        <v>62</v>
      </c>
      <c r="J1243" s="6" t="s">
        <v>63</v>
      </c>
      <c r="K1243" s="6" t="s">
        <v>63</v>
      </c>
      <c r="L1243" s="6" t="s">
        <v>64</v>
      </c>
      <c r="M1243" s="27" t="s">
        <v>9137</v>
      </c>
      <c r="N1243" s="27" t="s">
        <v>9138</v>
      </c>
      <c r="O1243" s="6" t="s">
        <v>2811</v>
      </c>
      <c r="P1243" s="28"/>
      <c r="Q1243" s="6" t="s">
        <v>67</v>
      </c>
      <c r="R1243" s="6" t="s">
        <v>384</v>
      </c>
      <c r="S1243" s="28"/>
      <c r="T1243" s="6" t="s">
        <v>6138</v>
      </c>
      <c r="U1243" s="7" t="n">
        <v>3</v>
      </c>
      <c r="V1243" s="7" t="n">
        <v>3</v>
      </c>
      <c r="W1243" s="8" t="s">
        <v>9139</v>
      </c>
      <c r="X1243" s="8" t="s">
        <v>9139</v>
      </c>
      <c r="Y1243" s="8" t="s">
        <v>6024</v>
      </c>
      <c r="Z1243" s="8" t="s">
        <v>6024</v>
      </c>
      <c r="AA1243" s="7" t="n">
        <v>570</v>
      </c>
      <c r="AB1243" s="7" t="n">
        <v>402</v>
      </c>
      <c r="AC1243" s="7" t="n">
        <v>412</v>
      </c>
      <c r="AD1243" s="7" t="n">
        <v>3</v>
      </c>
      <c r="AE1243" s="7" t="n">
        <v>3</v>
      </c>
      <c r="AF1243" s="7" t="n">
        <v>20</v>
      </c>
      <c r="AG1243" s="7" t="n">
        <v>20</v>
      </c>
      <c r="AH1243" s="7" t="n">
        <v>5</v>
      </c>
      <c r="AI1243" s="7" t="n">
        <v>5</v>
      </c>
      <c r="AJ1243" s="7" t="n">
        <v>6</v>
      </c>
      <c r="AK1243" s="7" t="n">
        <v>6</v>
      </c>
      <c r="AL1243" s="7" t="n">
        <v>12</v>
      </c>
      <c r="AM1243" s="7" t="n">
        <v>12</v>
      </c>
      <c r="AN1243" s="7" t="n">
        <v>2</v>
      </c>
      <c r="AO1243" s="7" t="n">
        <v>2</v>
      </c>
      <c r="AP1243" s="7" t="n">
        <v>0</v>
      </c>
      <c r="AQ1243" s="7" t="n">
        <v>0</v>
      </c>
      <c r="AR1243" s="6" t="s">
        <v>63</v>
      </c>
      <c r="AS1243" s="6" t="s">
        <v>63</v>
      </c>
      <c r="AT1243" s="28"/>
      <c r="AU1243" s="9" t="str">
        <f aca="false">HYPERLINK("https://creighton-primo.hosted.exlibrisgroup.com/primo-explore/search?tab=default_tab&amp;search_scope=EVERYTHING&amp;vid=01CRU&amp;lang=en_US&amp;offset=0&amp;query=any,contains,991001542849702656","Catalog Record")</f>
        <v>Catalog Record</v>
      </c>
      <c r="AV1243" s="9" t="str">
        <f aca="false">HYPERLINK("http://www.worldcat.org/oclc/232484","WorldCat Record")</f>
        <v>WorldCat Record</v>
      </c>
      <c r="AW1243" s="6" t="s">
        <v>9140</v>
      </c>
      <c r="AX1243" s="6" t="s">
        <v>9141</v>
      </c>
      <c r="AY1243" s="6" t="s">
        <v>9142</v>
      </c>
      <c r="AZ1243" s="6" t="s">
        <v>9142</v>
      </c>
      <c r="BA1243" s="6" t="s">
        <v>9143</v>
      </c>
      <c r="BB1243" s="6" t="s">
        <v>9144</v>
      </c>
      <c r="BC1243" s="6" t="s">
        <v>9145</v>
      </c>
      <c r="BE1243" s="15" t="s">
        <v>2145</v>
      </c>
      <c r="BF1243" s="6" t="s">
        <v>9146</v>
      </c>
    </row>
    <row r="1244" customFormat="false" ht="71" hidden="false" customHeight="false" outlineLevel="0" collapsed="false">
      <c r="A1244" s="26" t="s">
        <v>63</v>
      </c>
      <c r="B1244" s="27" t="s">
        <v>2129</v>
      </c>
      <c r="C1244" s="27" t="s">
        <v>2130</v>
      </c>
      <c r="D1244" s="27" t="s">
        <v>9147</v>
      </c>
      <c r="E1244" s="27" t="s">
        <v>9148</v>
      </c>
      <c r="F1244" s="27" t="s">
        <v>9149</v>
      </c>
      <c r="G1244" s="28"/>
      <c r="H1244" s="6" t="s">
        <v>63</v>
      </c>
      <c r="I1244" s="6" t="s">
        <v>62</v>
      </c>
      <c r="J1244" s="6" t="s">
        <v>63</v>
      </c>
      <c r="K1244" s="6" t="s">
        <v>63</v>
      </c>
      <c r="L1244" s="6" t="s">
        <v>64</v>
      </c>
      <c r="M1244" s="27" t="s">
        <v>9150</v>
      </c>
      <c r="N1244" s="27" t="s">
        <v>9151</v>
      </c>
      <c r="O1244" s="6" t="s">
        <v>3094</v>
      </c>
      <c r="P1244" s="28"/>
      <c r="Q1244" s="6" t="s">
        <v>67</v>
      </c>
      <c r="R1244" s="6" t="s">
        <v>123</v>
      </c>
      <c r="S1244" s="27" t="s">
        <v>9152</v>
      </c>
      <c r="T1244" s="6" t="s">
        <v>6138</v>
      </c>
      <c r="U1244" s="7" t="n">
        <v>3</v>
      </c>
      <c r="V1244" s="7" t="n">
        <v>3</v>
      </c>
      <c r="W1244" s="8" t="s">
        <v>9153</v>
      </c>
      <c r="X1244" s="8" t="s">
        <v>9153</v>
      </c>
      <c r="Y1244" s="8" t="s">
        <v>5377</v>
      </c>
      <c r="Z1244" s="8" t="s">
        <v>5377</v>
      </c>
      <c r="AA1244" s="7" t="n">
        <v>573</v>
      </c>
      <c r="AB1244" s="7" t="n">
        <v>498</v>
      </c>
      <c r="AC1244" s="7" t="n">
        <v>505</v>
      </c>
      <c r="AD1244" s="7" t="n">
        <v>3</v>
      </c>
      <c r="AE1244" s="7" t="n">
        <v>3</v>
      </c>
      <c r="AF1244" s="7" t="n">
        <v>17</v>
      </c>
      <c r="AG1244" s="7" t="n">
        <v>17</v>
      </c>
      <c r="AH1244" s="7" t="n">
        <v>7</v>
      </c>
      <c r="AI1244" s="7" t="n">
        <v>7</v>
      </c>
      <c r="AJ1244" s="7" t="n">
        <v>3</v>
      </c>
      <c r="AK1244" s="7" t="n">
        <v>3</v>
      </c>
      <c r="AL1244" s="7" t="n">
        <v>9</v>
      </c>
      <c r="AM1244" s="7" t="n">
        <v>9</v>
      </c>
      <c r="AN1244" s="7" t="n">
        <v>1</v>
      </c>
      <c r="AO1244" s="7" t="n">
        <v>1</v>
      </c>
      <c r="AP1244" s="7" t="n">
        <v>0</v>
      </c>
      <c r="AQ1244" s="7" t="n">
        <v>0</v>
      </c>
      <c r="AR1244" s="6" t="s">
        <v>63</v>
      </c>
      <c r="AS1244" s="6" t="s">
        <v>63</v>
      </c>
      <c r="AT1244" s="28"/>
      <c r="AU1244" s="9" t="str">
        <f aca="false">HYPERLINK("https://creighton-primo.hosted.exlibrisgroup.com/primo-explore/search?tab=default_tab&amp;search_scope=EVERYTHING&amp;vid=01CRU&amp;lang=en_US&amp;offset=0&amp;query=any,contains,991002566659702656","Catalog Record")</f>
        <v>Catalog Record</v>
      </c>
      <c r="AV1244" s="9" t="str">
        <f aca="false">HYPERLINK("http://www.worldcat.org/oclc/372747","WorldCat Record")</f>
        <v>WorldCat Record</v>
      </c>
      <c r="AW1244" s="6" t="s">
        <v>9154</v>
      </c>
      <c r="AX1244" s="6" t="s">
        <v>9155</v>
      </c>
      <c r="AY1244" s="6" t="s">
        <v>9156</v>
      </c>
      <c r="AZ1244" s="6" t="s">
        <v>9156</v>
      </c>
      <c r="BA1244" s="6" t="s">
        <v>9157</v>
      </c>
      <c r="BB1244" s="28"/>
      <c r="BC1244" s="6" t="s">
        <v>9158</v>
      </c>
      <c r="BE1244" s="15" t="s">
        <v>2145</v>
      </c>
      <c r="BF1244" s="6" t="s">
        <v>9159</v>
      </c>
    </row>
    <row r="1245" customFormat="false" ht="140" hidden="false" customHeight="false" outlineLevel="0" collapsed="false">
      <c r="A1245" s="26" t="s">
        <v>63</v>
      </c>
      <c r="B1245" s="27" t="s">
        <v>2129</v>
      </c>
      <c r="C1245" s="27" t="s">
        <v>2130</v>
      </c>
      <c r="D1245" s="27" t="s">
        <v>9160</v>
      </c>
      <c r="E1245" s="27" t="s">
        <v>9161</v>
      </c>
      <c r="F1245" s="27" t="s">
        <v>9162</v>
      </c>
      <c r="G1245" s="28"/>
      <c r="H1245" s="6" t="s">
        <v>63</v>
      </c>
      <c r="I1245" s="6" t="s">
        <v>62</v>
      </c>
      <c r="J1245" s="6" t="s">
        <v>63</v>
      </c>
      <c r="K1245" s="6" t="s">
        <v>63</v>
      </c>
      <c r="L1245" s="6" t="s">
        <v>64</v>
      </c>
      <c r="M1245" s="27" t="s">
        <v>9163</v>
      </c>
      <c r="N1245" s="27" t="s">
        <v>9164</v>
      </c>
      <c r="O1245" s="6" t="s">
        <v>122</v>
      </c>
      <c r="P1245" s="28"/>
      <c r="Q1245" s="6" t="s">
        <v>67</v>
      </c>
      <c r="R1245" s="6" t="s">
        <v>123</v>
      </c>
      <c r="S1245" s="28"/>
      <c r="T1245" s="6" t="s">
        <v>6138</v>
      </c>
      <c r="U1245" s="7" t="n">
        <v>5</v>
      </c>
      <c r="V1245" s="7" t="n">
        <v>5</v>
      </c>
      <c r="W1245" s="8" t="s">
        <v>9165</v>
      </c>
      <c r="X1245" s="8" t="s">
        <v>9165</v>
      </c>
      <c r="Y1245" s="8" t="s">
        <v>5377</v>
      </c>
      <c r="Z1245" s="8" t="s">
        <v>5377</v>
      </c>
      <c r="AA1245" s="7" t="n">
        <v>332</v>
      </c>
      <c r="AB1245" s="7" t="n">
        <v>288</v>
      </c>
      <c r="AC1245" s="7" t="n">
        <v>294</v>
      </c>
      <c r="AD1245" s="7" t="n">
        <v>2</v>
      </c>
      <c r="AE1245" s="7" t="n">
        <v>2</v>
      </c>
      <c r="AF1245" s="7" t="n">
        <v>16</v>
      </c>
      <c r="AG1245" s="7" t="n">
        <v>16</v>
      </c>
      <c r="AH1245" s="7" t="n">
        <v>6</v>
      </c>
      <c r="AI1245" s="7" t="n">
        <v>6</v>
      </c>
      <c r="AJ1245" s="7" t="n">
        <v>4</v>
      </c>
      <c r="AK1245" s="7" t="n">
        <v>4</v>
      </c>
      <c r="AL1245" s="7" t="n">
        <v>10</v>
      </c>
      <c r="AM1245" s="7" t="n">
        <v>10</v>
      </c>
      <c r="AN1245" s="7" t="n">
        <v>1</v>
      </c>
      <c r="AO1245" s="7" t="n">
        <v>1</v>
      </c>
      <c r="AP1245" s="7" t="n">
        <v>0</v>
      </c>
      <c r="AQ1245" s="7" t="n">
        <v>0</v>
      </c>
      <c r="AR1245" s="6" t="s">
        <v>63</v>
      </c>
      <c r="AS1245" s="6" t="s">
        <v>57</v>
      </c>
      <c r="AT1245" s="9" t="str">
        <f aca="false">HYPERLINK("http://catalog.hathitrust.org/Record/001384297","HathiTrust Record")</f>
        <v>HathiTrust Record</v>
      </c>
      <c r="AU1245" s="9" t="str">
        <f aca="false">HYPERLINK("https://creighton-primo.hosted.exlibrisgroup.com/primo-explore/search?tab=default_tab&amp;search_scope=EVERYTHING&amp;vid=01CRU&amp;lang=en_US&amp;offset=0&amp;query=any,contains,991002256199702656","Catalog Record")</f>
        <v>Catalog Record</v>
      </c>
      <c r="AV1245" s="9" t="str">
        <f aca="false">HYPERLINK("http://www.worldcat.org/oclc/301864","WorldCat Record")</f>
        <v>WorldCat Record</v>
      </c>
      <c r="AW1245" s="6" t="s">
        <v>9166</v>
      </c>
      <c r="AX1245" s="6" t="s">
        <v>9167</v>
      </c>
      <c r="AY1245" s="6" t="s">
        <v>9168</v>
      </c>
      <c r="AZ1245" s="6" t="s">
        <v>9168</v>
      </c>
      <c r="BA1245" s="6" t="s">
        <v>9169</v>
      </c>
      <c r="BB1245" s="28"/>
      <c r="BC1245" s="6" t="s">
        <v>9170</v>
      </c>
      <c r="BE1245" s="15" t="s">
        <v>2145</v>
      </c>
      <c r="BF1245" s="6" t="s">
        <v>9171</v>
      </c>
    </row>
    <row r="1246" customFormat="false" ht="232" hidden="false" customHeight="false" outlineLevel="0" collapsed="false">
      <c r="A1246" s="26" t="s">
        <v>63</v>
      </c>
      <c r="B1246" s="27" t="s">
        <v>2129</v>
      </c>
      <c r="C1246" s="27" t="s">
        <v>2130</v>
      </c>
      <c r="D1246" s="27" t="s">
        <v>9172</v>
      </c>
      <c r="E1246" s="27" t="s">
        <v>9173</v>
      </c>
      <c r="F1246" s="27" t="s">
        <v>9174</v>
      </c>
      <c r="G1246" s="28"/>
      <c r="H1246" s="6" t="s">
        <v>63</v>
      </c>
      <c r="I1246" s="6" t="s">
        <v>62</v>
      </c>
      <c r="J1246" s="6" t="s">
        <v>63</v>
      </c>
      <c r="K1246" s="6" t="s">
        <v>63</v>
      </c>
      <c r="L1246" s="6" t="s">
        <v>64</v>
      </c>
      <c r="M1246" s="27" t="s">
        <v>9175</v>
      </c>
      <c r="N1246" s="27" t="s">
        <v>9176</v>
      </c>
      <c r="O1246" s="6" t="s">
        <v>4833</v>
      </c>
      <c r="P1246" s="28"/>
      <c r="Q1246" s="6" t="s">
        <v>67</v>
      </c>
      <c r="R1246" s="6" t="s">
        <v>123</v>
      </c>
      <c r="S1246" s="28"/>
      <c r="T1246" s="6" t="s">
        <v>6138</v>
      </c>
      <c r="U1246" s="7" t="n">
        <v>2</v>
      </c>
      <c r="V1246" s="7" t="n">
        <v>2</v>
      </c>
      <c r="W1246" s="8" t="s">
        <v>9177</v>
      </c>
      <c r="X1246" s="8" t="s">
        <v>9177</v>
      </c>
      <c r="Y1246" s="8" t="s">
        <v>9178</v>
      </c>
      <c r="Z1246" s="8" t="s">
        <v>9178</v>
      </c>
      <c r="AA1246" s="7" t="n">
        <v>387</v>
      </c>
      <c r="AB1246" s="7" t="n">
        <v>305</v>
      </c>
      <c r="AC1246" s="7" t="n">
        <v>432</v>
      </c>
      <c r="AD1246" s="7" t="n">
        <v>2</v>
      </c>
      <c r="AE1246" s="7" t="n">
        <v>2</v>
      </c>
      <c r="AF1246" s="7" t="n">
        <v>18</v>
      </c>
      <c r="AG1246" s="7" t="n">
        <v>27</v>
      </c>
      <c r="AH1246" s="7" t="n">
        <v>5</v>
      </c>
      <c r="AI1246" s="7" t="n">
        <v>9</v>
      </c>
      <c r="AJ1246" s="7" t="n">
        <v>6</v>
      </c>
      <c r="AK1246" s="7" t="n">
        <v>8</v>
      </c>
      <c r="AL1246" s="7" t="n">
        <v>10</v>
      </c>
      <c r="AM1246" s="7" t="n">
        <v>17</v>
      </c>
      <c r="AN1246" s="7" t="n">
        <v>1</v>
      </c>
      <c r="AO1246" s="7" t="n">
        <v>1</v>
      </c>
      <c r="AP1246" s="7" t="n">
        <v>0</v>
      </c>
      <c r="AQ1246" s="7" t="n">
        <v>0</v>
      </c>
      <c r="AR1246" s="6" t="s">
        <v>63</v>
      </c>
      <c r="AS1246" s="6" t="s">
        <v>63</v>
      </c>
      <c r="AT1246" s="28"/>
      <c r="AU1246" s="9" t="str">
        <f aca="false">HYPERLINK("https://creighton-primo.hosted.exlibrisgroup.com/primo-explore/search?tab=default_tab&amp;search_scope=EVERYTHING&amp;vid=01CRU&amp;lang=en_US&amp;offset=0&amp;query=any,contains,991003431129702656","Catalog Record")</f>
        <v>Catalog Record</v>
      </c>
      <c r="AV1246" s="9" t="str">
        <f aca="false">HYPERLINK("http://www.worldcat.org/oclc/965681","WorldCat Record")</f>
        <v>WorldCat Record</v>
      </c>
      <c r="AW1246" s="6" t="s">
        <v>9179</v>
      </c>
      <c r="AX1246" s="6" t="s">
        <v>9180</v>
      </c>
      <c r="AY1246" s="6" t="s">
        <v>9181</v>
      </c>
      <c r="AZ1246" s="6" t="s">
        <v>9181</v>
      </c>
      <c r="BA1246" s="6" t="s">
        <v>9182</v>
      </c>
      <c r="BB1246" s="28"/>
      <c r="BC1246" s="6" t="s">
        <v>9183</v>
      </c>
      <c r="BE1246" s="15" t="s">
        <v>2145</v>
      </c>
      <c r="BF1246" s="6" t="s">
        <v>9184</v>
      </c>
    </row>
    <row r="1247" customFormat="false" ht="117" hidden="false" customHeight="false" outlineLevel="0" collapsed="false">
      <c r="A1247" s="26" t="s">
        <v>57</v>
      </c>
      <c r="B1247" s="27" t="s">
        <v>2129</v>
      </c>
      <c r="C1247" s="27" t="s">
        <v>2130</v>
      </c>
      <c r="D1247" s="27" t="s">
        <v>9185</v>
      </c>
      <c r="E1247" s="27" t="s">
        <v>9186</v>
      </c>
      <c r="F1247" s="27" t="s">
        <v>9187</v>
      </c>
      <c r="G1247" s="28"/>
      <c r="H1247" s="6" t="s">
        <v>63</v>
      </c>
      <c r="I1247" s="6" t="s">
        <v>62</v>
      </c>
      <c r="J1247" s="6" t="s">
        <v>63</v>
      </c>
      <c r="K1247" s="6" t="s">
        <v>63</v>
      </c>
      <c r="L1247" s="6" t="s">
        <v>64</v>
      </c>
      <c r="M1247" s="27" t="s">
        <v>9188</v>
      </c>
      <c r="N1247" s="27" t="s">
        <v>9189</v>
      </c>
      <c r="O1247" s="6" t="s">
        <v>66</v>
      </c>
      <c r="P1247" s="28"/>
      <c r="Q1247" s="6" t="s">
        <v>67</v>
      </c>
      <c r="R1247" s="6" t="s">
        <v>68</v>
      </c>
      <c r="S1247" s="27" t="s">
        <v>9190</v>
      </c>
      <c r="T1247" s="6" t="s">
        <v>6138</v>
      </c>
      <c r="U1247" s="7" t="n">
        <v>3</v>
      </c>
      <c r="V1247" s="7" t="n">
        <v>3</v>
      </c>
      <c r="W1247" s="8" t="s">
        <v>9191</v>
      </c>
      <c r="X1247" s="8" t="s">
        <v>9191</v>
      </c>
      <c r="Y1247" s="8" t="s">
        <v>9192</v>
      </c>
      <c r="Z1247" s="8" t="s">
        <v>9192</v>
      </c>
      <c r="AA1247" s="7" t="n">
        <v>203</v>
      </c>
      <c r="AB1247" s="7" t="n">
        <v>155</v>
      </c>
      <c r="AC1247" s="7" t="n">
        <v>157</v>
      </c>
      <c r="AD1247" s="7" t="n">
        <v>2</v>
      </c>
      <c r="AE1247" s="7" t="n">
        <v>2</v>
      </c>
      <c r="AF1247" s="7" t="n">
        <v>14</v>
      </c>
      <c r="AG1247" s="7" t="n">
        <v>14</v>
      </c>
      <c r="AH1247" s="7" t="n">
        <v>4</v>
      </c>
      <c r="AI1247" s="7" t="n">
        <v>4</v>
      </c>
      <c r="AJ1247" s="7" t="n">
        <v>5</v>
      </c>
      <c r="AK1247" s="7" t="n">
        <v>5</v>
      </c>
      <c r="AL1247" s="7" t="n">
        <v>10</v>
      </c>
      <c r="AM1247" s="7" t="n">
        <v>10</v>
      </c>
      <c r="AN1247" s="7" t="n">
        <v>1</v>
      </c>
      <c r="AO1247" s="7" t="n">
        <v>1</v>
      </c>
      <c r="AP1247" s="7" t="n">
        <v>0</v>
      </c>
      <c r="AQ1247" s="7" t="n">
        <v>0</v>
      </c>
      <c r="AR1247" s="6" t="s">
        <v>63</v>
      </c>
      <c r="AS1247" s="6" t="s">
        <v>57</v>
      </c>
      <c r="AT1247" s="9" t="str">
        <f aca="false">HYPERLINK("http://catalog.hathitrust.org/Record/002861808","HathiTrust Record")</f>
        <v>HathiTrust Record</v>
      </c>
      <c r="AU1247" s="9" t="str">
        <f aca="false">HYPERLINK("https://creighton-primo.hosted.exlibrisgroup.com/primo-explore/search?tab=default_tab&amp;search_scope=EVERYTHING&amp;vid=01CRU&amp;lang=en_US&amp;offset=0&amp;query=any,contains,991002151899702656","Catalog Record")</f>
        <v>Catalog Record</v>
      </c>
      <c r="AV1247" s="9" t="str">
        <f aca="false">HYPERLINK("http://www.worldcat.org/oclc/27727252","WorldCat Record")</f>
        <v>WorldCat Record</v>
      </c>
      <c r="AW1247" s="6" t="s">
        <v>9193</v>
      </c>
      <c r="AX1247" s="6" t="s">
        <v>9194</v>
      </c>
      <c r="AY1247" s="6" t="s">
        <v>9195</v>
      </c>
      <c r="AZ1247" s="6" t="s">
        <v>9195</v>
      </c>
      <c r="BA1247" s="6" t="s">
        <v>9196</v>
      </c>
      <c r="BB1247" s="6" t="s">
        <v>9197</v>
      </c>
      <c r="BC1247" s="6" t="s">
        <v>9198</v>
      </c>
      <c r="BE1247" s="15" t="s">
        <v>2145</v>
      </c>
      <c r="BF1247" s="6" t="s">
        <v>9199</v>
      </c>
    </row>
    <row r="1248" customFormat="false" ht="82.5" hidden="false" customHeight="false" outlineLevel="0" collapsed="false">
      <c r="A1248" s="26" t="s">
        <v>63</v>
      </c>
      <c r="B1248" s="27" t="s">
        <v>2129</v>
      </c>
      <c r="C1248" s="27" t="s">
        <v>2130</v>
      </c>
      <c r="D1248" s="27" t="s">
        <v>9200</v>
      </c>
      <c r="E1248" s="27" t="s">
        <v>9201</v>
      </c>
      <c r="F1248" s="27" t="s">
        <v>9202</v>
      </c>
      <c r="G1248" s="28"/>
      <c r="H1248" s="6" t="s">
        <v>63</v>
      </c>
      <c r="I1248" s="6" t="s">
        <v>62</v>
      </c>
      <c r="J1248" s="6" t="s">
        <v>63</v>
      </c>
      <c r="K1248" s="6" t="s">
        <v>63</v>
      </c>
      <c r="L1248" s="6" t="s">
        <v>64</v>
      </c>
      <c r="M1248" s="27" t="s">
        <v>9203</v>
      </c>
      <c r="N1248" s="27" t="s">
        <v>8980</v>
      </c>
      <c r="O1248" s="6" t="s">
        <v>167</v>
      </c>
      <c r="P1248" s="28"/>
      <c r="Q1248" s="6" t="s">
        <v>67</v>
      </c>
      <c r="R1248" s="6" t="s">
        <v>384</v>
      </c>
      <c r="S1248" s="28"/>
      <c r="T1248" s="6" t="s">
        <v>6138</v>
      </c>
      <c r="U1248" s="7" t="n">
        <v>1</v>
      </c>
      <c r="V1248" s="7" t="n">
        <v>1</v>
      </c>
      <c r="W1248" s="8" t="s">
        <v>9204</v>
      </c>
      <c r="X1248" s="8" t="s">
        <v>9204</v>
      </c>
      <c r="Y1248" s="8" t="s">
        <v>6024</v>
      </c>
      <c r="Z1248" s="8" t="s">
        <v>6024</v>
      </c>
      <c r="AA1248" s="7" t="n">
        <v>669</v>
      </c>
      <c r="AB1248" s="7" t="n">
        <v>523</v>
      </c>
      <c r="AC1248" s="7" t="n">
        <v>534</v>
      </c>
      <c r="AD1248" s="7" t="n">
        <v>4</v>
      </c>
      <c r="AE1248" s="7" t="n">
        <v>4</v>
      </c>
      <c r="AF1248" s="7" t="n">
        <v>31</v>
      </c>
      <c r="AG1248" s="7" t="n">
        <v>31</v>
      </c>
      <c r="AH1248" s="7" t="n">
        <v>12</v>
      </c>
      <c r="AI1248" s="7" t="n">
        <v>12</v>
      </c>
      <c r="AJ1248" s="7" t="n">
        <v>6</v>
      </c>
      <c r="AK1248" s="7" t="n">
        <v>6</v>
      </c>
      <c r="AL1248" s="7" t="n">
        <v>19</v>
      </c>
      <c r="AM1248" s="7" t="n">
        <v>19</v>
      </c>
      <c r="AN1248" s="7" t="n">
        <v>3</v>
      </c>
      <c r="AO1248" s="7" t="n">
        <v>3</v>
      </c>
      <c r="AP1248" s="7" t="n">
        <v>0</v>
      </c>
      <c r="AQ1248" s="7" t="n">
        <v>0</v>
      </c>
      <c r="AR1248" s="6" t="s">
        <v>63</v>
      </c>
      <c r="AS1248" s="6" t="s">
        <v>63</v>
      </c>
      <c r="AT1248" s="28"/>
      <c r="AU1248" s="9" t="str">
        <f aca="false">HYPERLINK("https://creighton-primo.hosted.exlibrisgroup.com/primo-explore/search?tab=default_tab&amp;search_scope=EVERYTHING&amp;vid=01CRU&amp;lang=en_US&amp;offset=0&amp;query=any,contains,991003131359702656","Catalog Record")</f>
        <v>Catalog Record</v>
      </c>
      <c r="AV1248" s="9" t="str">
        <f aca="false">HYPERLINK("http://www.worldcat.org/oclc/674500","WorldCat Record")</f>
        <v>WorldCat Record</v>
      </c>
      <c r="AW1248" s="6" t="s">
        <v>9205</v>
      </c>
      <c r="AX1248" s="6" t="s">
        <v>9206</v>
      </c>
      <c r="AY1248" s="6" t="s">
        <v>9207</v>
      </c>
      <c r="AZ1248" s="6" t="s">
        <v>9207</v>
      </c>
      <c r="BA1248" s="6" t="s">
        <v>9208</v>
      </c>
      <c r="BB1248" s="28"/>
      <c r="BC1248" s="6" t="s">
        <v>9209</v>
      </c>
      <c r="BE1248" s="15" t="s">
        <v>2145</v>
      </c>
      <c r="BF1248" s="6" t="s">
        <v>9210</v>
      </c>
    </row>
    <row r="1249" customFormat="false" ht="71" hidden="false" customHeight="false" outlineLevel="0" collapsed="false">
      <c r="A1249" s="26" t="s">
        <v>63</v>
      </c>
      <c r="B1249" s="27" t="s">
        <v>2129</v>
      </c>
      <c r="C1249" s="27" t="s">
        <v>2130</v>
      </c>
      <c r="D1249" s="27" t="s">
        <v>9211</v>
      </c>
      <c r="E1249" s="27" t="s">
        <v>9212</v>
      </c>
      <c r="F1249" s="27" t="s">
        <v>9213</v>
      </c>
      <c r="G1249" s="28"/>
      <c r="H1249" s="6" t="s">
        <v>63</v>
      </c>
      <c r="I1249" s="6" t="s">
        <v>62</v>
      </c>
      <c r="J1249" s="6" t="s">
        <v>63</v>
      </c>
      <c r="K1249" s="6" t="s">
        <v>63</v>
      </c>
      <c r="L1249" s="6" t="s">
        <v>64</v>
      </c>
      <c r="M1249" s="27" t="s">
        <v>9214</v>
      </c>
      <c r="N1249" s="27" t="s">
        <v>9215</v>
      </c>
      <c r="O1249" s="6" t="s">
        <v>167</v>
      </c>
      <c r="P1249" s="27" t="s">
        <v>255</v>
      </c>
      <c r="Q1249" s="6" t="s">
        <v>67</v>
      </c>
      <c r="R1249" s="6" t="s">
        <v>123</v>
      </c>
      <c r="S1249" s="28"/>
      <c r="T1249" s="6" t="s">
        <v>6138</v>
      </c>
      <c r="U1249" s="7" t="n">
        <v>1</v>
      </c>
      <c r="V1249" s="7" t="n">
        <v>1</v>
      </c>
      <c r="W1249" s="8" t="s">
        <v>9216</v>
      </c>
      <c r="X1249" s="8" t="s">
        <v>9216</v>
      </c>
      <c r="Y1249" s="8" t="s">
        <v>6024</v>
      </c>
      <c r="Z1249" s="8" t="s">
        <v>6024</v>
      </c>
      <c r="AA1249" s="7" t="n">
        <v>262</v>
      </c>
      <c r="AB1249" s="7" t="n">
        <v>208</v>
      </c>
      <c r="AC1249" s="7" t="n">
        <v>291</v>
      </c>
      <c r="AD1249" s="7" t="n">
        <v>2</v>
      </c>
      <c r="AE1249" s="7" t="n">
        <v>2</v>
      </c>
      <c r="AF1249" s="7" t="n">
        <v>10</v>
      </c>
      <c r="AG1249" s="7" t="n">
        <v>13</v>
      </c>
      <c r="AH1249" s="7" t="n">
        <v>1</v>
      </c>
      <c r="AI1249" s="7" t="n">
        <v>4</v>
      </c>
      <c r="AJ1249" s="7" t="n">
        <v>4</v>
      </c>
      <c r="AK1249" s="7" t="n">
        <v>4</v>
      </c>
      <c r="AL1249" s="7" t="n">
        <v>7</v>
      </c>
      <c r="AM1249" s="7" t="n">
        <v>8</v>
      </c>
      <c r="AN1249" s="7" t="n">
        <v>1</v>
      </c>
      <c r="AO1249" s="7" t="n">
        <v>1</v>
      </c>
      <c r="AP1249" s="7" t="n">
        <v>0</v>
      </c>
      <c r="AQ1249" s="7" t="n">
        <v>0</v>
      </c>
      <c r="AR1249" s="6" t="s">
        <v>63</v>
      </c>
      <c r="AS1249" s="6" t="s">
        <v>57</v>
      </c>
      <c r="AT1249" s="9" t="str">
        <f aca="false">HYPERLINK("http://catalog.hathitrust.org/Record/001380507","HathiTrust Record")</f>
        <v>HathiTrust Record</v>
      </c>
      <c r="AU1249" s="9" t="str">
        <f aca="false">HYPERLINK("https://creighton-primo.hosted.exlibrisgroup.com/primo-explore/search?tab=default_tab&amp;search_scope=EVERYTHING&amp;vid=01CRU&amp;lang=en_US&amp;offset=0&amp;query=any,contains,991003127839702656","Catalog Record")</f>
        <v>Catalog Record</v>
      </c>
      <c r="AV1249" s="9" t="str">
        <f aca="false">HYPERLINK("http://www.worldcat.org/oclc/671680","WorldCat Record")</f>
        <v>WorldCat Record</v>
      </c>
      <c r="AW1249" s="6" t="s">
        <v>9217</v>
      </c>
      <c r="AX1249" s="6" t="s">
        <v>9218</v>
      </c>
      <c r="AY1249" s="6" t="s">
        <v>9219</v>
      </c>
      <c r="AZ1249" s="6" t="s">
        <v>9219</v>
      </c>
      <c r="BA1249" s="6" t="s">
        <v>9220</v>
      </c>
      <c r="BB1249" s="28"/>
      <c r="BC1249" s="6" t="s">
        <v>9221</v>
      </c>
      <c r="BE1249" s="15" t="s">
        <v>2145</v>
      </c>
      <c r="BF1249" s="6" t="s">
        <v>9222</v>
      </c>
    </row>
    <row r="1250" customFormat="false" ht="105.5" hidden="false" customHeight="false" outlineLevel="0" collapsed="false">
      <c r="A1250" s="26" t="s">
        <v>63</v>
      </c>
      <c r="B1250" s="27" t="s">
        <v>2129</v>
      </c>
      <c r="C1250" s="27" t="s">
        <v>2130</v>
      </c>
      <c r="D1250" s="27" t="s">
        <v>9223</v>
      </c>
      <c r="E1250" s="27" t="s">
        <v>9224</v>
      </c>
      <c r="F1250" s="27" t="s">
        <v>9225</v>
      </c>
      <c r="G1250" s="28"/>
      <c r="H1250" s="6" t="s">
        <v>63</v>
      </c>
      <c r="I1250" s="6" t="s">
        <v>62</v>
      </c>
      <c r="J1250" s="6" t="s">
        <v>63</v>
      </c>
      <c r="K1250" s="6" t="s">
        <v>63</v>
      </c>
      <c r="L1250" s="6" t="s">
        <v>64</v>
      </c>
      <c r="M1250" s="27" t="s">
        <v>9226</v>
      </c>
      <c r="N1250" s="27" t="s">
        <v>9227</v>
      </c>
      <c r="O1250" s="6" t="s">
        <v>3697</v>
      </c>
      <c r="P1250" s="28"/>
      <c r="Q1250" s="6" t="s">
        <v>67</v>
      </c>
      <c r="R1250" s="6" t="s">
        <v>1059</v>
      </c>
      <c r="S1250" s="28"/>
      <c r="T1250" s="6" t="s">
        <v>6138</v>
      </c>
      <c r="U1250" s="7" t="n">
        <v>3</v>
      </c>
      <c r="V1250" s="7" t="n">
        <v>3</v>
      </c>
      <c r="W1250" s="8" t="s">
        <v>9228</v>
      </c>
      <c r="X1250" s="8" t="s">
        <v>9228</v>
      </c>
      <c r="Y1250" s="8" t="s">
        <v>4746</v>
      </c>
      <c r="Z1250" s="8" t="s">
        <v>4746</v>
      </c>
      <c r="AA1250" s="7" t="n">
        <v>346</v>
      </c>
      <c r="AB1250" s="7" t="n">
        <v>251</v>
      </c>
      <c r="AC1250" s="7" t="n">
        <v>251</v>
      </c>
      <c r="AD1250" s="7" t="n">
        <v>3</v>
      </c>
      <c r="AE1250" s="7" t="n">
        <v>3</v>
      </c>
      <c r="AF1250" s="7" t="n">
        <v>23</v>
      </c>
      <c r="AG1250" s="7" t="n">
        <v>23</v>
      </c>
      <c r="AH1250" s="7" t="n">
        <v>6</v>
      </c>
      <c r="AI1250" s="7" t="n">
        <v>6</v>
      </c>
      <c r="AJ1250" s="7" t="n">
        <v>7</v>
      </c>
      <c r="AK1250" s="7" t="n">
        <v>7</v>
      </c>
      <c r="AL1250" s="7" t="n">
        <v>17</v>
      </c>
      <c r="AM1250" s="7" t="n">
        <v>17</v>
      </c>
      <c r="AN1250" s="7" t="n">
        <v>2</v>
      </c>
      <c r="AO1250" s="7" t="n">
        <v>2</v>
      </c>
      <c r="AP1250" s="7" t="n">
        <v>0</v>
      </c>
      <c r="AQ1250" s="7" t="n">
        <v>0</v>
      </c>
      <c r="AR1250" s="6" t="s">
        <v>63</v>
      </c>
      <c r="AS1250" s="6" t="s">
        <v>63</v>
      </c>
      <c r="AT1250" s="28"/>
      <c r="AU1250" s="9" t="str">
        <f aca="false">HYPERLINK("https://creighton-primo.hosted.exlibrisgroup.com/primo-explore/search?tab=default_tab&amp;search_scope=EVERYTHING&amp;vid=01CRU&amp;lang=en_US&amp;offset=0&amp;query=any,contains,991001577789702656","Catalog Record")</f>
        <v>Catalog Record</v>
      </c>
      <c r="AV1250" s="9" t="str">
        <f aca="false">HYPERLINK("http://www.worldcat.org/oclc/20453572","WorldCat Record")</f>
        <v>WorldCat Record</v>
      </c>
      <c r="AW1250" s="6" t="s">
        <v>9229</v>
      </c>
      <c r="AX1250" s="6" t="s">
        <v>9230</v>
      </c>
      <c r="AY1250" s="6" t="s">
        <v>9231</v>
      </c>
      <c r="AZ1250" s="6" t="s">
        <v>9231</v>
      </c>
      <c r="BA1250" s="6" t="s">
        <v>9232</v>
      </c>
      <c r="BB1250" s="6" t="s">
        <v>9233</v>
      </c>
      <c r="BC1250" s="6" t="s">
        <v>9234</v>
      </c>
      <c r="BE1250" s="15" t="s">
        <v>2145</v>
      </c>
      <c r="BF1250" s="6" t="s">
        <v>9235</v>
      </c>
    </row>
    <row r="1251" customFormat="false" ht="174.5" hidden="false" customHeight="false" outlineLevel="0" collapsed="false">
      <c r="A1251" s="26" t="s">
        <v>63</v>
      </c>
      <c r="B1251" s="27" t="s">
        <v>2129</v>
      </c>
      <c r="C1251" s="27" t="s">
        <v>2130</v>
      </c>
      <c r="D1251" s="27" t="s">
        <v>9236</v>
      </c>
      <c r="E1251" s="27" t="s">
        <v>9237</v>
      </c>
      <c r="F1251" s="27" t="s">
        <v>9238</v>
      </c>
      <c r="G1251" s="28"/>
      <c r="H1251" s="6" t="s">
        <v>63</v>
      </c>
      <c r="I1251" s="6" t="s">
        <v>62</v>
      </c>
      <c r="J1251" s="6" t="s">
        <v>63</v>
      </c>
      <c r="K1251" s="6" t="s">
        <v>63</v>
      </c>
      <c r="L1251" s="6" t="s">
        <v>64</v>
      </c>
      <c r="M1251" s="27" t="s">
        <v>9239</v>
      </c>
      <c r="N1251" s="27" t="s">
        <v>9240</v>
      </c>
      <c r="O1251" s="6" t="s">
        <v>7401</v>
      </c>
      <c r="P1251" s="28"/>
      <c r="Q1251" s="6" t="s">
        <v>67</v>
      </c>
      <c r="R1251" s="6" t="s">
        <v>384</v>
      </c>
      <c r="S1251" s="27" t="s">
        <v>9241</v>
      </c>
      <c r="T1251" s="6" t="s">
        <v>6138</v>
      </c>
      <c r="U1251" s="7" t="n">
        <v>5</v>
      </c>
      <c r="V1251" s="7" t="n">
        <v>5</v>
      </c>
      <c r="W1251" s="8" t="s">
        <v>9242</v>
      </c>
      <c r="X1251" s="8" t="s">
        <v>9242</v>
      </c>
      <c r="Y1251" s="8" t="s">
        <v>6522</v>
      </c>
      <c r="Z1251" s="8" t="s">
        <v>6522</v>
      </c>
      <c r="AA1251" s="7" t="n">
        <v>814</v>
      </c>
      <c r="AB1251" s="7" t="n">
        <v>697</v>
      </c>
      <c r="AC1251" s="7" t="n">
        <v>950</v>
      </c>
      <c r="AD1251" s="7" t="n">
        <v>6</v>
      </c>
      <c r="AE1251" s="7" t="n">
        <v>8</v>
      </c>
      <c r="AF1251" s="7" t="n">
        <v>39</v>
      </c>
      <c r="AG1251" s="7" t="n">
        <v>44</v>
      </c>
      <c r="AH1251" s="7" t="n">
        <v>17</v>
      </c>
      <c r="AI1251" s="7" t="n">
        <v>18</v>
      </c>
      <c r="AJ1251" s="7" t="n">
        <v>7</v>
      </c>
      <c r="AK1251" s="7" t="n">
        <v>7</v>
      </c>
      <c r="AL1251" s="7" t="n">
        <v>23</v>
      </c>
      <c r="AM1251" s="7" t="n">
        <v>25</v>
      </c>
      <c r="AN1251" s="7" t="n">
        <v>4</v>
      </c>
      <c r="AO1251" s="7" t="n">
        <v>6</v>
      </c>
      <c r="AP1251" s="7" t="n">
        <v>0</v>
      </c>
      <c r="AQ1251" s="7" t="n">
        <v>0</v>
      </c>
      <c r="AR1251" s="6" t="s">
        <v>63</v>
      </c>
      <c r="AS1251" s="6" t="s">
        <v>63</v>
      </c>
      <c r="AT1251" s="28"/>
      <c r="AU1251" s="9" t="str">
        <f aca="false">HYPERLINK("https://creighton-primo.hosted.exlibrisgroup.com/primo-explore/search?tab=default_tab&amp;search_scope=EVERYTHING&amp;vid=01CRU&amp;lang=en_US&amp;offset=0&amp;query=any,contains,991003789829702656","Catalog Record")</f>
        <v>Catalog Record</v>
      </c>
      <c r="AV1251" s="9" t="str">
        <f aca="false">HYPERLINK("http://www.worldcat.org/oclc/1507961","WorldCat Record")</f>
        <v>WorldCat Record</v>
      </c>
      <c r="AW1251" s="6" t="s">
        <v>9243</v>
      </c>
      <c r="AX1251" s="6" t="s">
        <v>9244</v>
      </c>
      <c r="AY1251" s="6" t="s">
        <v>9245</v>
      </c>
      <c r="AZ1251" s="6" t="s">
        <v>9245</v>
      </c>
      <c r="BA1251" s="6" t="s">
        <v>9246</v>
      </c>
      <c r="BB1251" s="28"/>
      <c r="BC1251" s="6" t="s">
        <v>9247</v>
      </c>
      <c r="BE1251" s="15" t="s">
        <v>2145</v>
      </c>
      <c r="BF1251" s="6" t="s">
        <v>9248</v>
      </c>
    </row>
    <row r="1252" customFormat="false" ht="82.5" hidden="false" customHeight="false" outlineLevel="0" collapsed="false">
      <c r="A1252" s="26" t="s">
        <v>63</v>
      </c>
      <c r="B1252" s="27" t="s">
        <v>2129</v>
      </c>
      <c r="C1252" s="27" t="s">
        <v>2130</v>
      </c>
      <c r="D1252" s="27" t="s">
        <v>9249</v>
      </c>
      <c r="E1252" s="27" t="s">
        <v>9250</v>
      </c>
      <c r="F1252" s="27" t="s">
        <v>9251</v>
      </c>
      <c r="G1252" s="28"/>
      <c r="H1252" s="6" t="s">
        <v>63</v>
      </c>
      <c r="I1252" s="6" t="s">
        <v>62</v>
      </c>
      <c r="J1252" s="6" t="s">
        <v>63</v>
      </c>
      <c r="K1252" s="6" t="s">
        <v>63</v>
      </c>
      <c r="L1252" s="6" t="s">
        <v>64</v>
      </c>
      <c r="M1252" s="27" t="s">
        <v>5000</v>
      </c>
      <c r="N1252" s="27" t="s">
        <v>9252</v>
      </c>
      <c r="O1252" s="6" t="s">
        <v>9253</v>
      </c>
      <c r="P1252" s="28"/>
      <c r="Q1252" s="6" t="s">
        <v>4501</v>
      </c>
      <c r="R1252" s="6" t="s">
        <v>671</v>
      </c>
      <c r="S1252" s="28"/>
      <c r="T1252" s="6" t="s">
        <v>6138</v>
      </c>
      <c r="U1252" s="7" t="n">
        <v>2</v>
      </c>
      <c r="V1252" s="7" t="n">
        <v>2</v>
      </c>
      <c r="W1252" s="8" t="s">
        <v>9254</v>
      </c>
      <c r="X1252" s="8" t="s">
        <v>9254</v>
      </c>
      <c r="Y1252" s="8" t="s">
        <v>9178</v>
      </c>
      <c r="Z1252" s="8" t="s">
        <v>9178</v>
      </c>
      <c r="AA1252" s="7" t="n">
        <v>67</v>
      </c>
      <c r="AB1252" s="7" t="n">
        <v>45</v>
      </c>
      <c r="AC1252" s="7" t="n">
        <v>150</v>
      </c>
      <c r="AD1252" s="7" t="n">
        <v>2</v>
      </c>
      <c r="AE1252" s="7" t="n">
        <v>2</v>
      </c>
      <c r="AF1252" s="7" t="n">
        <v>7</v>
      </c>
      <c r="AG1252" s="7" t="n">
        <v>14</v>
      </c>
      <c r="AH1252" s="7" t="n">
        <v>0</v>
      </c>
      <c r="AI1252" s="7" t="n">
        <v>2</v>
      </c>
      <c r="AJ1252" s="7" t="n">
        <v>3</v>
      </c>
      <c r="AK1252" s="7" t="n">
        <v>4</v>
      </c>
      <c r="AL1252" s="7" t="n">
        <v>5</v>
      </c>
      <c r="AM1252" s="7" t="n">
        <v>11</v>
      </c>
      <c r="AN1252" s="7" t="n">
        <v>1</v>
      </c>
      <c r="AO1252" s="7" t="n">
        <v>1</v>
      </c>
      <c r="AP1252" s="7" t="n">
        <v>0</v>
      </c>
      <c r="AQ1252" s="7" t="n">
        <v>0</v>
      </c>
      <c r="AR1252" s="6" t="s">
        <v>57</v>
      </c>
      <c r="AS1252" s="6" t="s">
        <v>63</v>
      </c>
      <c r="AT1252" s="9" t="str">
        <f aca="false">HYPERLINK("http://catalog.hathitrust.org/Record/001395994","HathiTrust Record")</f>
        <v>HathiTrust Record</v>
      </c>
      <c r="AU1252" s="9" t="str">
        <f aca="false">HYPERLINK("https://creighton-primo.hosted.exlibrisgroup.com/primo-explore/search?tab=default_tab&amp;search_scope=EVERYTHING&amp;vid=01CRU&amp;lang=en_US&amp;offset=0&amp;query=any,contains,991000049009702656","Catalog Record")</f>
        <v>Catalog Record</v>
      </c>
      <c r="AV1252" s="9" t="str">
        <f aca="false">HYPERLINK("http://www.worldcat.org/oclc/8676094","WorldCat Record")</f>
        <v>WorldCat Record</v>
      </c>
      <c r="AW1252" s="6" t="s">
        <v>9255</v>
      </c>
      <c r="AX1252" s="6" t="s">
        <v>9256</v>
      </c>
      <c r="AY1252" s="6" t="s">
        <v>9257</v>
      </c>
      <c r="AZ1252" s="6" t="s">
        <v>9257</v>
      </c>
      <c r="BA1252" s="6" t="s">
        <v>9258</v>
      </c>
      <c r="BB1252" s="28"/>
      <c r="BC1252" s="6" t="s">
        <v>9259</v>
      </c>
      <c r="BE1252" s="15" t="s">
        <v>2145</v>
      </c>
      <c r="BF1252" s="6" t="s">
        <v>9260</v>
      </c>
    </row>
    <row r="1253" customFormat="false" ht="94" hidden="false" customHeight="false" outlineLevel="0" collapsed="false">
      <c r="A1253" s="26" t="s">
        <v>63</v>
      </c>
      <c r="B1253" s="27" t="s">
        <v>2129</v>
      </c>
      <c r="C1253" s="27" t="s">
        <v>2130</v>
      </c>
      <c r="D1253" s="27" t="s">
        <v>9261</v>
      </c>
      <c r="E1253" s="27" t="s">
        <v>9262</v>
      </c>
      <c r="F1253" s="27" t="s">
        <v>9263</v>
      </c>
      <c r="G1253" s="28"/>
      <c r="H1253" s="6" t="s">
        <v>63</v>
      </c>
      <c r="I1253" s="6" t="s">
        <v>62</v>
      </c>
      <c r="J1253" s="6" t="s">
        <v>63</v>
      </c>
      <c r="K1253" s="6" t="s">
        <v>63</v>
      </c>
      <c r="L1253" s="6" t="s">
        <v>64</v>
      </c>
      <c r="M1253" s="27" t="s">
        <v>9264</v>
      </c>
      <c r="N1253" s="27" t="s">
        <v>9265</v>
      </c>
      <c r="O1253" s="6" t="s">
        <v>9266</v>
      </c>
      <c r="P1253" s="28"/>
      <c r="Q1253" s="6" t="s">
        <v>67</v>
      </c>
      <c r="R1253" s="6" t="s">
        <v>384</v>
      </c>
      <c r="S1253" s="28"/>
      <c r="T1253" s="6" t="s">
        <v>6138</v>
      </c>
      <c r="U1253" s="7" t="n">
        <v>4</v>
      </c>
      <c r="V1253" s="7" t="n">
        <v>4</v>
      </c>
      <c r="W1253" s="8" t="s">
        <v>9267</v>
      </c>
      <c r="X1253" s="8" t="s">
        <v>9267</v>
      </c>
      <c r="Y1253" s="8" t="s">
        <v>9178</v>
      </c>
      <c r="Z1253" s="8" t="s">
        <v>9178</v>
      </c>
      <c r="AA1253" s="7" t="n">
        <v>192</v>
      </c>
      <c r="AB1253" s="7" t="n">
        <v>126</v>
      </c>
      <c r="AC1253" s="7" t="n">
        <v>323</v>
      </c>
      <c r="AD1253" s="7" t="n">
        <v>1</v>
      </c>
      <c r="AE1253" s="7" t="n">
        <v>3</v>
      </c>
      <c r="AF1253" s="7" t="n">
        <v>8</v>
      </c>
      <c r="AG1253" s="7" t="n">
        <v>14</v>
      </c>
      <c r="AH1253" s="7" t="n">
        <v>2</v>
      </c>
      <c r="AI1253" s="7" t="n">
        <v>3</v>
      </c>
      <c r="AJ1253" s="7" t="n">
        <v>1</v>
      </c>
      <c r="AK1253" s="7" t="n">
        <v>4</v>
      </c>
      <c r="AL1253" s="7" t="n">
        <v>7</v>
      </c>
      <c r="AM1253" s="7" t="n">
        <v>8</v>
      </c>
      <c r="AN1253" s="7" t="n">
        <v>0</v>
      </c>
      <c r="AO1253" s="7" t="n">
        <v>2</v>
      </c>
      <c r="AP1253" s="7" t="n">
        <v>0</v>
      </c>
      <c r="AQ1253" s="7" t="n">
        <v>0</v>
      </c>
      <c r="AR1253" s="6" t="s">
        <v>57</v>
      </c>
      <c r="AS1253" s="6" t="s">
        <v>63</v>
      </c>
      <c r="AT1253" s="9" t="str">
        <f aca="false">HYPERLINK("http://catalog.hathitrust.org/Record/001395998","HathiTrust Record")</f>
        <v>HathiTrust Record</v>
      </c>
      <c r="AU1253" s="9" t="str">
        <f aca="false">HYPERLINK("https://creighton-primo.hosted.exlibrisgroup.com/primo-explore/search?tab=default_tab&amp;search_scope=EVERYTHING&amp;vid=01CRU&amp;lang=en_US&amp;offset=0&amp;query=any,contains,991000881469702656","Catalog Record")</f>
        <v>Catalog Record</v>
      </c>
      <c r="AV1253" s="9" t="str">
        <f aca="false">HYPERLINK("http://www.worldcat.org/oclc/13834555","WorldCat Record")</f>
        <v>WorldCat Record</v>
      </c>
      <c r="AW1253" s="6" t="s">
        <v>9268</v>
      </c>
      <c r="AX1253" s="6" t="s">
        <v>9269</v>
      </c>
      <c r="AY1253" s="6" t="s">
        <v>9270</v>
      </c>
      <c r="AZ1253" s="6" t="s">
        <v>9270</v>
      </c>
      <c r="BA1253" s="6" t="s">
        <v>9271</v>
      </c>
      <c r="BB1253" s="28"/>
      <c r="BC1253" s="6" t="s">
        <v>9272</v>
      </c>
      <c r="BE1253" s="15" t="s">
        <v>2145</v>
      </c>
      <c r="BF1253" s="6" t="s">
        <v>9273</v>
      </c>
    </row>
    <row r="1254" customFormat="false" ht="59.5" hidden="false" customHeight="false" outlineLevel="0" collapsed="false">
      <c r="A1254" s="26" t="s">
        <v>63</v>
      </c>
      <c r="B1254" s="27" t="s">
        <v>2129</v>
      </c>
      <c r="C1254" s="27" t="s">
        <v>2130</v>
      </c>
      <c r="D1254" s="27" t="s">
        <v>9274</v>
      </c>
      <c r="E1254" s="27" t="s">
        <v>9275</v>
      </c>
      <c r="F1254" s="27" t="s">
        <v>9276</v>
      </c>
      <c r="G1254" s="28"/>
      <c r="H1254" s="6" t="s">
        <v>63</v>
      </c>
      <c r="I1254" s="6" t="s">
        <v>62</v>
      </c>
      <c r="J1254" s="6" t="s">
        <v>63</v>
      </c>
      <c r="K1254" s="6" t="s">
        <v>63</v>
      </c>
      <c r="L1254" s="6" t="s">
        <v>64</v>
      </c>
      <c r="M1254" s="27" t="s">
        <v>9277</v>
      </c>
      <c r="N1254" s="27" t="s">
        <v>9278</v>
      </c>
      <c r="O1254" s="6" t="s">
        <v>264</v>
      </c>
      <c r="P1254" s="28"/>
      <c r="Q1254" s="6" t="s">
        <v>67</v>
      </c>
      <c r="R1254" s="6" t="s">
        <v>68</v>
      </c>
      <c r="S1254" s="28"/>
      <c r="T1254" s="6" t="s">
        <v>6138</v>
      </c>
      <c r="U1254" s="7" t="n">
        <v>14</v>
      </c>
      <c r="V1254" s="7" t="n">
        <v>14</v>
      </c>
      <c r="W1254" s="8" t="s">
        <v>7571</v>
      </c>
      <c r="X1254" s="8" t="s">
        <v>7571</v>
      </c>
      <c r="Y1254" s="8" t="s">
        <v>9178</v>
      </c>
      <c r="Z1254" s="8" t="s">
        <v>9178</v>
      </c>
      <c r="AA1254" s="7" t="n">
        <v>795</v>
      </c>
      <c r="AB1254" s="7" t="n">
        <v>703</v>
      </c>
      <c r="AC1254" s="7" t="n">
        <v>716</v>
      </c>
      <c r="AD1254" s="7" t="n">
        <v>3</v>
      </c>
      <c r="AE1254" s="7" t="n">
        <v>3</v>
      </c>
      <c r="AF1254" s="7" t="n">
        <v>21</v>
      </c>
      <c r="AG1254" s="7" t="n">
        <v>21</v>
      </c>
      <c r="AH1254" s="7" t="n">
        <v>9</v>
      </c>
      <c r="AI1254" s="7" t="n">
        <v>9</v>
      </c>
      <c r="AJ1254" s="7" t="n">
        <v>5</v>
      </c>
      <c r="AK1254" s="7" t="n">
        <v>5</v>
      </c>
      <c r="AL1254" s="7" t="n">
        <v>11</v>
      </c>
      <c r="AM1254" s="7" t="n">
        <v>11</v>
      </c>
      <c r="AN1254" s="7" t="n">
        <v>2</v>
      </c>
      <c r="AO1254" s="7" t="n">
        <v>2</v>
      </c>
      <c r="AP1254" s="7" t="n">
        <v>0</v>
      </c>
      <c r="AQ1254" s="7" t="n">
        <v>0</v>
      </c>
      <c r="AR1254" s="6" t="s">
        <v>63</v>
      </c>
      <c r="AS1254" s="6" t="s">
        <v>57</v>
      </c>
      <c r="AT1254" s="9" t="str">
        <f aca="false">HYPERLINK("http://catalog.hathitrust.org/Record/001384342","HathiTrust Record")</f>
        <v>HathiTrust Record</v>
      </c>
      <c r="AU1254" s="9" t="str">
        <f aca="false">HYPERLINK("https://creighton-primo.hosted.exlibrisgroup.com/primo-explore/search?tab=default_tab&amp;search_scope=EVERYTHING&amp;vid=01CRU&amp;lang=en_US&amp;offset=0&amp;query=any,contains,991000339859702656","Catalog Record")</f>
        <v>Catalog Record</v>
      </c>
      <c r="AV1254" s="9" t="str">
        <f aca="false">HYPERLINK("http://www.worldcat.org/oclc/70276","WorldCat Record")</f>
        <v>WorldCat Record</v>
      </c>
      <c r="AW1254" s="6" t="s">
        <v>9279</v>
      </c>
      <c r="AX1254" s="6" t="s">
        <v>9280</v>
      </c>
      <c r="AY1254" s="6" t="s">
        <v>9281</v>
      </c>
      <c r="AZ1254" s="6" t="s">
        <v>9281</v>
      </c>
      <c r="BA1254" s="6" t="s">
        <v>9282</v>
      </c>
      <c r="BB1254" s="28"/>
      <c r="BC1254" s="6" t="s">
        <v>9283</v>
      </c>
      <c r="BE1254" s="15" t="s">
        <v>2145</v>
      </c>
      <c r="BF1254" s="6" t="s">
        <v>9284</v>
      </c>
    </row>
    <row r="1255" customFormat="false" ht="140" hidden="false" customHeight="false" outlineLevel="0" collapsed="false">
      <c r="A1255" s="26" t="s">
        <v>63</v>
      </c>
      <c r="B1255" s="27" t="s">
        <v>2129</v>
      </c>
      <c r="C1255" s="27" t="s">
        <v>2130</v>
      </c>
      <c r="D1255" s="27" t="s">
        <v>9285</v>
      </c>
      <c r="E1255" s="27" t="s">
        <v>9286</v>
      </c>
      <c r="F1255" s="27" t="s">
        <v>9287</v>
      </c>
      <c r="G1255" s="28"/>
      <c r="H1255" s="6" t="s">
        <v>63</v>
      </c>
      <c r="I1255" s="6" t="s">
        <v>62</v>
      </c>
      <c r="J1255" s="6" t="s">
        <v>63</v>
      </c>
      <c r="K1255" s="6" t="s">
        <v>63</v>
      </c>
      <c r="L1255" s="6" t="s">
        <v>64</v>
      </c>
      <c r="M1255" s="27" t="s">
        <v>9288</v>
      </c>
      <c r="N1255" s="27" t="s">
        <v>9289</v>
      </c>
      <c r="O1255" s="6" t="s">
        <v>208</v>
      </c>
      <c r="P1255" s="28"/>
      <c r="Q1255" s="6" t="s">
        <v>67</v>
      </c>
      <c r="R1255" s="6" t="s">
        <v>1224</v>
      </c>
      <c r="S1255" s="28"/>
      <c r="T1255" s="6" t="s">
        <v>6138</v>
      </c>
      <c r="U1255" s="7" t="n">
        <v>2</v>
      </c>
      <c r="V1255" s="7" t="n">
        <v>2</v>
      </c>
      <c r="W1255" s="8" t="s">
        <v>9290</v>
      </c>
      <c r="X1255" s="8" t="s">
        <v>9290</v>
      </c>
      <c r="Y1255" s="8" t="s">
        <v>2236</v>
      </c>
      <c r="Z1255" s="8" t="s">
        <v>2236</v>
      </c>
      <c r="AA1255" s="7" t="n">
        <v>122</v>
      </c>
      <c r="AB1255" s="7" t="n">
        <v>90</v>
      </c>
      <c r="AC1255" s="7" t="n">
        <v>90</v>
      </c>
      <c r="AD1255" s="7" t="n">
        <v>1</v>
      </c>
      <c r="AE1255" s="7" t="n">
        <v>1</v>
      </c>
      <c r="AF1255" s="7" t="n">
        <v>9</v>
      </c>
      <c r="AG1255" s="7" t="n">
        <v>9</v>
      </c>
      <c r="AH1255" s="7" t="n">
        <v>1</v>
      </c>
      <c r="AI1255" s="7" t="n">
        <v>1</v>
      </c>
      <c r="AJ1255" s="7" t="n">
        <v>4</v>
      </c>
      <c r="AK1255" s="7" t="n">
        <v>4</v>
      </c>
      <c r="AL1255" s="7" t="n">
        <v>7</v>
      </c>
      <c r="AM1255" s="7" t="n">
        <v>7</v>
      </c>
      <c r="AN1255" s="7" t="n">
        <v>0</v>
      </c>
      <c r="AO1255" s="7" t="n">
        <v>0</v>
      </c>
      <c r="AP1255" s="7" t="n">
        <v>0</v>
      </c>
      <c r="AQ1255" s="7" t="n">
        <v>0</v>
      </c>
      <c r="AR1255" s="6" t="s">
        <v>63</v>
      </c>
      <c r="AS1255" s="6" t="s">
        <v>63</v>
      </c>
      <c r="AT1255" s="28"/>
      <c r="AU1255" s="9" t="str">
        <f aca="false">HYPERLINK("https://creighton-primo.hosted.exlibrisgroup.com/primo-explore/search?tab=default_tab&amp;search_scope=EVERYTHING&amp;vid=01CRU&amp;lang=en_US&amp;offset=0&amp;query=any,contains,991004400409702656","Catalog Record")</f>
        <v>Catalog Record</v>
      </c>
      <c r="AV1255" s="9" t="str">
        <f aca="false">HYPERLINK("http://www.worldcat.org/oclc/15518880","WorldCat Record")</f>
        <v>WorldCat Record</v>
      </c>
      <c r="AW1255" s="6" t="s">
        <v>9291</v>
      </c>
      <c r="AX1255" s="6" t="s">
        <v>9292</v>
      </c>
      <c r="AY1255" s="6" t="s">
        <v>9293</v>
      </c>
      <c r="AZ1255" s="6" t="s">
        <v>9293</v>
      </c>
      <c r="BA1255" s="6" t="s">
        <v>9294</v>
      </c>
      <c r="BB1255" s="6" t="s">
        <v>9295</v>
      </c>
      <c r="BC1255" s="6" t="s">
        <v>9296</v>
      </c>
      <c r="BE1255" s="15" t="s">
        <v>2145</v>
      </c>
      <c r="BF1255" s="6" t="s">
        <v>9297</v>
      </c>
    </row>
    <row r="1256" customFormat="false" ht="82.5" hidden="false" customHeight="false" outlineLevel="0" collapsed="false">
      <c r="A1256" s="26" t="s">
        <v>63</v>
      </c>
      <c r="B1256" s="27" t="s">
        <v>2129</v>
      </c>
      <c r="C1256" s="27" t="s">
        <v>2130</v>
      </c>
      <c r="D1256" s="27" t="s">
        <v>9298</v>
      </c>
      <c r="E1256" s="27" t="s">
        <v>9299</v>
      </c>
      <c r="F1256" s="27" t="s">
        <v>9300</v>
      </c>
      <c r="G1256" s="28"/>
      <c r="H1256" s="6" t="s">
        <v>63</v>
      </c>
      <c r="I1256" s="6" t="s">
        <v>62</v>
      </c>
      <c r="J1256" s="6" t="s">
        <v>57</v>
      </c>
      <c r="K1256" s="6" t="s">
        <v>63</v>
      </c>
      <c r="L1256" s="6" t="s">
        <v>64</v>
      </c>
      <c r="M1256" s="27" t="s">
        <v>9301</v>
      </c>
      <c r="N1256" s="27" t="s">
        <v>9302</v>
      </c>
      <c r="O1256" s="6" t="s">
        <v>9303</v>
      </c>
      <c r="P1256" s="28"/>
      <c r="Q1256" s="6" t="s">
        <v>67</v>
      </c>
      <c r="R1256" s="6" t="s">
        <v>68</v>
      </c>
      <c r="S1256" s="28"/>
      <c r="T1256" s="6" t="s">
        <v>6138</v>
      </c>
      <c r="U1256" s="7" t="n">
        <v>1</v>
      </c>
      <c r="V1256" s="7" t="n">
        <v>5</v>
      </c>
      <c r="W1256" s="8" t="s">
        <v>9290</v>
      </c>
      <c r="X1256" s="8" t="s">
        <v>9290</v>
      </c>
      <c r="Y1256" s="8" t="s">
        <v>9178</v>
      </c>
      <c r="Z1256" s="8" t="s">
        <v>9178</v>
      </c>
      <c r="AA1256" s="7" t="n">
        <v>71</v>
      </c>
      <c r="AB1256" s="7" t="n">
        <v>62</v>
      </c>
      <c r="AC1256" s="7" t="n">
        <v>108</v>
      </c>
      <c r="AD1256" s="7" t="n">
        <v>1</v>
      </c>
      <c r="AE1256" s="7" t="n">
        <v>1</v>
      </c>
      <c r="AF1256" s="7" t="n">
        <v>8</v>
      </c>
      <c r="AG1256" s="7" t="n">
        <v>19</v>
      </c>
      <c r="AH1256" s="7" t="n">
        <v>2</v>
      </c>
      <c r="AI1256" s="7" t="n">
        <v>2</v>
      </c>
      <c r="AJ1256" s="7" t="n">
        <v>2</v>
      </c>
      <c r="AK1256" s="7" t="n">
        <v>5</v>
      </c>
      <c r="AL1256" s="7" t="n">
        <v>7</v>
      </c>
      <c r="AM1256" s="7" t="n">
        <v>17</v>
      </c>
      <c r="AN1256" s="7" t="n">
        <v>0</v>
      </c>
      <c r="AO1256" s="7" t="n">
        <v>0</v>
      </c>
      <c r="AP1256" s="7" t="n">
        <v>0</v>
      </c>
      <c r="AQ1256" s="7" t="n">
        <v>0</v>
      </c>
      <c r="AR1256" s="6" t="s">
        <v>63</v>
      </c>
      <c r="AS1256" s="6" t="s">
        <v>63</v>
      </c>
      <c r="AT1256" s="28"/>
      <c r="AU1256" s="9" t="str">
        <f aca="false">HYPERLINK("https://creighton-primo.hosted.exlibrisgroup.com/primo-explore/search?tab=default_tab&amp;search_scope=EVERYTHING&amp;vid=01CRU&amp;lang=en_US&amp;offset=0&amp;query=any,contains,991000314989702656","Catalog Record")</f>
        <v>Catalog Record</v>
      </c>
      <c r="AV1256" s="9" t="str">
        <f aca="false">HYPERLINK("http://www.worldcat.org/oclc/10113893","WorldCat Record")</f>
        <v>WorldCat Record</v>
      </c>
      <c r="AW1256" s="6" t="s">
        <v>9304</v>
      </c>
      <c r="AX1256" s="6" t="s">
        <v>9305</v>
      </c>
      <c r="AY1256" s="6" t="s">
        <v>9306</v>
      </c>
      <c r="AZ1256" s="6" t="s">
        <v>9306</v>
      </c>
      <c r="BA1256" s="6" t="s">
        <v>9307</v>
      </c>
      <c r="BB1256" s="28"/>
      <c r="BC1256" s="6" t="s">
        <v>9308</v>
      </c>
      <c r="BE1256" s="15" t="s">
        <v>2145</v>
      </c>
      <c r="BF1256" s="6" t="s">
        <v>9309</v>
      </c>
    </row>
    <row r="1257" customFormat="false" ht="82.5" hidden="false" customHeight="false" outlineLevel="0" collapsed="false">
      <c r="A1257" s="26" t="s">
        <v>63</v>
      </c>
      <c r="B1257" s="27" t="s">
        <v>2129</v>
      </c>
      <c r="C1257" s="27" t="s">
        <v>2130</v>
      </c>
      <c r="D1257" s="27" t="s">
        <v>9298</v>
      </c>
      <c r="E1257" s="27" t="s">
        <v>9299</v>
      </c>
      <c r="F1257" s="27" t="s">
        <v>9300</v>
      </c>
      <c r="G1257" s="28"/>
      <c r="H1257" s="6" t="s">
        <v>63</v>
      </c>
      <c r="I1257" s="6" t="s">
        <v>62</v>
      </c>
      <c r="J1257" s="6" t="s">
        <v>57</v>
      </c>
      <c r="K1257" s="6" t="s">
        <v>63</v>
      </c>
      <c r="L1257" s="6" t="s">
        <v>64</v>
      </c>
      <c r="M1257" s="27" t="s">
        <v>9301</v>
      </c>
      <c r="N1257" s="27" t="s">
        <v>9302</v>
      </c>
      <c r="O1257" s="6" t="s">
        <v>9303</v>
      </c>
      <c r="P1257" s="28"/>
      <c r="Q1257" s="6" t="s">
        <v>67</v>
      </c>
      <c r="R1257" s="6" t="s">
        <v>68</v>
      </c>
      <c r="S1257" s="28"/>
      <c r="T1257" s="6" t="s">
        <v>6138</v>
      </c>
      <c r="U1257" s="7" t="n">
        <v>0</v>
      </c>
      <c r="V1257" s="7" t="n">
        <v>5</v>
      </c>
      <c r="W1257" s="28"/>
      <c r="X1257" s="8" t="s">
        <v>9290</v>
      </c>
      <c r="Y1257" s="8" t="s">
        <v>9178</v>
      </c>
      <c r="Z1257" s="8" t="s">
        <v>9178</v>
      </c>
      <c r="AA1257" s="7" t="n">
        <v>71</v>
      </c>
      <c r="AB1257" s="7" t="n">
        <v>62</v>
      </c>
      <c r="AC1257" s="7" t="n">
        <v>108</v>
      </c>
      <c r="AD1257" s="7" t="n">
        <v>1</v>
      </c>
      <c r="AE1257" s="7" t="n">
        <v>1</v>
      </c>
      <c r="AF1257" s="7" t="n">
        <v>8</v>
      </c>
      <c r="AG1257" s="7" t="n">
        <v>19</v>
      </c>
      <c r="AH1257" s="7" t="n">
        <v>2</v>
      </c>
      <c r="AI1257" s="7" t="n">
        <v>2</v>
      </c>
      <c r="AJ1257" s="7" t="n">
        <v>2</v>
      </c>
      <c r="AK1257" s="7" t="n">
        <v>5</v>
      </c>
      <c r="AL1257" s="7" t="n">
        <v>7</v>
      </c>
      <c r="AM1257" s="7" t="n">
        <v>17</v>
      </c>
      <c r="AN1257" s="7" t="n">
        <v>0</v>
      </c>
      <c r="AO1257" s="7" t="n">
        <v>0</v>
      </c>
      <c r="AP1257" s="7" t="n">
        <v>0</v>
      </c>
      <c r="AQ1257" s="7" t="n">
        <v>0</v>
      </c>
      <c r="AR1257" s="6" t="s">
        <v>63</v>
      </c>
      <c r="AS1257" s="6" t="s">
        <v>63</v>
      </c>
      <c r="AT1257" s="28"/>
      <c r="AU1257" s="9" t="str">
        <f aca="false">HYPERLINK("https://creighton-primo.hosted.exlibrisgroup.com/primo-explore/search?tab=default_tab&amp;search_scope=EVERYTHING&amp;vid=01CRU&amp;lang=en_US&amp;offset=0&amp;query=any,contains,991000314989702656","Catalog Record")</f>
        <v>Catalog Record</v>
      </c>
      <c r="AV1257" s="9" t="str">
        <f aca="false">HYPERLINK("http://www.worldcat.org/oclc/10113893","WorldCat Record")</f>
        <v>WorldCat Record</v>
      </c>
      <c r="AW1257" s="6" t="s">
        <v>9304</v>
      </c>
      <c r="AX1257" s="6" t="s">
        <v>9305</v>
      </c>
      <c r="AY1257" s="6" t="s">
        <v>9306</v>
      </c>
      <c r="AZ1257" s="6" t="s">
        <v>9306</v>
      </c>
      <c r="BA1257" s="6" t="s">
        <v>9307</v>
      </c>
      <c r="BB1257" s="28"/>
      <c r="BC1257" s="6" t="s">
        <v>9310</v>
      </c>
      <c r="BE1257" s="15" t="s">
        <v>2145</v>
      </c>
      <c r="BF1257" s="6" t="s">
        <v>9311</v>
      </c>
    </row>
    <row r="1258" customFormat="false" ht="82.5" hidden="false" customHeight="false" outlineLevel="0" collapsed="false">
      <c r="A1258" s="26" t="s">
        <v>63</v>
      </c>
      <c r="B1258" s="27" t="s">
        <v>2129</v>
      </c>
      <c r="C1258" s="27" t="s">
        <v>2130</v>
      </c>
      <c r="D1258" s="27" t="s">
        <v>9298</v>
      </c>
      <c r="E1258" s="27" t="s">
        <v>9299</v>
      </c>
      <c r="F1258" s="27" t="s">
        <v>9300</v>
      </c>
      <c r="G1258" s="28"/>
      <c r="H1258" s="6" t="s">
        <v>63</v>
      </c>
      <c r="I1258" s="6" t="s">
        <v>62</v>
      </c>
      <c r="J1258" s="6" t="s">
        <v>57</v>
      </c>
      <c r="K1258" s="6" t="s">
        <v>63</v>
      </c>
      <c r="L1258" s="6" t="s">
        <v>64</v>
      </c>
      <c r="M1258" s="27" t="s">
        <v>9301</v>
      </c>
      <c r="N1258" s="27" t="s">
        <v>9302</v>
      </c>
      <c r="O1258" s="6" t="s">
        <v>9303</v>
      </c>
      <c r="P1258" s="28"/>
      <c r="Q1258" s="6" t="s">
        <v>67</v>
      </c>
      <c r="R1258" s="6" t="s">
        <v>68</v>
      </c>
      <c r="S1258" s="28"/>
      <c r="T1258" s="6" t="s">
        <v>6138</v>
      </c>
      <c r="U1258" s="7" t="n">
        <v>1</v>
      </c>
      <c r="V1258" s="7" t="n">
        <v>5</v>
      </c>
      <c r="W1258" s="28"/>
      <c r="X1258" s="8" t="s">
        <v>9290</v>
      </c>
      <c r="Y1258" s="8" t="s">
        <v>9178</v>
      </c>
      <c r="Z1258" s="8" t="s">
        <v>9178</v>
      </c>
      <c r="AA1258" s="7" t="n">
        <v>71</v>
      </c>
      <c r="AB1258" s="7" t="n">
        <v>62</v>
      </c>
      <c r="AC1258" s="7" t="n">
        <v>108</v>
      </c>
      <c r="AD1258" s="7" t="n">
        <v>1</v>
      </c>
      <c r="AE1258" s="7" t="n">
        <v>1</v>
      </c>
      <c r="AF1258" s="7" t="n">
        <v>8</v>
      </c>
      <c r="AG1258" s="7" t="n">
        <v>19</v>
      </c>
      <c r="AH1258" s="7" t="n">
        <v>2</v>
      </c>
      <c r="AI1258" s="7" t="n">
        <v>2</v>
      </c>
      <c r="AJ1258" s="7" t="n">
        <v>2</v>
      </c>
      <c r="AK1258" s="7" t="n">
        <v>5</v>
      </c>
      <c r="AL1258" s="7" t="n">
        <v>7</v>
      </c>
      <c r="AM1258" s="7" t="n">
        <v>17</v>
      </c>
      <c r="AN1258" s="7" t="n">
        <v>0</v>
      </c>
      <c r="AO1258" s="7" t="n">
        <v>0</v>
      </c>
      <c r="AP1258" s="7" t="n">
        <v>0</v>
      </c>
      <c r="AQ1258" s="7" t="n">
        <v>0</v>
      </c>
      <c r="AR1258" s="6" t="s">
        <v>63</v>
      </c>
      <c r="AS1258" s="6" t="s">
        <v>63</v>
      </c>
      <c r="AT1258" s="28"/>
      <c r="AU1258" s="9" t="str">
        <f aca="false">HYPERLINK("https://creighton-primo.hosted.exlibrisgroup.com/primo-explore/search?tab=default_tab&amp;search_scope=EVERYTHING&amp;vid=01CRU&amp;lang=en_US&amp;offset=0&amp;query=any,contains,991000314989702656","Catalog Record")</f>
        <v>Catalog Record</v>
      </c>
      <c r="AV1258" s="9" t="str">
        <f aca="false">HYPERLINK("http://www.worldcat.org/oclc/10113893","WorldCat Record")</f>
        <v>WorldCat Record</v>
      </c>
      <c r="AW1258" s="6" t="s">
        <v>9304</v>
      </c>
      <c r="AX1258" s="6" t="s">
        <v>9305</v>
      </c>
      <c r="AY1258" s="6" t="s">
        <v>9306</v>
      </c>
      <c r="AZ1258" s="6" t="s">
        <v>9306</v>
      </c>
      <c r="BA1258" s="6" t="s">
        <v>9307</v>
      </c>
      <c r="BB1258" s="28"/>
      <c r="BC1258" s="6" t="s">
        <v>9312</v>
      </c>
      <c r="BE1258" s="15" t="s">
        <v>2145</v>
      </c>
      <c r="BF1258" s="6" t="s">
        <v>9313</v>
      </c>
    </row>
    <row r="1259" customFormat="false" ht="82.5" hidden="false" customHeight="false" outlineLevel="0" collapsed="false">
      <c r="A1259" s="26" t="s">
        <v>63</v>
      </c>
      <c r="B1259" s="27" t="s">
        <v>2129</v>
      </c>
      <c r="C1259" s="27" t="s">
        <v>2130</v>
      </c>
      <c r="D1259" s="27" t="s">
        <v>9298</v>
      </c>
      <c r="E1259" s="27" t="s">
        <v>9299</v>
      </c>
      <c r="F1259" s="27" t="s">
        <v>9300</v>
      </c>
      <c r="G1259" s="28"/>
      <c r="H1259" s="6" t="s">
        <v>63</v>
      </c>
      <c r="I1259" s="6" t="s">
        <v>62</v>
      </c>
      <c r="J1259" s="6" t="s">
        <v>57</v>
      </c>
      <c r="K1259" s="6" t="s">
        <v>63</v>
      </c>
      <c r="L1259" s="6" t="s">
        <v>64</v>
      </c>
      <c r="M1259" s="27" t="s">
        <v>9301</v>
      </c>
      <c r="N1259" s="27" t="s">
        <v>9302</v>
      </c>
      <c r="O1259" s="6" t="s">
        <v>9303</v>
      </c>
      <c r="P1259" s="28"/>
      <c r="Q1259" s="6" t="s">
        <v>67</v>
      </c>
      <c r="R1259" s="6" t="s">
        <v>68</v>
      </c>
      <c r="S1259" s="28"/>
      <c r="T1259" s="6" t="s">
        <v>6138</v>
      </c>
      <c r="U1259" s="7" t="n">
        <v>3</v>
      </c>
      <c r="V1259" s="7" t="n">
        <v>5</v>
      </c>
      <c r="W1259" s="8" t="s">
        <v>9314</v>
      </c>
      <c r="X1259" s="8" t="s">
        <v>9290</v>
      </c>
      <c r="Y1259" s="8" t="s">
        <v>9178</v>
      </c>
      <c r="Z1259" s="8" t="s">
        <v>9178</v>
      </c>
      <c r="AA1259" s="7" t="n">
        <v>71</v>
      </c>
      <c r="AB1259" s="7" t="n">
        <v>62</v>
      </c>
      <c r="AC1259" s="7" t="n">
        <v>108</v>
      </c>
      <c r="AD1259" s="7" t="n">
        <v>1</v>
      </c>
      <c r="AE1259" s="7" t="n">
        <v>1</v>
      </c>
      <c r="AF1259" s="7" t="n">
        <v>8</v>
      </c>
      <c r="AG1259" s="7" t="n">
        <v>19</v>
      </c>
      <c r="AH1259" s="7" t="n">
        <v>2</v>
      </c>
      <c r="AI1259" s="7" t="n">
        <v>2</v>
      </c>
      <c r="AJ1259" s="7" t="n">
        <v>2</v>
      </c>
      <c r="AK1259" s="7" t="n">
        <v>5</v>
      </c>
      <c r="AL1259" s="7" t="n">
        <v>7</v>
      </c>
      <c r="AM1259" s="7" t="n">
        <v>17</v>
      </c>
      <c r="AN1259" s="7" t="n">
        <v>0</v>
      </c>
      <c r="AO1259" s="7" t="n">
        <v>0</v>
      </c>
      <c r="AP1259" s="7" t="n">
        <v>0</v>
      </c>
      <c r="AQ1259" s="7" t="n">
        <v>0</v>
      </c>
      <c r="AR1259" s="6" t="s">
        <v>63</v>
      </c>
      <c r="AS1259" s="6" t="s">
        <v>63</v>
      </c>
      <c r="AT1259" s="28"/>
      <c r="AU1259" s="9" t="str">
        <f aca="false">HYPERLINK("https://creighton-primo.hosted.exlibrisgroup.com/primo-explore/search?tab=default_tab&amp;search_scope=EVERYTHING&amp;vid=01CRU&amp;lang=en_US&amp;offset=0&amp;query=any,contains,991000314989702656","Catalog Record")</f>
        <v>Catalog Record</v>
      </c>
      <c r="AV1259" s="9" t="str">
        <f aca="false">HYPERLINK("http://www.worldcat.org/oclc/10113893","WorldCat Record")</f>
        <v>WorldCat Record</v>
      </c>
      <c r="AW1259" s="6" t="s">
        <v>9304</v>
      </c>
      <c r="AX1259" s="6" t="s">
        <v>9305</v>
      </c>
      <c r="AY1259" s="6" t="s">
        <v>9306</v>
      </c>
      <c r="AZ1259" s="6" t="s">
        <v>9306</v>
      </c>
      <c r="BA1259" s="6" t="s">
        <v>9307</v>
      </c>
      <c r="BB1259" s="28"/>
      <c r="BC1259" s="6" t="s">
        <v>9315</v>
      </c>
      <c r="BE1259" s="15" t="s">
        <v>2145</v>
      </c>
      <c r="BF1259" s="6" t="s">
        <v>9316</v>
      </c>
    </row>
    <row r="1260" customFormat="false" ht="151.5" hidden="false" customHeight="false" outlineLevel="0" collapsed="false">
      <c r="A1260" s="26" t="s">
        <v>63</v>
      </c>
      <c r="B1260" s="27" t="s">
        <v>2129</v>
      </c>
      <c r="C1260" s="27" t="s">
        <v>2130</v>
      </c>
      <c r="D1260" s="27" t="s">
        <v>9317</v>
      </c>
      <c r="E1260" s="27" t="s">
        <v>9318</v>
      </c>
      <c r="F1260" s="27" t="s">
        <v>9319</v>
      </c>
      <c r="G1260" s="28"/>
      <c r="H1260" s="6" t="s">
        <v>63</v>
      </c>
      <c r="I1260" s="6" t="s">
        <v>62</v>
      </c>
      <c r="J1260" s="6" t="s">
        <v>63</v>
      </c>
      <c r="K1260" s="6" t="s">
        <v>63</v>
      </c>
      <c r="L1260" s="6" t="s">
        <v>64</v>
      </c>
      <c r="M1260" s="27" t="s">
        <v>2394</v>
      </c>
      <c r="N1260" s="27" t="s">
        <v>9320</v>
      </c>
      <c r="O1260" s="6" t="s">
        <v>9321</v>
      </c>
      <c r="P1260" s="28"/>
      <c r="Q1260" s="6" t="s">
        <v>67</v>
      </c>
      <c r="R1260" s="6" t="s">
        <v>68</v>
      </c>
      <c r="S1260" s="28"/>
      <c r="T1260" s="6" t="s">
        <v>6138</v>
      </c>
      <c r="U1260" s="7" t="n">
        <v>2</v>
      </c>
      <c r="V1260" s="7" t="n">
        <v>2</v>
      </c>
      <c r="W1260" s="8" t="s">
        <v>9322</v>
      </c>
      <c r="X1260" s="8" t="s">
        <v>9322</v>
      </c>
      <c r="Y1260" s="8" t="s">
        <v>9178</v>
      </c>
      <c r="Z1260" s="8" t="s">
        <v>9178</v>
      </c>
      <c r="AA1260" s="7" t="n">
        <v>602</v>
      </c>
      <c r="AB1260" s="7" t="n">
        <v>541</v>
      </c>
      <c r="AC1260" s="7" t="n">
        <v>773</v>
      </c>
      <c r="AD1260" s="7" t="n">
        <v>3</v>
      </c>
      <c r="AE1260" s="7" t="n">
        <v>3</v>
      </c>
      <c r="AF1260" s="7" t="n">
        <v>27</v>
      </c>
      <c r="AG1260" s="7" t="n">
        <v>33</v>
      </c>
      <c r="AH1260" s="7" t="n">
        <v>7</v>
      </c>
      <c r="AI1260" s="7" t="n">
        <v>12</v>
      </c>
      <c r="AJ1260" s="7" t="n">
        <v>7</v>
      </c>
      <c r="AK1260" s="7" t="n">
        <v>7</v>
      </c>
      <c r="AL1260" s="7" t="n">
        <v>22</v>
      </c>
      <c r="AM1260" s="7" t="n">
        <v>24</v>
      </c>
      <c r="AN1260" s="7" t="n">
        <v>1</v>
      </c>
      <c r="AO1260" s="7" t="n">
        <v>1</v>
      </c>
      <c r="AP1260" s="7" t="n">
        <v>0</v>
      </c>
      <c r="AQ1260" s="7" t="n">
        <v>0</v>
      </c>
      <c r="AR1260" s="6" t="s">
        <v>63</v>
      </c>
      <c r="AS1260" s="6" t="s">
        <v>57</v>
      </c>
      <c r="AT1260" s="9" t="str">
        <f aca="false">HYPERLINK("http://catalog.hathitrust.org/Record/001384371","HathiTrust Record")</f>
        <v>HathiTrust Record</v>
      </c>
      <c r="AU1260" s="9" t="str">
        <f aca="false">HYPERLINK("https://creighton-primo.hosted.exlibrisgroup.com/primo-explore/search?tab=default_tab&amp;search_scope=EVERYTHING&amp;vid=01CRU&amp;lang=en_US&amp;offset=0&amp;query=any,contains,991003032159702656","Catalog Record")</f>
        <v>Catalog Record</v>
      </c>
      <c r="AV1260" s="9" t="str">
        <f aca="false">HYPERLINK("http://www.worldcat.org/oclc/595048","WorldCat Record")</f>
        <v>WorldCat Record</v>
      </c>
      <c r="AW1260" s="6" t="s">
        <v>9323</v>
      </c>
      <c r="AX1260" s="6" t="s">
        <v>9324</v>
      </c>
      <c r="AY1260" s="6" t="s">
        <v>9325</v>
      </c>
      <c r="AZ1260" s="6" t="s">
        <v>9325</v>
      </c>
      <c r="BA1260" s="6" t="s">
        <v>9326</v>
      </c>
      <c r="BB1260" s="6" t="s">
        <v>9327</v>
      </c>
      <c r="BC1260" s="6" t="s">
        <v>9328</v>
      </c>
      <c r="BE1260" s="15" t="s">
        <v>2145</v>
      </c>
      <c r="BF1260" s="6" t="s">
        <v>9329</v>
      </c>
    </row>
    <row r="1261" customFormat="false" ht="59.5" hidden="false" customHeight="false" outlineLevel="0" collapsed="false">
      <c r="A1261" s="26" t="s">
        <v>57</v>
      </c>
      <c r="B1261" s="27" t="s">
        <v>2129</v>
      </c>
      <c r="C1261" s="27" t="s">
        <v>2130</v>
      </c>
      <c r="D1261" s="27" t="s">
        <v>9330</v>
      </c>
      <c r="E1261" s="27" t="s">
        <v>9331</v>
      </c>
      <c r="F1261" s="27" t="s">
        <v>9332</v>
      </c>
      <c r="G1261" s="28"/>
      <c r="H1261" s="6" t="s">
        <v>63</v>
      </c>
      <c r="I1261" s="6" t="s">
        <v>62</v>
      </c>
      <c r="J1261" s="6" t="s">
        <v>63</v>
      </c>
      <c r="K1261" s="6" t="s">
        <v>63</v>
      </c>
      <c r="L1261" s="6" t="s">
        <v>64</v>
      </c>
      <c r="M1261" s="27" t="s">
        <v>9333</v>
      </c>
      <c r="N1261" s="27" t="s">
        <v>4917</v>
      </c>
      <c r="O1261" s="6" t="s">
        <v>2262</v>
      </c>
      <c r="P1261" s="28"/>
      <c r="Q1261" s="6" t="s">
        <v>67</v>
      </c>
      <c r="R1261" s="6" t="s">
        <v>68</v>
      </c>
      <c r="S1261" s="28"/>
      <c r="T1261" s="6" t="s">
        <v>6138</v>
      </c>
      <c r="U1261" s="7" t="n">
        <v>3</v>
      </c>
      <c r="V1261" s="7" t="n">
        <v>3</v>
      </c>
      <c r="W1261" s="8" t="s">
        <v>9334</v>
      </c>
      <c r="X1261" s="8" t="s">
        <v>9334</v>
      </c>
      <c r="Y1261" s="8" t="s">
        <v>9178</v>
      </c>
      <c r="Z1261" s="8" t="s">
        <v>9178</v>
      </c>
      <c r="AA1261" s="7" t="n">
        <v>446</v>
      </c>
      <c r="AB1261" s="7" t="n">
        <v>359</v>
      </c>
      <c r="AC1261" s="7" t="n">
        <v>366</v>
      </c>
      <c r="AD1261" s="7" t="n">
        <v>3</v>
      </c>
      <c r="AE1261" s="7" t="n">
        <v>3</v>
      </c>
      <c r="AF1261" s="7" t="n">
        <v>24</v>
      </c>
      <c r="AG1261" s="7" t="n">
        <v>24</v>
      </c>
      <c r="AH1261" s="7" t="n">
        <v>9</v>
      </c>
      <c r="AI1261" s="7" t="n">
        <v>9</v>
      </c>
      <c r="AJ1261" s="7" t="n">
        <v>8</v>
      </c>
      <c r="AK1261" s="7" t="n">
        <v>8</v>
      </c>
      <c r="AL1261" s="7" t="n">
        <v>16</v>
      </c>
      <c r="AM1261" s="7" t="n">
        <v>16</v>
      </c>
      <c r="AN1261" s="7" t="n">
        <v>2</v>
      </c>
      <c r="AO1261" s="7" t="n">
        <v>2</v>
      </c>
      <c r="AP1261" s="7" t="n">
        <v>0</v>
      </c>
      <c r="AQ1261" s="7" t="n">
        <v>0</v>
      </c>
      <c r="AR1261" s="6" t="s">
        <v>63</v>
      </c>
      <c r="AS1261" s="6" t="s">
        <v>57</v>
      </c>
      <c r="AT1261" s="9" t="str">
        <f aca="false">HYPERLINK("http://catalog.hathitrust.org/Record/000634997","HathiTrust Record")</f>
        <v>HathiTrust Record</v>
      </c>
      <c r="AU1261" s="9" t="str">
        <f aca="false">HYPERLINK("https://creighton-primo.hosted.exlibrisgroup.com/primo-explore/search?tab=default_tab&amp;search_scope=EVERYTHING&amp;vid=01CRU&amp;lang=en_US&amp;offset=0&amp;query=any,contains,991000817379702656","Catalog Record")</f>
        <v>Catalog Record</v>
      </c>
      <c r="AV1261" s="9" t="str">
        <f aca="false">HYPERLINK("http://www.worldcat.org/oclc/13359934","WorldCat Record")</f>
        <v>WorldCat Record</v>
      </c>
      <c r="AW1261" s="6" t="s">
        <v>9335</v>
      </c>
      <c r="AX1261" s="6" t="s">
        <v>9336</v>
      </c>
      <c r="AY1261" s="6" t="s">
        <v>9337</v>
      </c>
      <c r="AZ1261" s="6" t="s">
        <v>9337</v>
      </c>
      <c r="BA1261" s="6" t="s">
        <v>9338</v>
      </c>
      <c r="BB1261" s="6" t="s">
        <v>9339</v>
      </c>
      <c r="BC1261" s="6" t="s">
        <v>9340</v>
      </c>
      <c r="BE1261" s="15" t="s">
        <v>2145</v>
      </c>
      <c r="BF1261" s="6" t="s">
        <v>9341</v>
      </c>
    </row>
    <row r="1262" customFormat="false" ht="105.5" hidden="false" customHeight="false" outlineLevel="0" collapsed="false">
      <c r="A1262" s="26" t="s">
        <v>63</v>
      </c>
      <c r="B1262" s="27" t="s">
        <v>2129</v>
      </c>
      <c r="C1262" s="27" t="s">
        <v>2130</v>
      </c>
      <c r="D1262" s="27" t="s">
        <v>9342</v>
      </c>
      <c r="E1262" s="27" t="s">
        <v>9343</v>
      </c>
      <c r="F1262" s="27" t="s">
        <v>9344</v>
      </c>
      <c r="G1262" s="28"/>
      <c r="H1262" s="6" t="s">
        <v>63</v>
      </c>
      <c r="I1262" s="6" t="s">
        <v>62</v>
      </c>
      <c r="J1262" s="6" t="s">
        <v>63</v>
      </c>
      <c r="K1262" s="6" t="s">
        <v>63</v>
      </c>
      <c r="L1262" s="6" t="s">
        <v>64</v>
      </c>
      <c r="M1262" s="27" t="s">
        <v>9345</v>
      </c>
      <c r="N1262" s="27" t="s">
        <v>9346</v>
      </c>
      <c r="O1262" s="6" t="s">
        <v>2893</v>
      </c>
      <c r="P1262" s="28"/>
      <c r="Q1262" s="6" t="s">
        <v>67</v>
      </c>
      <c r="R1262" s="6" t="s">
        <v>68</v>
      </c>
      <c r="S1262" s="28"/>
      <c r="T1262" s="6" t="s">
        <v>6138</v>
      </c>
      <c r="U1262" s="7" t="n">
        <v>11</v>
      </c>
      <c r="V1262" s="7" t="n">
        <v>11</v>
      </c>
      <c r="W1262" s="8" t="s">
        <v>9347</v>
      </c>
      <c r="X1262" s="8" t="s">
        <v>9347</v>
      </c>
      <c r="Y1262" s="8" t="s">
        <v>9348</v>
      </c>
      <c r="Z1262" s="8" t="s">
        <v>9348</v>
      </c>
      <c r="AA1262" s="7" t="n">
        <v>485</v>
      </c>
      <c r="AB1262" s="7" t="n">
        <v>447</v>
      </c>
      <c r="AC1262" s="7" t="n">
        <v>523</v>
      </c>
      <c r="AD1262" s="7" t="n">
        <v>5</v>
      </c>
      <c r="AE1262" s="7" t="n">
        <v>5</v>
      </c>
      <c r="AF1262" s="7" t="n">
        <v>17</v>
      </c>
      <c r="AG1262" s="7" t="n">
        <v>20</v>
      </c>
      <c r="AH1262" s="7" t="n">
        <v>6</v>
      </c>
      <c r="AI1262" s="7" t="n">
        <v>6</v>
      </c>
      <c r="AJ1262" s="7" t="n">
        <v>4</v>
      </c>
      <c r="AK1262" s="7" t="n">
        <v>6</v>
      </c>
      <c r="AL1262" s="7" t="n">
        <v>9</v>
      </c>
      <c r="AM1262" s="7" t="n">
        <v>12</v>
      </c>
      <c r="AN1262" s="7" t="n">
        <v>3</v>
      </c>
      <c r="AO1262" s="7" t="n">
        <v>3</v>
      </c>
      <c r="AP1262" s="7" t="n">
        <v>0</v>
      </c>
      <c r="AQ1262" s="7" t="n">
        <v>0</v>
      </c>
      <c r="AR1262" s="6" t="s">
        <v>63</v>
      </c>
      <c r="AS1262" s="6" t="s">
        <v>57</v>
      </c>
      <c r="AT1262" s="9" t="str">
        <f aca="false">HYPERLINK("http://catalog.hathitrust.org/Record/004462107","HathiTrust Record")</f>
        <v>HathiTrust Record</v>
      </c>
      <c r="AU1262" s="9" t="str">
        <f aca="false">HYPERLINK("https://creighton-primo.hosted.exlibrisgroup.com/primo-explore/search?tab=default_tab&amp;search_scope=EVERYTHING&amp;vid=01CRU&amp;lang=en_US&amp;offset=0&amp;query=any,contains,991003738079702656","Catalog Record")</f>
        <v>Catalog Record</v>
      </c>
      <c r="AV1262" s="9" t="str">
        <f aca="false">HYPERLINK("http://www.worldcat.org/oclc/1397713","WorldCat Record")</f>
        <v>WorldCat Record</v>
      </c>
      <c r="AW1262" s="6" t="s">
        <v>9349</v>
      </c>
      <c r="AX1262" s="6" t="s">
        <v>9350</v>
      </c>
      <c r="AY1262" s="6" t="s">
        <v>9351</v>
      </c>
      <c r="AZ1262" s="6" t="s">
        <v>9351</v>
      </c>
      <c r="BA1262" s="6" t="s">
        <v>9352</v>
      </c>
      <c r="BB1262" s="6" t="s">
        <v>9353</v>
      </c>
      <c r="BC1262" s="6" t="s">
        <v>9354</v>
      </c>
      <c r="BE1262" s="15" t="s">
        <v>2145</v>
      </c>
      <c r="BF1262" s="6" t="s">
        <v>9355</v>
      </c>
    </row>
    <row r="1263" customFormat="false" ht="82.5" hidden="false" customHeight="false" outlineLevel="0" collapsed="false">
      <c r="A1263" s="26" t="s">
        <v>63</v>
      </c>
      <c r="B1263" s="27" t="s">
        <v>2129</v>
      </c>
      <c r="C1263" s="27" t="s">
        <v>2130</v>
      </c>
      <c r="D1263" s="27" t="s">
        <v>9356</v>
      </c>
      <c r="E1263" s="27" t="s">
        <v>9357</v>
      </c>
      <c r="F1263" s="27" t="s">
        <v>9358</v>
      </c>
      <c r="G1263" s="28"/>
      <c r="H1263" s="6" t="s">
        <v>63</v>
      </c>
      <c r="I1263" s="6" t="s">
        <v>62</v>
      </c>
      <c r="J1263" s="6" t="s">
        <v>63</v>
      </c>
      <c r="K1263" s="6" t="s">
        <v>63</v>
      </c>
      <c r="L1263" s="6" t="s">
        <v>64</v>
      </c>
      <c r="M1263" s="27" t="s">
        <v>9359</v>
      </c>
      <c r="N1263" s="27" t="s">
        <v>1223</v>
      </c>
      <c r="O1263" s="6" t="s">
        <v>2262</v>
      </c>
      <c r="P1263" s="28"/>
      <c r="Q1263" s="6" t="s">
        <v>67</v>
      </c>
      <c r="R1263" s="6" t="s">
        <v>1224</v>
      </c>
      <c r="S1263" s="28"/>
      <c r="T1263" s="6" t="s">
        <v>6138</v>
      </c>
      <c r="U1263" s="7" t="n">
        <v>9</v>
      </c>
      <c r="V1263" s="7" t="n">
        <v>9</v>
      </c>
      <c r="W1263" s="8" t="s">
        <v>9360</v>
      </c>
      <c r="X1263" s="8" t="s">
        <v>9360</v>
      </c>
      <c r="Y1263" s="8" t="s">
        <v>9178</v>
      </c>
      <c r="Z1263" s="8" t="s">
        <v>9178</v>
      </c>
      <c r="AA1263" s="7" t="n">
        <v>271</v>
      </c>
      <c r="AB1263" s="7" t="n">
        <v>233</v>
      </c>
      <c r="AC1263" s="7" t="n">
        <v>235</v>
      </c>
      <c r="AD1263" s="7" t="n">
        <v>2</v>
      </c>
      <c r="AE1263" s="7" t="n">
        <v>2</v>
      </c>
      <c r="AF1263" s="7" t="n">
        <v>15</v>
      </c>
      <c r="AG1263" s="7" t="n">
        <v>15</v>
      </c>
      <c r="AH1263" s="7" t="n">
        <v>5</v>
      </c>
      <c r="AI1263" s="7" t="n">
        <v>5</v>
      </c>
      <c r="AJ1263" s="7" t="n">
        <v>3</v>
      </c>
      <c r="AK1263" s="7" t="n">
        <v>3</v>
      </c>
      <c r="AL1263" s="7" t="n">
        <v>13</v>
      </c>
      <c r="AM1263" s="7" t="n">
        <v>13</v>
      </c>
      <c r="AN1263" s="7" t="n">
        <v>1</v>
      </c>
      <c r="AO1263" s="7" t="n">
        <v>1</v>
      </c>
      <c r="AP1263" s="7" t="n">
        <v>0</v>
      </c>
      <c r="AQ1263" s="7" t="n">
        <v>0</v>
      </c>
      <c r="AR1263" s="6" t="s">
        <v>63</v>
      </c>
      <c r="AS1263" s="6" t="s">
        <v>57</v>
      </c>
      <c r="AT1263" s="9" t="str">
        <f aca="false">HYPERLINK("http://catalog.hathitrust.org/Record/006199586","HathiTrust Record")</f>
        <v>HathiTrust Record</v>
      </c>
      <c r="AU1263" s="9" t="str">
        <f aca="false">HYPERLINK("https://creighton-primo.hosted.exlibrisgroup.com/primo-explore/search?tab=default_tab&amp;search_scope=EVERYTHING&amp;vid=01CRU&amp;lang=en_US&amp;offset=0&amp;query=any,contains,991000915689702656","Catalog Record")</f>
        <v>Catalog Record</v>
      </c>
      <c r="AV1263" s="9" t="str">
        <f aca="false">HYPERLINK("http://www.worldcat.org/oclc/14167928","WorldCat Record")</f>
        <v>WorldCat Record</v>
      </c>
      <c r="AW1263" s="6" t="s">
        <v>9361</v>
      </c>
      <c r="AX1263" s="6" t="s">
        <v>9362</v>
      </c>
      <c r="AY1263" s="6" t="s">
        <v>9363</v>
      </c>
      <c r="AZ1263" s="6" t="s">
        <v>9363</v>
      </c>
      <c r="BA1263" s="6" t="s">
        <v>9364</v>
      </c>
      <c r="BB1263" s="6" t="s">
        <v>9365</v>
      </c>
      <c r="BC1263" s="6" t="s">
        <v>9366</v>
      </c>
      <c r="BE1263" s="15" t="s">
        <v>2145</v>
      </c>
      <c r="BF1263" s="6" t="s">
        <v>9367</v>
      </c>
    </row>
    <row r="1264" customFormat="false" ht="140" hidden="false" customHeight="false" outlineLevel="0" collapsed="false">
      <c r="A1264" s="26" t="s">
        <v>57</v>
      </c>
      <c r="B1264" s="27" t="s">
        <v>2129</v>
      </c>
      <c r="C1264" s="27" t="s">
        <v>2130</v>
      </c>
      <c r="D1264" s="27" t="s">
        <v>9368</v>
      </c>
      <c r="E1264" s="27" t="s">
        <v>9369</v>
      </c>
      <c r="F1264" s="27" t="s">
        <v>9370</v>
      </c>
      <c r="G1264" s="28"/>
      <c r="H1264" s="6" t="s">
        <v>63</v>
      </c>
      <c r="I1264" s="6" t="s">
        <v>62</v>
      </c>
      <c r="J1264" s="6" t="s">
        <v>63</v>
      </c>
      <c r="K1264" s="6" t="s">
        <v>63</v>
      </c>
      <c r="L1264" s="6" t="s">
        <v>64</v>
      </c>
      <c r="M1264" s="27" t="s">
        <v>9371</v>
      </c>
      <c r="N1264" s="27" t="s">
        <v>7852</v>
      </c>
      <c r="O1264" s="6" t="s">
        <v>2623</v>
      </c>
      <c r="P1264" s="28"/>
      <c r="Q1264" s="6" t="s">
        <v>67</v>
      </c>
      <c r="R1264" s="6" t="s">
        <v>384</v>
      </c>
      <c r="S1264" s="28"/>
      <c r="T1264" s="6" t="s">
        <v>6138</v>
      </c>
      <c r="U1264" s="7" t="n">
        <v>6</v>
      </c>
      <c r="V1264" s="7" t="n">
        <v>6</v>
      </c>
      <c r="W1264" s="8" t="s">
        <v>9372</v>
      </c>
      <c r="X1264" s="8" t="s">
        <v>9372</v>
      </c>
      <c r="Y1264" s="8" t="s">
        <v>9178</v>
      </c>
      <c r="Z1264" s="8" t="s">
        <v>9178</v>
      </c>
      <c r="AA1264" s="7" t="n">
        <v>489</v>
      </c>
      <c r="AB1264" s="7" t="n">
        <v>343</v>
      </c>
      <c r="AC1264" s="7" t="n">
        <v>348</v>
      </c>
      <c r="AD1264" s="7" t="n">
        <v>4</v>
      </c>
      <c r="AE1264" s="7" t="n">
        <v>4</v>
      </c>
      <c r="AF1264" s="7" t="n">
        <v>17</v>
      </c>
      <c r="AG1264" s="7" t="n">
        <v>18</v>
      </c>
      <c r="AH1264" s="7" t="n">
        <v>6</v>
      </c>
      <c r="AI1264" s="7" t="n">
        <v>6</v>
      </c>
      <c r="AJ1264" s="7" t="n">
        <v>4</v>
      </c>
      <c r="AK1264" s="7" t="n">
        <v>5</v>
      </c>
      <c r="AL1264" s="7" t="n">
        <v>12</v>
      </c>
      <c r="AM1264" s="7" t="n">
        <v>13</v>
      </c>
      <c r="AN1264" s="7" t="n">
        <v>2</v>
      </c>
      <c r="AO1264" s="7" t="n">
        <v>2</v>
      </c>
      <c r="AP1264" s="7" t="n">
        <v>0</v>
      </c>
      <c r="AQ1264" s="7" t="n">
        <v>0</v>
      </c>
      <c r="AR1264" s="6" t="s">
        <v>63</v>
      </c>
      <c r="AS1264" s="6" t="s">
        <v>57</v>
      </c>
      <c r="AT1264" s="9" t="str">
        <f aca="false">HYPERLINK("http://catalog.hathitrust.org/Record/004462109","HathiTrust Record")</f>
        <v>HathiTrust Record</v>
      </c>
      <c r="AU1264" s="9" t="str">
        <f aca="false">HYPERLINK("https://creighton-primo.hosted.exlibrisgroup.com/primo-explore/search?tab=default_tab&amp;search_scope=EVERYTHING&amp;vid=01CRU&amp;lang=en_US&amp;offset=0&amp;query=any,contains,991004838839702656","Catalog Record")</f>
        <v>Catalog Record</v>
      </c>
      <c r="AV1264" s="9" t="str">
        <f aca="false">HYPERLINK("http://www.worldcat.org/oclc/5492264","WorldCat Record")</f>
        <v>WorldCat Record</v>
      </c>
      <c r="AW1264" s="6" t="s">
        <v>9373</v>
      </c>
      <c r="AX1264" s="6" t="s">
        <v>9374</v>
      </c>
      <c r="AY1264" s="6" t="s">
        <v>9375</v>
      </c>
      <c r="AZ1264" s="6" t="s">
        <v>9375</v>
      </c>
      <c r="BA1264" s="6" t="s">
        <v>9376</v>
      </c>
      <c r="BB1264" s="6" t="s">
        <v>9377</v>
      </c>
      <c r="BC1264" s="6" t="s">
        <v>9378</v>
      </c>
      <c r="BE1264" s="15" t="s">
        <v>2145</v>
      </c>
      <c r="BF1264" s="6" t="s">
        <v>9379</v>
      </c>
    </row>
    <row r="1265" customFormat="false" ht="128.5" hidden="false" customHeight="false" outlineLevel="0" collapsed="false">
      <c r="A1265" s="26" t="s">
        <v>63</v>
      </c>
      <c r="B1265" s="27" t="s">
        <v>2129</v>
      </c>
      <c r="C1265" s="27" t="s">
        <v>2130</v>
      </c>
      <c r="D1265" s="27" t="s">
        <v>9380</v>
      </c>
      <c r="E1265" s="27" t="s">
        <v>9381</v>
      </c>
      <c r="F1265" s="27" t="s">
        <v>9382</v>
      </c>
      <c r="G1265" s="28"/>
      <c r="H1265" s="6" t="s">
        <v>63</v>
      </c>
      <c r="I1265" s="6" t="s">
        <v>62</v>
      </c>
      <c r="J1265" s="6" t="s">
        <v>63</v>
      </c>
      <c r="K1265" s="6" t="s">
        <v>63</v>
      </c>
      <c r="L1265" s="6" t="s">
        <v>64</v>
      </c>
      <c r="M1265" s="27" t="s">
        <v>9383</v>
      </c>
      <c r="N1265" s="27" t="s">
        <v>9384</v>
      </c>
      <c r="O1265" s="6" t="s">
        <v>2369</v>
      </c>
      <c r="P1265" s="28"/>
      <c r="Q1265" s="6" t="s">
        <v>67</v>
      </c>
      <c r="R1265" s="6" t="s">
        <v>802</v>
      </c>
      <c r="S1265" s="27" t="s">
        <v>9385</v>
      </c>
      <c r="T1265" s="6" t="s">
        <v>6138</v>
      </c>
      <c r="U1265" s="7" t="n">
        <v>4</v>
      </c>
      <c r="V1265" s="7" t="n">
        <v>4</v>
      </c>
      <c r="W1265" s="8" t="s">
        <v>8850</v>
      </c>
      <c r="X1265" s="8" t="s">
        <v>8850</v>
      </c>
      <c r="Y1265" s="8" t="s">
        <v>9178</v>
      </c>
      <c r="Z1265" s="8" t="s">
        <v>9178</v>
      </c>
      <c r="AA1265" s="7" t="n">
        <v>372</v>
      </c>
      <c r="AB1265" s="7" t="n">
        <v>295</v>
      </c>
      <c r="AC1265" s="7" t="n">
        <v>317</v>
      </c>
      <c r="AD1265" s="7" t="n">
        <v>2</v>
      </c>
      <c r="AE1265" s="7" t="n">
        <v>2</v>
      </c>
      <c r="AF1265" s="7" t="n">
        <v>25</v>
      </c>
      <c r="AG1265" s="7" t="n">
        <v>26</v>
      </c>
      <c r="AH1265" s="7" t="n">
        <v>6</v>
      </c>
      <c r="AI1265" s="7" t="n">
        <v>7</v>
      </c>
      <c r="AJ1265" s="7" t="n">
        <v>8</v>
      </c>
      <c r="AK1265" s="7" t="n">
        <v>8</v>
      </c>
      <c r="AL1265" s="7" t="n">
        <v>15</v>
      </c>
      <c r="AM1265" s="7" t="n">
        <v>16</v>
      </c>
      <c r="AN1265" s="7" t="n">
        <v>1</v>
      </c>
      <c r="AO1265" s="7" t="n">
        <v>1</v>
      </c>
      <c r="AP1265" s="7" t="n">
        <v>0</v>
      </c>
      <c r="AQ1265" s="7" t="n">
        <v>0</v>
      </c>
      <c r="AR1265" s="6" t="s">
        <v>63</v>
      </c>
      <c r="AS1265" s="6" t="s">
        <v>63</v>
      </c>
      <c r="AT1265" s="28"/>
      <c r="AU1265" s="9" t="str">
        <f aca="false">HYPERLINK("https://creighton-primo.hosted.exlibrisgroup.com/primo-explore/search?tab=default_tab&amp;search_scope=EVERYTHING&amp;vid=01CRU&amp;lang=en_US&amp;offset=0&amp;query=any,contains,991003254949702656","Catalog Record")</f>
        <v>Catalog Record</v>
      </c>
      <c r="AV1265" s="9" t="str">
        <f aca="false">HYPERLINK("http://www.worldcat.org/oclc/779735","WorldCat Record")</f>
        <v>WorldCat Record</v>
      </c>
      <c r="AW1265" s="6" t="s">
        <v>9386</v>
      </c>
      <c r="AX1265" s="6" t="s">
        <v>9387</v>
      </c>
      <c r="AY1265" s="6" t="s">
        <v>9388</v>
      </c>
      <c r="AZ1265" s="6" t="s">
        <v>9388</v>
      </c>
      <c r="BA1265" s="6" t="s">
        <v>9389</v>
      </c>
      <c r="BB1265" s="28"/>
      <c r="BC1265" s="6" t="s">
        <v>9390</v>
      </c>
      <c r="BE1265" s="15" t="s">
        <v>2145</v>
      </c>
      <c r="BF1265" s="6" t="s">
        <v>9391</v>
      </c>
    </row>
    <row r="1266" customFormat="false" ht="174.5" hidden="false" customHeight="false" outlineLevel="0" collapsed="false">
      <c r="A1266" s="26" t="s">
        <v>57</v>
      </c>
      <c r="B1266" s="27" t="s">
        <v>2129</v>
      </c>
      <c r="C1266" s="27" t="s">
        <v>2130</v>
      </c>
      <c r="D1266" s="27" t="s">
        <v>9392</v>
      </c>
      <c r="E1266" s="27" t="s">
        <v>9393</v>
      </c>
      <c r="F1266" s="27" t="s">
        <v>9394</v>
      </c>
      <c r="G1266" s="28"/>
      <c r="H1266" s="6" t="s">
        <v>63</v>
      </c>
      <c r="I1266" s="6" t="s">
        <v>62</v>
      </c>
      <c r="J1266" s="6" t="s">
        <v>63</v>
      </c>
      <c r="K1266" s="6" t="s">
        <v>63</v>
      </c>
      <c r="L1266" s="6" t="s">
        <v>64</v>
      </c>
      <c r="M1266" s="27" t="s">
        <v>9395</v>
      </c>
      <c r="N1266" s="27" t="s">
        <v>9396</v>
      </c>
      <c r="O1266" s="6" t="s">
        <v>3094</v>
      </c>
      <c r="P1266" s="28"/>
      <c r="Q1266" s="6" t="s">
        <v>67</v>
      </c>
      <c r="R1266" s="6" t="s">
        <v>1059</v>
      </c>
      <c r="S1266" s="27" t="s">
        <v>9397</v>
      </c>
      <c r="T1266" s="6" t="s">
        <v>6138</v>
      </c>
      <c r="U1266" s="7" t="n">
        <v>2</v>
      </c>
      <c r="V1266" s="7" t="n">
        <v>2</v>
      </c>
      <c r="W1266" s="8" t="s">
        <v>9398</v>
      </c>
      <c r="X1266" s="8" t="s">
        <v>9398</v>
      </c>
      <c r="Y1266" s="8" t="s">
        <v>9178</v>
      </c>
      <c r="Z1266" s="8" t="s">
        <v>9178</v>
      </c>
      <c r="AA1266" s="7" t="n">
        <v>276</v>
      </c>
      <c r="AB1266" s="7" t="n">
        <v>255</v>
      </c>
      <c r="AC1266" s="7" t="n">
        <v>582</v>
      </c>
      <c r="AD1266" s="7" t="n">
        <v>1</v>
      </c>
      <c r="AE1266" s="7" t="n">
        <v>3</v>
      </c>
      <c r="AF1266" s="7" t="n">
        <v>9</v>
      </c>
      <c r="AG1266" s="7" t="n">
        <v>29</v>
      </c>
      <c r="AH1266" s="7" t="n">
        <v>4</v>
      </c>
      <c r="AI1266" s="7" t="n">
        <v>16</v>
      </c>
      <c r="AJ1266" s="7" t="n">
        <v>2</v>
      </c>
      <c r="AK1266" s="7" t="n">
        <v>6</v>
      </c>
      <c r="AL1266" s="7" t="n">
        <v>5</v>
      </c>
      <c r="AM1266" s="7" t="n">
        <v>18</v>
      </c>
      <c r="AN1266" s="7" t="n">
        <v>0</v>
      </c>
      <c r="AO1266" s="7" t="n">
        <v>1</v>
      </c>
      <c r="AP1266" s="7" t="n">
        <v>0</v>
      </c>
      <c r="AQ1266" s="7" t="n">
        <v>0</v>
      </c>
      <c r="AR1266" s="6" t="s">
        <v>57</v>
      </c>
      <c r="AS1266" s="6" t="s">
        <v>63</v>
      </c>
      <c r="AT1266" s="9" t="str">
        <f aca="false">HYPERLINK("http://catalog.hathitrust.org/Record/001384389","HathiTrust Record")</f>
        <v>HathiTrust Record</v>
      </c>
      <c r="AU1266" s="9" t="str">
        <f aca="false">HYPERLINK("https://creighton-primo.hosted.exlibrisgroup.com/primo-explore/search?tab=default_tab&amp;search_scope=EVERYTHING&amp;vid=01CRU&amp;lang=en_US&amp;offset=0&amp;query=any,contains,991002600319702656","Catalog Record")</f>
        <v>Catalog Record</v>
      </c>
      <c r="AV1266" s="9" t="str">
        <f aca="false">HYPERLINK("http://www.worldcat.org/oclc/377132","WorldCat Record")</f>
        <v>WorldCat Record</v>
      </c>
      <c r="AW1266" s="6" t="s">
        <v>9399</v>
      </c>
      <c r="AX1266" s="6" t="s">
        <v>9400</v>
      </c>
      <c r="AY1266" s="6" t="s">
        <v>9401</v>
      </c>
      <c r="AZ1266" s="6" t="s">
        <v>9401</v>
      </c>
      <c r="BA1266" s="6" t="s">
        <v>9402</v>
      </c>
      <c r="BB1266" s="28"/>
      <c r="BC1266" s="6" t="s">
        <v>9403</v>
      </c>
      <c r="BE1266" s="15" t="s">
        <v>2145</v>
      </c>
      <c r="BF1266" s="6" t="s">
        <v>9404</v>
      </c>
    </row>
    <row r="1267" customFormat="false" ht="59.5" hidden="false" customHeight="false" outlineLevel="0" collapsed="false">
      <c r="A1267" s="26" t="s">
        <v>63</v>
      </c>
      <c r="B1267" s="27" t="s">
        <v>2129</v>
      </c>
      <c r="C1267" s="27" t="s">
        <v>2130</v>
      </c>
      <c r="D1267" s="27" t="s">
        <v>9405</v>
      </c>
      <c r="E1267" s="27" t="s">
        <v>9406</v>
      </c>
      <c r="F1267" s="27" t="s">
        <v>9407</v>
      </c>
      <c r="G1267" s="28"/>
      <c r="H1267" s="6" t="s">
        <v>63</v>
      </c>
      <c r="I1267" s="6" t="s">
        <v>62</v>
      </c>
      <c r="J1267" s="6" t="s">
        <v>63</v>
      </c>
      <c r="K1267" s="6" t="s">
        <v>63</v>
      </c>
      <c r="L1267" s="6" t="s">
        <v>64</v>
      </c>
      <c r="M1267" s="27" t="s">
        <v>9408</v>
      </c>
      <c r="N1267" s="27" t="s">
        <v>9409</v>
      </c>
      <c r="O1267" s="6" t="s">
        <v>6204</v>
      </c>
      <c r="P1267" s="28"/>
      <c r="Q1267" s="6" t="s">
        <v>67</v>
      </c>
      <c r="R1267" s="6" t="s">
        <v>68</v>
      </c>
      <c r="S1267" s="28"/>
      <c r="T1267" s="6" t="s">
        <v>6138</v>
      </c>
      <c r="U1267" s="7" t="n">
        <v>1</v>
      </c>
      <c r="V1267" s="7" t="n">
        <v>1</v>
      </c>
      <c r="W1267" s="8" t="s">
        <v>9290</v>
      </c>
      <c r="X1267" s="8" t="s">
        <v>9290</v>
      </c>
      <c r="Y1267" s="8" t="s">
        <v>9410</v>
      </c>
      <c r="Z1267" s="8" t="s">
        <v>9410</v>
      </c>
      <c r="AA1267" s="7" t="n">
        <v>311</v>
      </c>
      <c r="AB1267" s="7" t="n">
        <v>239</v>
      </c>
      <c r="AC1267" s="7" t="n">
        <v>1137</v>
      </c>
      <c r="AD1267" s="7" t="n">
        <v>4</v>
      </c>
      <c r="AE1267" s="7" t="n">
        <v>8</v>
      </c>
      <c r="AF1267" s="7" t="n">
        <v>17</v>
      </c>
      <c r="AG1267" s="7" t="n">
        <v>38</v>
      </c>
      <c r="AH1267" s="7" t="n">
        <v>2</v>
      </c>
      <c r="AI1267" s="7" t="n">
        <v>13</v>
      </c>
      <c r="AJ1267" s="7" t="n">
        <v>6</v>
      </c>
      <c r="AK1267" s="7" t="n">
        <v>10</v>
      </c>
      <c r="AL1267" s="7" t="n">
        <v>10</v>
      </c>
      <c r="AM1267" s="7" t="n">
        <v>15</v>
      </c>
      <c r="AN1267" s="7" t="n">
        <v>3</v>
      </c>
      <c r="AO1267" s="7" t="n">
        <v>7</v>
      </c>
      <c r="AP1267" s="7" t="n">
        <v>0</v>
      </c>
      <c r="AQ1267" s="7" t="n">
        <v>1</v>
      </c>
      <c r="AR1267" s="6" t="s">
        <v>63</v>
      </c>
      <c r="AS1267" s="6" t="s">
        <v>63</v>
      </c>
      <c r="AT1267" s="28"/>
      <c r="AU1267" s="9" t="str">
        <f aca="false">HYPERLINK("https://creighton-primo.hosted.exlibrisgroup.com/primo-explore/search?tab=default_tab&amp;search_scope=EVERYTHING&amp;vid=01CRU&amp;lang=en_US&amp;offset=0&amp;query=any,contains,991002733139702656","Catalog Record")</f>
        <v>Catalog Record</v>
      </c>
      <c r="AV1267" s="9" t="str">
        <f aca="false">HYPERLINK("http://www.worldcat.org/oclc/35849119","WorldCat Record")</f>
        <v>WorldCat Record</v>
      </c>
      <c r="AW1267" s="6" t="s">
        <v>9411</v>
      </c>
      <c r="AX1267" s="6" t="s">
        <v>9412</v>
      </c>
      <c r="AY1267" s="6" t="s">
        <v>9413</v>
      </c>
      <c r="AZ1267" s="6" t="s">
        <v>9413</v>
      </c>
      <c r="BA1267" s="6" t="s">
        <v>9414</v>
      </c>
      <c r="BB1267" s="6" t="s">
        <v>9415</v>
      </c>
      <c r="BC1267" s="6" t="s">
        <v>9416</v>
      </c>
      <c r="BE1267" s="15" t="s">
        <v>2145</v>
      </c>
      <c r="BF1267" s="6" t="s">
        <v>9417</v>
      </c>
    </row>
    <row r="1268" customFormat="false" ht="174.5" hidden="false" customHeight="false" outlineLevel="0" collapsed="false">
      <c r="A1268" s="26" t="s">
        <v>57</v>
      </c>
      <c r="B1268" s="27" t="s">
        <v>2129</v>
      </c>
      <c r="C1268" s="27" t="s">
        <v>2130</v>
      </c>
      <c r="D1268" s="27" t="s">
        <v>9418</v>
      </c>
      <c r="E1268" s="27" t="s">
        <v>9419</v>
      </c>
      <c r="F1268" s="27" t="s">
        <v>9420</v>
      </c>
      <c r="G1268" s="28"/>
      <c r="H1268" s="6" t="s">
        <v>63</v>
      </c>
      <c r="I1268" s="6" t="s">
        <v>62</v>
      </c>
      <c r="J1268" s="6" t="s">
        <v>63</v>
      </c>
      <c r="K1268" s="6" t="s">
        <v>63</v>
      </c>
      <c r="L1268" s="6" t="s">
        <v>64</v>
      </c>
      <c r="M1268" s="27" t="s">
        <v>9421</v>
      </c>
      <c r="N1268" s="27" t="s">
        <v>9422</v>
      </c>
      <c r="O1268" s="6" t="s">
        <v>2426</v>
      </c>
      <c r="P1268" s="28"/>
      <c r="Q1268" s="6" t="s">
        <v>67</v>
      </c>
      <c r="R1268" s="6" t="s">
        <v>68</v>
      </c>
      <c r="S1268" s="28"/>
      <c r="T1268" s="6" t="s">
        <v>6138</v>
      </c>
      <c r="U1268" s="7" t="n">
        <v>5</v>
      </c>
      <c r="V1268" s="7" t="n">
        <v>5</v>
      </c>
      <c r="W1268" s="8" t="s">
        <v>8313</v>
      </c>
      <c r="X1268" s="8" t="s">
        <v>8313</v>
      </c>
      <c r="Y1268" s="8" t="s">
        <v>9178</v>
      </c>
      <c r="Z1268" s="8" t="s">
        <v>9178</v>
      </c>
      <c r="AA1268" s="7" t="n">
        <v>640</v>
      </c>
      <c r="AB1268" s="7" t="n">
        <v>517</v>
      </c>
      <c r="AC1268" s="7" t="n">
        <v>519</v>
      </c>
      <c r="AD1268" s="7" t="n">
        <v>5</v>
      </c>
      <c r="AE1268" s="7" t="n">
        <v>5</v>
      </c>
      <c r="AF1268" s="7" t="n">
        <v>26</v>
      </c>
      <c r="AG1268" s="7" t="n">
        <v>26</v>
      </c>
      <c r="AH1268" s="7" t="n">
        <v>10</v>
      </c>
      <c r="AI1268" s="7" t="n">
        <v>10</v>
      </c>
      <c r="AJ1268" s="7" t="n">
        <v>6</v>
      </c>
      <c r="AK1268" s="7" t="n">
        <v>6</v>
      </c>
      <c r="AL1268" s="7" t="n">
        <v>15</v>
      </c>
      <c r="AM1268" s="7" t="n">
        <v>15</v>
      </c>
      <c r="AN1268" s="7" t="n">
        <v>3</v>
      </c>
      <c r="AO1268" s="7" t="n">
        <v>3</v>
      </c>
      <c r="AP1268" s="7" t="n">
        <v>0</v>
      </c>
      <c r="AQ1268" s="7" t="n">
        <v>0</v>
      </c>
      <c r="AR1268" s="6" t="s">
        <v>63</v>
      </c>
      <c r="AS1268" s="6" t="s">
        <v>57</v>
      </c>
      <c r="AT1268" s="9" t="str">
        <f aca="false">HYPERLINK("http://catalog.hathitrust.org/Record/001384396","HathiTrust Record")</f>
        <v>HathiTrust Record</v>
      </c>
      <c r="AU1268" s="9" t="str">
        <f aca="false">HYPERLINK("https://creighton-primo.hosted.exlibrisgroup.com/primo-explore/search?tab=default_tab&amp;search_scope=EVERYTHING&amp;vid=01CRU&amp;lang=en_US&amp;offset=0&amp;query=any,contains,991003444019702656","Catalog Record")</f>
        <v>Catalog Record</v>
      </c>
      <c r="AV1268" s="9" t="str">
        <f aca="false">HYPERLINK("http://www.worldcat.org/oclc/980005","WorldCat Record")</f>
        <v>WorldCat Record</v>
      </c>
      <c r="AW1268" s="6" t="s">
        <v>9423</v>
      </c>
      <c r="AX1268" s="6" t="s">
        <v>9424</v>
      </c>
      <c r="AY1268" s="6" t="s">
        <v>9425</v>
      </c>
      <c r="AZ1268" s="6" t="s">
        <v>9425</v>
      </c>
      <c r="BA1268" s="6" t="s">
        <v>9426</v>
      </c>
      <c r="BB1268" s="6" t="s">
        <v>9427</v>
      </c>
      <c r="BC1268" s="6" t="s">
        <v>9428</v>
      </c>
      <c r="BE1268" s="15" t="s">
        <v>2145</v>
      </c>
      <c r="BF1268" s="6" t="s">
        <v>9429</v>
      </c>
    </row>
    <row r="1269" customFormat="false" ht="94" hidden="false" customHeight="false" outlineLevel="0" collapsed="false">
      <c r="A1269" s="26" t="s">
        <v>63</v>
      </c>
      <c r="B1269" s="27" t="s">
        <v>2129</v>
      </c>
      <c r="C1269" s="27" t="s">
        <v>2130</v>
      </c>
      <c r="D1269" s="27" t="s">
        <v>9430</v>
      </c>
      <c r="E1269" s="27" t="s">
        <v>9431</v>
      </c>
      <c r="F1269" s="27" t="s">
        <v>9432</v>
      </c>
      <c r="G1269" s="28"/>
      <c r="H1269" s="6" t="s">
        <v>63</v>
      </c>
      <c r="I1269" s="6" t="s">
        <v>62</v>
      </c>
      <c r="J1269" s="6" t="s">
        <v>63</v>
      </c>
      <c r="K1269" s="6" t="s">
        <v>63</v>
      </c>
      <c r="L1269" s="6" t="s">
        <v>64</v>
      </c>
      <c r="M1269" s="27" t="s">
        <v>5414</v>
      </c>
      <c r="N1269" s="27" t="s">
        <v>9433</v>
      </c>
      <c r="O1269" s="6" t="s">
        <v>2811</v>
      </c>
      <c r="P1269" s="28"/>
      <c r="Q1269" s="6" t="s">
        <v>67</v>
      </c>
      <c r="R1269" s="6" t="s">
        <v>384</v>
      </c>
      <c r="S1269" s="27" t="s">
        <v>9434</v>
      </c>
      <c r="T1269" s="6" t="s">
        <v>6138</v>
      </c>
      <c r="U1269" s="7" t="n">
        <v>3</v>
      </c>
      <c r="V1269" s="7" t="n">
        <v>3</v>
      </c>
      <c r="W1269" s="8" t="s">
        <v>9435</v>
      </c>
      <c r="X1269" s="8" t="s">
        <v>9435</v>
      </c>
      <c r="Y1269" s="8" t="s">
        <v>9178</v>
      </c>
      <c r="Z1269" s="8" t="s">
        <v>9178</v>
      </c>
      <c r="AA1269" s="7" t="n">
        <v>580</v>
      </c>
      <c r="AB1269" s="7" t="n">
        <v>432</v>
      </c>
      <c r="AC1269" s="7" t="n">
        <v>436</v>
      </c>
      <c r="AD1269" s="7" t="n">
        <v>4</v>
      </c>
      <c r="AE1269" s="7" t="n">
        <v>4</v>
      </c>
      <c r="AF1269" s="7" t="n">
        <v>29</v>
      </c>
      <c r="AG1269" s="7" t="n">
        <v>29</v>
      </c>
      <c r="AH1269" s="7" t="n">
        <v>10</v>
      </c>
      <c r="AI1269" s="7" t="n">
        <v>10</v>
      </c>
      <c r="AJ1269" s="7" t="n">
        <v>8</v>
      </c>
      <c r="AK1269" s="7" t="n">
        <v>8</v>
      </c>
      <c r="AL1269" s="7" t="n">
        <v>18</v>
      </c>
      <c r="AM1269" s="7" t="n">
        <v>18</v>
      </c>
      <c r="AN1269" s="7" t="n">
        <v>3</v>
      </c>
      <c r="AO1269" s="7" t="n">
        <v>3</v>
      </c>
      <c r="AP1269" s="7" t="n">
        <v>0</v>
      </c>
      <c r="AQ1269" s="7" t="n">
        <v>0</v>
      </c>
      <c r="AR1269" s="6" t="s">
        <v>63</v>
      </c>
      <c r="AS1269" s="6" t="s">
        <v>63</v>
      </c>
      <c r="AT1269" s="28"/>
      <c r="AU1269" s="9" t="str">
        <f aca="false">HYPERLINK("https://creighton-primo.hosted.exlibrisgroup.com/primo-explore/search?tab=default_tab&amp;search_scope=EVERYTHING&amp;vid=01CRU&amp;lang=en_US&amp;offset=0&amp;query=any,contains,991003317489702656","Catalog Record")</f>
        <v>Catalog Record</v>
      </c>
      <c r="AV1269" s="9" t="str">
        <f aca="false">HYPERLINK("http://www.worldcat.org/oclc/843036","WorldCat Record")</f>
        <v>WorldCat Record</v>
      </c>
      <c r="AW1269" s="6" t="s">
        <v>9436</v>
      </c>
      <c r="AX1269" s="6" t="s">
        <v>9437</v>
      </c>
      <c r="AY1269" s="6" t="s">
        <v>9438</v>
      </c>
      <c r="AZ1269" s="6" t="s">
        <v>9438</v>
      </c>
      <c r="BA1269" s="6" t="s">
        <v>9439</v>
      </c>
      <c r="BB1269" s="6" t="s">
        <v>9440</v>
      </c>
      <c r="BC1269" s="6" t="s">
        <v>9441</v>
      </c>
      <c r="BE1269" s="15" t="s">
        <v>2145</v>
      </c>
      <c r="BF1269" s="6" t="s">
        <v>9442</v>
      </c>
    </row>
    <row r="1270" customFormat="false" ht="128.5" hidden="false" customHeight="false" outlineLevel="0" collapsed="false">
      <c r="A1270" s="26" t="s">
        <v>57</v>
      </c>
      <c r="B1270" s="27" t="s">
        <v>2129</v>
      </c>
      <c r="C1270" s="27" t="s">
        <v>2130</v>
      </c>
      <c r="D1270" s="27" t="s">
        <v>9443</v>
      </c>
      <c r="E1270" s="27" t="s">
        <v>9444</v>
      </c>
      <c r="F1270" s="27" t="s">
        <v>9445</v>
      </c>
      <c r="G1270" s="28"/>
      <c r="H1270" s="6" t="s">
        <v>63</v>
      </c>
      <c r="I1270" s="6" t="s">
        <v>62</v>
      </c>
      <c r="J1270" s="6" t="s">
        <v>63</v>
      </c>
      <c r="K1270" s="6" t="s">
        <v>63</v>
      </c>
      <c r="L1270" s="6" t="s">
        <v>64</v>
      </c>
      <c r="M1270" s="27" t="s">
        <v>9446</v>
      </c>
      <c r="N1270" s="27" t="s">
        <v>6049</v>
      </c>
      <c r="O1270" s="6" t="s">
        <v>2221</v>
      </c>
      <c r="P1270" s="28"/>
      <c r="Q1270" s="6" t="s">
        <v>67</v>
      </c>
      <c r="R1270" s="6" t="s">
        <v>384</v>
      </c>
      <c r="S1270" s="27" t="s">
        <v>9447</v>
      </c>
      <c r="T1270" s="6" t="s">
        <v>6138</v>
      </c>
      <c r="U1270" s="7" t="n">
        <v>3</v>
      </c>
      <c r="V1270" s="7" t="n">
        <v>3</v>
      </c>
      <c r="W1270" s="8" t="s">
        <v>9448</v>
      </c>
      <c r="X1270" s="8" t="s">
        <v>9448</v>
      </c>
      <c r="Y1270" s="8" t="s">
        <v>9449</v>
      </c>
      <c r="Z1270" s="8" t="s">
        <v>9449</v>
      </c>
      <c r="AA1270" s="7" t="n">
        <v>346</v>
      </c>
      <c r="AB1270" s="7" t="n">
        <v>233</v>
      </c>
      <c r="AC1270" s="7" t="n">
        <v>233</v>
      </c>
      <c r="AD1270" s="7" t="n">
        <v>2</v>
      </c>
      <c r="AE1270" s="7" t="n">
        <v>2</v>
      </c>
      <c r="AF1270" s="7" t="n">
        <v>12</v>
      </c>
      <c r="AG1270" s="7" t="n">
        <v>12</v>
      </c>
      <c r="AH1270" s="7" t="n">
        <v>1</v>
      </c>
      <c r="AI1270" s="7" t="n">
        <v>1</v>
      </c>
      <c r="AJ1270" s="7" t="n">
        <v>4</v>
      </c>
      <c r="AK1270" s="7" t="n">
        <v>4</v>
      </c>
      <c r="AL1270" s="7" t="n">
        <v>10</v>
      </c>
      <c r="AM1270" s="7" t="n">
        <v>10</v>
      </c>
      <c r="AN1270" s="7" t="n">
        <v>1</v>
      </c>
      <c r="AO1270" s="7" t="n">
        <v>1</v>
      </c>
      <c r="AP1270" s="7" t="n">
        <v>0</v>
      </c>
      <c r="AQ1270" s="7" t="n">
        <v>0</v>
      </c>
      <c r="AR1270" s="6" t="s">
        <v>63</v>
      </c>
      <c r="AS1270" s="6" t="s">
        <v>63</v>
      </c>
      <c r="AT1270" s="28"/>
      <c r="AU1270" s="9" t="str">
        <f aca="false">HYPERLINK("https://creighton-primo.hosted.exlibrisgroup.com/primo-explore/search?tab=default_tab&amp;search_scope=EVERYTHING&amp;vid=01CRU&amp;lang=en_US&amp;offset=0&amp;query=any,contains,991001100739702656","Catalog Record")</f>
        <v>Catalog Record</v>
      </c>
      <c r="AV1270" s="9" t="str">
        <f aca="false">HYPERLINK("http://www.worldcat.org/oclc/16352830","WorldCat Record")</f>
        <v>WorldCat Record</v>
      </c>
      <c r="AW1270" s="6" t="s">
        <v>9450</v>
      </c>
      <c r="AX1270" s="6" t="s">
        <v>9451</v>
      </c>
      <c r="AY1270" s="6" t="s">
        <v>9452</v>
      </c>
      <c r="AZ1270" s="6" t="s">
        <v>9452</v>
      </c>
      <c r="BA1270" s="6" t="s">
        <v>9453</v>
      </c>
      <c r="BB1270" s="6" t="s">
        <v>9454</v>
      </c>
      <c r="BC1270" s="6" t="s">
        <v>9455</v>
      </c>
      <c r="BE1270" s="15" t="s">
        <v>2145</v>
      </c>
      <c r="BF1270" s="6" t="s">
        <v>9456</v>
      </c>
    </row>
    <row r="1271" customFormat="false" ht="128.5" hidden="false" customHeight="false" outlineLevel="0" collapsed="false">
      <c r="A1271" s="26" t="s">
        <v>63</v>
      </c>
      <c r="B1271" s="27" t="s">
        <v>2129</v>
      </c>
      <c r="C1271" s="27" t="s">
        <v>2130</v>
      </c>
      <c r="D1271" s="27" t="s">
        <v>9457</v>
      </c>
      <c r="E1271" s="27" t="s">
        <v>9458</v>
      </c>
      <c r="F1271" s="27" t="s">
        <v>9459</v>
      </c>
      <c r="G1271" s="28"/>
      <c r="H1271" s="6" t="s">
        <v>63</v>
      </c>
      <c r="I1271" s="6" t="s">
        <v>62</v>
      </c>
      <c r="J1271" s="6" t="s">
        <v>63</v>
      </c>
      <c r="K1271" s="6" t="s">
        <v>63</v>
      </c>
      <c r="L1271" s="6" t="s">
        <v>64</v>
      </c>
      <c r="M1271" s="27" t="s">
        <v>8979</v>
      </c>
      <c r="N1271" s="27" t="s">
        <v>9460</v>
      </c>
      <c r="O1271" s="6" t="s">
        <v>4833</v>
      </c>
      <c r="P1271" s="28"/>
      <c r="Q1271" s="6" t="s">
        <v>67</v>
      </c>
      <c r="R1271" s="6" t="s">
        <v>68</v>
      </c>
      <c r="S1271" s="27" t="s">
        <v>9461</v>
      </c>
      <c r="T1271" s="6" t="s">
        <v>6138</v>
      </c>
      <c r="U1271" s="7" t="n">
        <v>5</v>
      </c>
      <c r="V1271" s="7" t="n">
        <v>5</v>
      </c>
      <c r="W1271" s="8" t="s">
        <v>9462</v>
      </c>
      <c r="X1271" s="8" t="s">
        <v>9462</v>
      </c>
      <c r="Y1271" s="8" t="s">
        <v>6024</v>
      </c>
      <c r="Z1271" s="8" t="s">
        <v>6024</v>
      </c>
      <c r="AA1271" s="7" t="n">
        <v>1098</v>
      </c>
      <c r="AB1271" s="7" t="n">
        <v>920</v>
      </c>
      <c r="AC1271" s="7" t="n">
        <v>1319</v>
      </c>
      <c r="AD1271" s="7" t="n">
        <v>11</v>
      </c>
      <c r="AE1271" s="7" t="n">
        <v>11</v>
      </c>
      <c r="AF1271" s="7" t="n">
        <v>44</v>
      </c>
      <c r="AG1271" s="7" t="n">
        <v>58</v>
      </c>
      <c r="AH1271" s="7" t="n">
        <v>17</v>
      </c>
      <c r="AI1271" s="7" t="n">
        <v>24</v>
      </c>
      <c r="AJ1271" s="7" t="n">
        <v>9</v>
      </c>
      <c r="AK1271" s="7" t="n">
        <v>10</v>
      </c>
      <c r="AL1271" s="7" t="n">
        <v>22</v>
      </c>
      <c r="AM1271" s="7" t="n">
        <v>27</v>
      </c>
      <c r="AN1271" s="7" t="n">
        <v>8</v>
      </c>
      <c r="AO1271" s="7" t="n">
        <v>8</v>
      </c>
      <c r="AP1271" s="7" t="n">
        <v>0</v>
      </c>
      <c r="AQ1271" s="7" t="n">
        <v>3</v>
      </c>
      <c r="AR1271" s="6" t="s">
        <v>63</v>
      </c>
      <c r="AS1271" s="6" t="s">
        <v>63</v>
      </c>
      <c r="AT1271" s="9" t="str">
        <f aca="false">HYPERLINK("http://catalog.hathitrust.org/Record/001380529","HathiTrust Record")</f>
        <v>HathiTrust Record</v>
      </c>
      <c r="AU1271" s="9" t="str">
        <f aca="false">HYPERLINK("https://creighton-primo.hosted.exlibrisgroup.com/primo-explore/search?tab=default_tab&amp;search_scope=EVERYTHING&amp;vid=01CRU&amp;lang=en_US&amp;offset=0&amp;query=any,contains,991002536249702656","Catalog Record")</f>
        <v>Catalog Record</v>
      </c>
      <c r="AV1271" s="9" t="str">
        <f aca="false">HYPERLINK("http://www.worldcat.org/oclc/367552","WorldCat Record")</f>
        <v>WorldCat Record</v>
      </c>
      <c r="AW1271" s="6" t="s">
        <v>9463</v>
      </c>
      <c r="AX1271" s="6" t="s">
        <v>9464</v>
      </c>
      <c r="AY1271" s="6" t="s">
        <v>9465</v>
      </c>
      <c r="AZ1271" s="6" t="s">
        <v>9465</v>
      </c>
      <c r="BA1271" s="6" t="s">
        <v>9466</v>
      </c>
      <c r="BB1271" s="28"/>
      <c r="BC1271" s="6" t="s">
        <v>9467</v>
      </c>
      <c r="BE1271" s="15" t="s">
        <v>2145</v>
      </c>
      <c r="BF1271" s="6" t="s">
        <v>9468</v>
      </c>
    </row>
    <row r="1272" customFormat="false" ht="151.5" hidden="false" customHeight="false" outlineLevel="0" collapsed="false">
      <c r="A1272" s="26" t="s">
        <v>63</v>
      </c>
      <c r="B1272" s="27" t="s">
        <v>2129</v>
      </c>
      <c r="C1272" s="27" t="s">
        <v>2130</v>
      </c>
      <c r="D1272" s="27" t="s">
        <v>9469</v>
      </c>
      <c r="E1272" s="27" t="s">
        <v>9470</v>
      </c>
      <c r="F1272" s="27" t="s">
        <v>9471</v>
      </c>
      <c r="G1272" s="28"/>
      <c r="H1272" s="6" t="s">
        <v>63</v>
      </c>
      <c r="I1272" s="6" t="s">
        <v>62</v>
      </c>
      <c r="J1272" s="6" t="s">
        <v>63</v>
      </c>
      <c r="K1272" s="6" t="s">
        <v>57</v>
      </c>
      <c r="L1272" s="6" t="s">
        <v>64</v>
      </c>
      <c r="M1272" s="27" t="s">
        <v>9472</v>
      </c>
      <c r="N1272" s="27" t="s">
        <v>9473</v>
      </c>
      <c r="O1272" s="6" t="s">
        <v>4833</v>
      </c>
      <c r="P1272" s="28"/>
      <c r="Q1272" s="6" t="s">
        <v>67</v>
      </c>
      <c r="R1272" s="6" t="s">
        <v>384</v>
      </c>
      <c r="S1272" s="28"/>
      <c r="T1272" s="6" t="s">
        <v>6138</v>
      </c>
      <c r="U1272" s="7" t="n">
        <v>6</v>
      </c>
      <c r="V1272" s="7" t="n">
        <v>6</v>
      </c>
      <c r="W1272" s="8" t="s">
        <v>9474</v>
      </c>
      <c r="X1272" s="8" t="s">
        <v>9474</v>
      </c>
      <c r="Y1272" s="8" t="s">
        <v>6024</v>
      </c>
      <c r="Z1272" s="8" t="s">
        <v>6024</v>
      </c>
      <c r="AA1272" s="7" t="n">
        <v>910</v>
      </c>
      <c r="AB1272" s="7" t="n">
        <v>749</v>
      </c>
      <c r="AC1272" s="7" t="n">
        <v>1273</v>
      </c>
      <c r="AD1272" s="7" t="n">
        <v>6</v>
      </c>
      <c r="AE1272" s="7" t="n">
        <v>12</v>
      </c>
      <c r="AF1272" s="7" t="n">
        <v>39</v>
      </c>
      <c r="AG1272" s="7" t="n">
        <v>57</v>
      </c>
      <c r="AH1272" s="7" t="n">
        <v>16</v>
      </c>
      <c r="AI1272" s="7" t="n">
        <v>23</v>
      </c>
      <c r="AJ1272" s="7" t="n">
        <v>9</v>
      </c>
      <c r="AK1272" s="7" t="n">
        <v>11</v>
      </c>
      <c r="AL1272" s="7" t="n">
        <v>20</v>
      </c>
      <c r="AM1272" s="7" t="n">
        <v>27</v>
      </c>
      <c r="AN1272" s="7" t="n">
        <v>4</v>
      </c>
      <c r="AO1272" s="7" t="n">
        <v>9</v>
      </c>
      <c r="AP1272" s="7" t="n">
        <v>0</v>
      </c>
      <c r="AQ1272" s="7" t="n">
        <v>1</v>
      </c>
      <c r="AR1272" s="6" t="s">
        <v>63</v>
      </c>
      <c r="AS1272" s="6" t="s">
        <v>63</v>
      </c>
      <c r="AT1272" s="28"/>
      <c r="AU1272" s="9" t="str">
        <f aca="false">HYPERLINK("https://creighton-primo.hosted.exlibrisgroup.com/primo-explore/search?tab=default_tab&amp;search_scope=EVERYTHING&amp;vid=01CRU&amp;lang=en_US&amp;offset=0&amp;query=any,contains,991003339809702656","Catalog Record")</f>
        <v>Catalog Record</v>
      </c>
      <c r="AV1272" s="9" t="str">
        <f aca="false">HYPERLINK("http://www.worldcat.org/oclc/870519","WorldCat Record")</f>
        <v>WorldCat Record</v>
      </c>
      <c r="AW1272" s="6" t="s">
        <v>9475</v>
      </c>
      <c r="AX1272" s="6" t="s">
        <v>9476</v>
      </c>
      <c r="AY1272" s="6" t="s">
        <v>9477</v>
      </c>
      <c r="AZ1272" s="6" t="s">
        <v>9477</v>
      </c>
      <c r="BA1272" s="6" t="s">
        <v>9478</v>
      </c>
      <c r="BB1272" s="28"/>
      <c r="BC1272" s="6" t="s">
        <v>9479</v>
      </c>
      <c r="BE1272" s="15" t="s">
        <v>2145</v>
      </c>
      <c r="BF1272" s="6" t="s">
        <v>9480</v>
      </c>
    </row>
    <row r="1273" customFormat="false" ht="163" hidden="false" customHeight="false" outlineLevel="0" collapsed="false">
      <c r="A1273" s="26" t="s">
        <v>63</v>
      </c>
      <c r="B1273" s="27" t="s">
        <v>2129</v>
      </c>
      <c r="C1273" s="27" t="s">
        <v>2130</v>
      </c>
      <c r="D1273" s="27" t="s">
        <v>9481</v>
      </c>
      <c r="E1273" s="27" t="s">
        <v>9482</v>
      </c>
      <c r="F1273" s="27" t="s">
        <v>9483</v>
      </c>
      <c r="G1273" s="28"/>
      <c r="H1273" s="6" t="s">
        <v>63</v>
      </c>
      <c r="I1273" s="6" t="s">
        <v>62</v>
      </c>
      <c r="J1273" s="6" t="s">
        <v>63</v>
      </c>
      <c r="K1273" s="6" t="s">
        <v>57</v>
      </c>
      <c r="L1273" s="6" t="s">
        <v>64</v>
      </c>
      <c r="M1273" s="27" t="s">
        <v>9472</v>
      </c>
      <c r="N1273" s="27" t="s">
        <v>9484</v>
      </c>
      <c r="O1273" s="6" t="s">
        <v>3029</v>
      </c>
      <c r="P1273" s="28"/>
      <c r="Q1273" s="6" t="s">
        <v>67</v>
      </c>
      <c r="R1273" s="6" t="s">
        <v>123</v>
      </c>
      <c r="S1273" s="28"/>
      <c r="T1273" s="6" t="s">
        <v>6138</v>
      </c>
      <c r="U1273" s="7" t="n">
        <v>15</v>
      </c>
      <c r="V1273" s="7" t="n">
        <v>15</v>
      </c>
      <c r="W1273" s="8" t="s">
        <v>8739</v>
      </c>
      <c r="X1273" s="8" t="s">
        <v>8739</v>
      </c>
      <c r="Y1273" s="8" t="s">
        <v>9485</v>
      </c>
      <c r="Z1273" s="8" t="s">
        <v>9485</v>
      </c>
      <c r="AA1273" s="7" t="n">
        <v>193</v>
      </c>
      <c r="AB1273" s="7" t="n">
        <v>167</v>
      </c>
      <c r="AC1273" s="7" t="n">
        <v>1273</v>
      </c>
      <c r="AD1273" s="7" t="n">
        <v>2</v>
      </c>
      <c r="AE1273" s="7" t="n">
        <v>12</v>
      </c>
      <c r="AF1273" s="7" t="n">
        <v>5</v>
      </c>
      <c r="AG1273" s="7" t="n">
        <v>57</v>
      </c>
      <c r="AH1273" s="7" t="n">
        <v>0</v>
      </c>
      <c r="AI1273" s="7" t="n">
        <v>23</v>
      </c>
      <c r="AJ1273" s="7" t="n">
        <v>0</v>
      </c>
      <c r="AK1273" s="7" t="n">
        <v>11</v>
      </c>
      <c r="AL1273" s="7" t="n">
        <v>4</v>
      </c>
      <c r="AM1273" s="7" t="n">
        <v>27</v>
      </c>
      <c r="AN1273" s="7" t="n">
        <v>1</v>
      </c>
      <c r="AO1273" s="7" t="n">
        <v>9</v>
      </c>
      <c r="AP1273" s="7" t="n">
        <v>0</v>
      </c>
      <c r="AQ1273" s="7" t="n">
        <v>1</v>
      </c>
      <c r="AR1273" s="6" t="s">
        <v>63</v>
      </c>
      <c r="AS1273" s="6" t="s">
        <v>63</v>
      </c>
      <c r="AT1273" s="28"/>
      <c r="AU1273" s="9" t="str">
        <f aca="false">HYPERLINK("https://creighton-primo.hosted.exlibrisgroup.com/primo-explore/search?tab=default_tab&amp;search_scope=EVERYTHING&amp;vid=01CRU&amp;lang=en_US&amp;offset=0&amp;query=any,contains,991005370849702656","Catalog Record")</f>
        <v>Catalog Record</v>
      </c>
      <c r="AV1273" s="9" t="str">
        <f aca="false">HYPERLINK("http://www.worldcat.org/oclc/3222269","WorldCat Record")</f>
        <v>WorldCat Record</v>
      </c>
      <c r="AW1273" s="6" t="s">
        <v>9475</v>
      </c>
      <c r="AX1273" s="6" t="s">
        <v>9486</v>
      </c>
      <c r="AY1273" s="6" t="s">
        <v>9487</v>
      </c>
      <c r="AZ1273" s="6" t="s">
        <v>9487</v>
      </c>
      <c r="BA1273" s="6" t="s">
        <v>9488</v>
      </c>
      <c r="BB1273" s="6" t="s">
        <v>9489</v>
      </c>
      <c r="BC1273" s="6" t="s">
        <v>9490</v>
      </c>
      <c r="BE1273" s="15" t="s">
        <v>2145</v>
      </c>
      <c r="BF1273" s="6" t="s">
        <v>9491</v>
      </c>
    </row>
    <row r="1274" customFormat="false" ht="117" hidden="false" customHeight="false" outlineLevel="0" collapsed="false">
      <c r="A1274" s="26" t="s">
        <v>63</v>
      </c>
      <c r="B1274" s="27" t="s">
        <v>2129</v>
      </c>
      <c r="C1274" s="27" t="s">
        <v>2130</v>
      </c>
      <c r="D1274" s="27" t="s">
        <v>9492</v>
      </c>
      <c r="E1274" s="27" t="s">
        <v>9493</v>
      </c>
      <c r="F1274" s="27" t="s">
        <v>9494</v>
      </c>
      <c r="G1274" s="28"/>
      <c r="H1274" s="6" t="s">
        <v>63</v>
      </c>
      <c r="I1274" s="6" t="s">
        <v>62</v>
      </c>
      <c r="J1274" s="6" t="s">
        <v>63</v>
      </c>
      <c r="K1274" s="6" t="s">
        <v>63</v>
      </c>
      <c r="L1274" s="6" t="s">
        <v>64</v>
      </c>
      <c r="M1274" s="28"/>
      <c r="N1274" s="27" t="s">
        <v>9495</v>
      </c>
      <c r="O1274" s="6" t="s">
        <v>221</v>
      </c>
      <c r="P1274" s="27" t="s">
        <v>327</v>
      </c>
      <c r="Q1274" s="6" t="s">
        <v>67</v>
      </c>
      <c r="R1274" s="6" t="s">
        <v>1059</v>
      </c>
      <c r="S1274" s="27" t="s">
        <v>9496</v>
      </c>
      <c r="T1274" s="6" t="s">
        <v>6138</v>
      </c>
      <c r="U1274" s="7" t="n">
        <v>5</v>
      </c>
      <c r="V1274" s="7" t="n">
        <v>5</v>
      </c>
      <c r="W1274" s="8" t="s">
        <v>9497</v>
      </c>
      <c r="X1274" s="8" t="s">
        <v>9497</v>
      </c>
      <c r="Y1274" s="8" t="s">
        <v>9498</v>
      </c>
      <c r="Z1274" s="8" t="s">
        <v>9498</v>
      </c>
      <c r="AA1274" s="7" t="n">
        <v>328</v>
      </c>
      <c r="AB1274" s="7" t="n">
        <v>278</v>
      </c>
      <c r="AC1274" s="7" t="n">
        <v>280</v>
      </c>
      <c r="AD1274" s="7" t="n">
        <v>1</v>
      </c>
      <c r="AE1274" s="7" t="n">
        <v>1</v>
      </c>
      <c r="AF1274" s="7" t="n">
        <v>24</v>
      </c>
      <c r="AG1274" s="7" t="n">
        <v>24</v>
      </c>
      <c r="AH1274" s="7" t="n">
        <v>9</v>
      </c>
      <c r="AI1274" s="7" t="n">
        <v>9</v>
      </c>
      <c r="AJ1274" s="7" t="n">
        <v>9</v>
      </c>
      <c r="AK1274" s="7" t="n">
        <v>9</v>
      </c>
      <c r="AL1274" s="7" t="n">
        <v>15</v>
      </c>
      <c r="AM1274" s="7" t="n">
        <v>15</v>
      </c>
      <c r="AN1274" s="7" t="n">
        <v>0</v>
      </c>
      <c r="AO1274" s="7" t="n">
        <v>0</v>
      </c>
      <c r="AP1274" s="7" t="n">
        <v>0</v>
      </c>
      <c r="AQ1274" s="7" t="n">
        <v>0</v>
      </c>
      <c r="AR1274" s="6" t="s">
        <v>63</v>
      </c>
      <c r="AS1274" s="6" t="s">
        <v>63</v>
      </c>
      <c r="AT1274" s="28"/>
      <c r="AU1274" s="9" t="str">
        <f aca="false">HYPERLINK("https://creighton-primo.hosted.exlibrisgroup.com/primo-explore/search?tab=default_tab&amp;search_scope=EVERYTHING&amp;vid=01CRU&amp;lang=en_US&amp;offset=0&amp;query=any,contains,991000356389702656","Catalog Record")</f>
        <v>Catalog Record</v>
      </c>
      <c r="AV1274" s="9" t="str">
        <f aca="false">HYPERLINK("http://www.worldcat.org/oclc/10333739","WorldCat Record")</f>
        <v>WorldCat Record</v>
      </c>
      <c r="AW1274" s="6" t="s">
        <v>9499</v>
      </c>
      <c r="AX1274" s="6" t="s">
        <v>9500</v>
      </c>
      <c r="AY1274" s="6" t="s">
        <v>9501</v>
      </c>
      <c r="AZ1274" s="6" t="s">
        <v>9501</v>
      </c>
      <c r="BA1274" s="6" t="s">
        <v>9502</v>
      </c>
      <c r="BB1274" s="6" t="s">
        <v>9503</v>
      </c>
      <c r="BC1274" s="6" t="s">
        <v>9504</v>
      </c>
      <c r="BE1274" s="15" t="s">
        <v>2145</v>
      </c>
      <c r="BF1274" s="6" t="s">
        <v>9505</v>
      </c>
    </row>
    <row r="1275" customFormat="false" ht="82.5" hidden="false" customHeight="false" outlineLevel="0" collapsed="false">
      <c r="A1275" s="26" t="s">
        <v>63</v>
      </c>
      <c r="B1275" s="27" t="s">
        <v>2129</v>
      </c>
      <c r="C1275" s="27" t="s">
        <v>2130</v>
      </c>
      <c r="D1275" s="27" t="s">
        <v>9506</v>
      </c>
      <c r="E1275" s="27" t="s">
        <v>9507</v>
      </c>
      <c r="F1275" s="27" t="s">
        <v>9508</v>
      </c>
      <c r="G1275" s="28"/>
      <c r="H1275" s="6" t="s">
        <v>63</v>
      </c>
      <c r="I1275" s="6" t="s">
        <v>62</v>
      </c>
      <c r="J1275" s="6" t="s">
        <v>63</v>
      </c>
      <c r="K1275" s="6" t="s">
        <v>63</v>
      </c>
      <c r="L1275" s="6" t="s">
        <v>64</v>
      </c>
      <c r="M1275" s="27" t="s">
        <v>9509</v>
      </c>
      <c r="N1275" s="27" t="s">
        <v>9510</v>
      </c>
      <c r="O1275" s="6" t="s">
        <v>122</v>
      </c>
      <c r="P1275" s="28"/>
      <c r="Q1275" s="6" t="s">
        <v>67</v>
      </c>
      <c r="R1275" s="6" t="s">
        <v>123</v>
      </c>
      <c r="S1275" s="28"/>
      <c r="T1275" s="6" t="s">
        <v>6138</v>
      </c>
      <c r="U1275" s="7" t="n">
        <v>3</v>
      </c>
      <c r="V1275" s="7" t="n">
        <v>3</v>
      </c>
      <c r="W1275" s="8" t="s">
        <v>9511</v>
      </c>
      <c r="X1275" s="8" t="s">
        <v>9511</v>
      </c>
      <c r="Y1275" s="8" t="s">
        <v>6024</v>
      </c>
      <c r="Z1275" s="8" t="s">
        <v>6024</v>
      </c>
      <c r="AA1275" s="7" t="n">
        <v>546</v>
      </c>
      <c r="AB1275" s="7" t="n">
        <v>473</v>
      </c>
      <c r="AC1275" s="7" t="n">
        <v>624</v>
      </c>
      <c r="AD1275" s="7" t="n">
        <v>4</v>
      </c>
      <c r="AE1275" s="7" t="n">
        <v>4</v>
      </c>
      <c r="AF1275" s="7" t="n">
        <v>28</v>
      </c>
      <c r="AG1275" s="7" t="n">
        <v>33</v>
      </c>
      <c r="AH1275" s="7" t="n">
        <v>9</v>
      </c>
      <c r="AI1275" s="7" t="n">
        <v>13</v>
      </c>
      <c r="AJ1275" s="7" t="n">
        <v>7</v>
      </c>
      <c r="AK1275" s="7" t="n">
        <v>7</v>
      </c>
      <c r="AL1275" s="7" t="n">
        <v>18</v>
      </c>
      <c r="AM1275" s="7" t="n">
        <v>19</v>
      </c>
      <c r="AN1275" s="7" t="n">
        <v>3</v>
      </c>
      <c r="AO1275" s="7" t="n">
        <v>3</v>
      </c>
      <c r="AP1275" s="7" t="n">
        <v>0</v>
      </c>
      <c r="AQ1275" s="7" t="n">
        <v>1</v>
      </c>
      <c r="AR1275" s="6" t="s">
        <v>63</v>
      </c>
      <c r="AS1275" s="6" t="s">
        <v>63</v>
      </c>
      <c r="AT1275" s="28"/>
      <c r="AU1275" s="9" t="str">
        <f aca="false">HYPERLINK("https://creighton-primo.hosted.exlibrisgroup.com/primo-explore/search?tab=default_tab&amp;search_scope=EVERYTHING&amp;vid=01CRU&amp;lang=en_US&amp;offset=0&amp;query=any,contains,991003234809702656","Catalog Record")</f>
        <v>Catalog Record</v>
      </c>
      <c r="AV1275" s="9" t="str">
        <f aca="false">HYPERLINK("http://www.worldcat.org/oclc/759362","WorldCat Record")</f>
        <v>WorldCat Record</v>
      </c>
      <c r="AW1275" s="6" t="s">
        <v>9512</v>
      </c>
      <c r="AX1275" s="6" t="s">
        <v>9513</v>
      </c>
      <c r="AY1275" s="6" t="s">
        <v>9514</v>
      </c>
      <c r="AZ1275" s="6" t="s">
        <v>9514</v>
      </c>
      <c r="BA1275" s="6" t="s">
        <v>9515</v>
      </c>
      <c r="BB1275" s="28"/>
      <c r="BC1275" s="6" t="s">
        <v>9516</v>
      </c>
      <c r="BE1275" s="15" t="s">
        <v>2145</v>
      </c>
      <c r="BF1275" s="6" t="s">
        <v>9517</v>
      </c>
    </row>
    <row r="1276" customFormat="false" ht="117" hidden="false" customHeight="false" outlineLevel="0" collapsed="false">
      <c r="A1276" s="26" t="s">
        <v>63</v>
      </c>
      <c r="B1276" s="27" t="s">
        <v>2129</v>
      </c>
      <c r="C1276" s="27" t="s">
        <v>2130</v>
      </c>
      <c r="D1276" s="27" t="s">
        <v>9518</v>
      </c>
      <c r="E1276" s="27" t="s">
        <v>9519</v>
      </c>
      <c r="F1276" s="27" t="s">
        <v>9520</v>
      </c>
      <c r="G1276" s="28"/>
      <c r="H1276" s="6" t="s">
        <v>63</v>
      </c>
      <c r="I1276" s="6" t="s">
        <v>62</v>
      </c>
      <c r="J1276" s="6" t="s">
        <v>63</v>
      </c>
      <c r="K1276" s="6" t="s">
        <v>63</v>
      </c>
      <c r="L1276" s="6" t="s">
        <v>64</v>
      </c>
      <c r="M1276" s="27" t="s">
        <v>9521</v>
      </c>
      <c r="N1276" s="27" t="s">
        <v>9522</v>
      </c>
      <c r="O1276" s="6" t="s">
        <v>246</v>
      </c>
      <c r="P1276" s="28"/>
      <c r="Q1276" s="6" t="s">
        <v>67</v>
      </c>
      <c r="R1276" s="6" t="s">
        <v>68</v>
      </c>
      <c r="S1276" s="28"/>
      <c r="T1276" s="6" t="s">
        <v>6138</v>
      </c>
      <c r="U1276" s="7" t="n">
        <v>4</v>
      </c>
      <c r="V1276" s="7" t="n">
        <v>4</v>
      </c>
      <c r="W1276" s="8" t="s">
        <v>9523</v>
      </c>
      <c r="X1276" s="8" t="s">
        <v>9523</v>
      </c>
      <c r="Y1276" s="8" t="s">
        <v>6522</v>
      </c>
      <c r="Z1276" s="8" t="s">
        <v>6522</v>
      </c>
      <c r="AA1276" s="7" t="n">
        <v>392</v>
      </c>
      <c r="AB1276" s="7" t="n">
        <v>334</v>
      </c>
      <c r="AC1276" s="7" t="n">
        <v>335</v>
      </c>
      <c r="AD1276" s="7" t="n">
        <v>4</v>
      </c>
      <c r="AE1276" s="7" t="n">
        <v>4</v>
      </c>
      <c r="AF1276" s="7" t="n">
        <v>19</v>
      </c>
      <c r="AG1276" s="7" t="n">
        <v>19</v>
      </c>
      <c r="AH1276" s="7" t="n">
        <v>8</v>
      </c>
      <c r="AI1276" s="7" t="n">
        <v>8</v>
      </c>
      <c r="AJ1276" s="7" t="n">
        <v>4</v>
      </c>
      <c r="AK1276" s="7" t="n">
        <v>4</v>
      </c>
      <c r="AL1276" s="7" t="n">
        <v>11</v>
      </c>
      <c r="AM1276" s="7" t="n">
        <v>11</v>
      </c>
      <c r="AN1276" s="7" t="n">
        <v>2</v>
      </c>
      <c r="AO1276" s="7" t="n">
        <v>2</v>
      </c>
      <c r="AP1276" s="7" t="n">
        <v>1</v>
      </c>
      <c r="AQ1276" s="7" t="n">
        <v>1</v>
      </c>
      <c r="AR1276" s="6" t="s">
        <v>63</v>
      </c>
      <c r="AS1276" s="6" t="s">
        <v>63</v>
      </c>
      <c r="AT1276" s="28"/>
      <c r="AU1276" s="9" t="str">
        <f aca="false">HYPERLINK("https://creighton-primo.hosted.exlibrisgroup.com/primo-explore/search?tab=default_tab&amp;search_scope=EVERYTHING&amp;vid=01CRU&amp;lang=en_US&amp;offset=0&amp;query=any,contains,991004890349702656","Catalog Record")</f>
        <v>Catalog Record</v>
      </c>
      <c r="AV1276" s="9" t="str">
        <f aca="false">HYPERLINK("http://www.worldcat.org/oclc/5866443","WorldCat Record")</f>
        <v>WorldCat Record</v>
      </c>
      <c r="AW1276" s="6" t="s">
        <v>9524</v>
      </c>
      <c r="AX1276" s="6" t="s">
        <v>9525</v>
      </c>
      <c r="AY1276" s="6" t="s">
        <v>9526</v>
      </c>
      <c r="AZ1276" s="6" t="s">
        <v>9526</v>
      </c>
      <c r="BA1276" s="6" t="s">
        <v>9527</v>
      </c>
      <c r="BB1276" s="6" t="s">
        <v>9528</v>
      </c>
      <c r="BC1276" s="6" t="s">
        <v>9529</v>
      </c>
      <c r="BE1276" s="15" t="s">
        <v>2145</v>
      </c>
      <c r="BF1276" s="6" t="s">
        <v>9530</v>
      </c>
    </row>
    <row r="1277" customFormat="false" ht="105.5" hidden="false" customHeight="false" outlineLevel="0" collapsed="false">
      <c r="A1277" s="26" t="s">
        <v>63</v>
      </c>
      <c r="B1277" s="27" t="s">
        <v>2129</v>
      </c>
      <c r="C1277" s="27" t="s">
        <v>2130</v>
      </c>
      <c r="D1277" s="27" t="s">
        <v>9531</v>
      </c>
      <c r="E1277" s="27" t="s">
        <v>9532</v>
      </c>
      <c r="F1277" s="27" t="s">
        <v>9533</v>
      </c>
      <c r="G1277" s="28"/>
      <c r="H1277" s="6" t="s">
        <v>63</v>
      </c>
      <c r="I1277" s="6" t="s">
        <v>62</v>
      </c>
      <c r="J1277" s="6" t="s">
        <v>63</v>
      </c>
      <c r="K1277" s="6" t="s">
        <v>63</v>
      </c>
      <c r="L1277" s="6" t="s">
        <v>64</v>
      </c>
      <c r="M1277" s="27" t="s">
        <v>9534</v>
      </c>
      <c r="N1277" s="27" t="s">
        <v>9535</v>
      </c>
      <c r="O1277" s="6" t="s">
        <v>2467</v>
      </c>
      <c r="P1277" s="28"/>
      <c r="Q1277" s="6" t="s">
        <v>67</v>
      </c>
      <c r="R1277" s="6" t="s">
        <v>748</v>
      </c>
      <c r="S1277" s="28"/>
      <c r="T1277" s="6" t="s">
        <v>6138</v>
      </c>
      <c r="U1277" s="7" t="n">
        <v>4</v>
      </c>
      <c r="V1277" s="7" t="n">
        <v>4</v>
      </c>
      <c r="W1277" s="8" t="s">
        <v>9536</v>
      </c>
      <c r="X1277" s="8" t="s">
        <v>9536</v>
      </c>
      <c r="Y1277" s="8" t="s">
        <v>7928</v>
      </c>
      <c r="Z1277" s="8" t="s">
        <v>7928</v>
      </c>
      <c r="AA1277" s="7" t="n">
        <v>163</v>
      </c>
      <c r="AB1277" s="7" t="n">
        <v>118</v>
      </c>
      <c r="AC1277" s="7" t="n">
        <v>217</v>
      </c>
      <c r="AD1277" s="7" t="n">
        <v>2</v>
      </c>
      <c r="AE1277" s="7" t="n">
        <v>2</v>
      </c>
      <c r="AF1277" s="7" t="n">
        <v>10</v>
      </c>
      <c r="AG1277" s="7" t="n">
        <v>18</v>
      </c>
      <c r="AH1277" s="7" t="n">
        <v>3</v>
      </c>
      <c r="AI1277" s="7" t="n">
        <v>4</v>
      </c>
      <c r="AJ1277" s="7" t="n">
        <v>2</v>
      </c>
      <c r="AK1277" s="7" t="n">
        <v>6</v>
      </c>
      <c r="AL1277" s="7" t="n">
        <v>9</v>
      </c>
      <c r="AM1277" s="7" t="n">
        <v>14</v>
      </c>
      <c r="AN1277" s="7" t="n">
        <v>1</v>
      </c>
      <c r="AO1277" s="7" t="n">
        <v>1</v>
      </c>
      <c r="AP1277" s="7" t="n">
        <v>0</v>
      </c>
      <c r="AQ1277" s="7" t="n">
        <v>0</v>
      </c>
      <c r="AR1277" s="6" t="s">
        <v>63</v>
      </c>
      <c r="AS1277" s="6" t="s">
        <v>57</v>
      </c>
      <c r="AT1277" s="9" t="str">
        <f aca="false">HYPERLINK("http://catalog.hathitrust.org/Record/001384415","HathiTrust Record")</f>
        <v>HathiTrust Record</v>
      </c>
      <c r="AU1277" s="9" t="str">
        <f aca="false">HYPERLINK("https://creighton-primo.hosted.exlibrisgroup.com/primo-explore/search?tab=default_tab&amp;search_scope=EVERYTHING&amp;vid=01CRU&amp;lang=en_US&amp;offset=0&amp;query=any,contains,991002818329702656","Catalog Record")</f>
        <v>Catalog Record</v>
      </c>
      <c r="AV1277" s="9" t="str">
        <f aca="false">HYPERLINK("http://www.worldcat.org/oclc/463919","WorldCat Record")</f>
        <v>WorldCat Record</v>
      </c>
      <c r="AW1277" s="6" t="s">
        <v>9537</v>
      </c>
      <c r="AX1277" s="6" t="s">
        <v>9538</v>
      </c>
      <c r="AY1277" s="6" t="s">
        <v>9539</v>
      </c>
      <c r="AZ1277" s="6" t="s">
        <v>9539</v>
      </c>
      <c r="BA1277" s="6" t="s">
        <v>9540</v>
      </c>
      <c r="BB1277" s="28"/>
      <c r="BC1277" s="6" t="s">
        <v>9541</v>
      </c>
      <c r="BE1277" s="15" t="s">
        <v>2145</v>
      </c>
      <c r="BF1277" s="6" t="s">
        <v>9542</v>
      </c>
    </row>
    <row r="1278" customFormat="false" ht="117" hidden="false" customHeight="false" outlineLevel="0" collapsed="false">
      <c r="A1278" s="26" t="s">
        <v>63</v>
      </c>
      <c r="B1278" s="27" t="s">
        <v>2129</v>
      </c>
      <c r="C1278" s="27" t="s">
        <v>2130</v>
      </c>
      <c r="D1278" s="27" t="s">
        <v>9543</v>
      </c>
      <c r="E1278" s="27" t="s">
        <v>9544</v>
      </c>
      <c r="F1278" s="27" t="s">
        <v>9545</v>
      </c>
      <c r="G1278" s="28"/>
      <c r="H1278" s="6" t="s">
        <v>63</v>
      </c>
      <c r="I1278" s="6" t="s">
        <v>62</v>
      </c>
      <c r="J1278" s="6" t="s">
        <v>63</v>
      </c>
      <c r="K1278" s="6" t="s">
        <v>63</v>
      </c>
      <c r="L1278" s="6" t="s">
        <v>64</v>
      </c>
      <c r="M1278" s="27" t="s">
        <v>9546</v>
      </c>
      <c r="N1278" s="27" t="s">
        <v>9547</v>
      </c>
      <c r="O1278" s="6" t="s">
        <v>221</v>
      </c>
      <c r="P1278" s="28"/>
      <c r="Q1278" s="6" t="s">
        <v>67</v>
      </c>
      <c r="R1278" s="6" t="s">
        <v>384</v>
      </c>
      <c r="S1278" s="28"/>
      <c r="T1278" s="6" t="s">
        <v>6138</v>
      </c>
      <c r="U1278" s="7" t="n">
        <v>2</v>
      </c>
      <c r="V1278" s="7" t="n">
        <v>2</v>
      </c>
      <c r="W1278" s="8" t="s">
        <v>9548</v>
      </c>
      <c r="X1278" s="8" t="s">
        <v>9548</v>
      </c>
      <c r="Y1278" s="8" t="s">
        <v>7928</v>
      </c>
      <c r="Z1278" s="8" t="s">
        <v>7928</v>
      </c>
      <c r="AA1278" s="7" t="n">
        <v>359</v>
      </c>
      <c r="AB1278" s="7" t="n">
        <v>241</v>
      </c>
      <c r="AC1278" s="7" t="n">
        <v>250</v>
      </c>
      <c r="AD1278" s="7" t="n">
        <v>3</v>
      </c>
      <c r="AE1278" s="7" t="n">
        <v>3</v>
      </c>
      <c r="AF1278" s="7" t="n">
        <v>11</v>
      </c>
      <c r="AG1278" s="7" t="n">
        <v>12</v>
      </c>
      <c r="AH1278" s="7" t="n">
        <v>4</v>
      </c>
      <c r="AI1278" s="7" t="n">
        <v>4</v>
      </c>
      <c r="AJ1278" s="7" t="n">
        <v>3</v>
      </c>
      <c r="AK1278" s="7" t="n">
        <v>4</v>
      </c>
      <c r="AL1278" s="7" t="n">
        <v>9</v>
      </c>
      <c r="AM1278" s="7" t="n">
        <v>10</v>
      </c>
      <c r="AN1278" s="7" t="n">
        <v>1</v>
      </c>
      <c r="AO1278" s="7" t="n">
        <v>1</v>
      </c>
      <c r="AP1278" s="7" t="n">
        <v>0</v>
      </c>
      <c r="AQ1278" s="7" t="n">
        <v>0</v>
      </c>
      <c r="AR1278" s="6" t="s">
        <v>63</v>
      </c>
      <c r="AS1278" s="6" t="s">
        <v>57</v>
      </c>
      <c r="AT1278" s="9" t="str">
        <f aca="false">HYPERLINK("http://catalog.hathitrust.org/Record/000804093","HathiTrust Record")</f>
        <v>HathiTrust Record</v>
      </c>
      <c r="AU1278" s="9" t="str">
        <f aca="false">HYPERLINK("https://creighton-primo.hosted.exlibrisgroup.com/primo-explore/search?tab=default_tab&amp;search_scope=EVERYTHING&amp;vid=01CRU&amp;lang=en_US&amp;offset=0&amp;query=any,contains,991000015989702656","Catalog Record")</f>
        <v>Catalog Record</v>
      </c>
      <c r="AV1278" s="9" t="str">
        <f aca="false">HYPERLINK("http://www.worldcat.org/oclc/8552968","WorldCat Record")</f>
        <v>WorldCat Record</v>
      </c>
      <c r="AW1278" s="6" t="s">
        <v>9549</v>
      </c>
      <c r="AX1278" s="6" t="s">
        <v>9550</v>
      </c>
      <c r="AY1278" s="6" t="s">
        <v>9551</v>
      </c>
      <c r="AZ1278" s="6" t="s">
        <v>9551</v>
      </c>
      <c r="BA1278" s="6" t="s">
        <v>9552</v>
      </c>
      <c r="BB1278" s="6" t="s">
        <v>9553</v>
      </c>
      <c r="BC1278" s="6" t="s">
        <v>9554</v>
      </c>
      <c r="BE1278" s="15" t="s">
        <v>2145</v>
      </c>
      <c r="BF1278" s="6" t="s">
        <v>9555</v>
      </c>
    </row>
    <row r="1279" customFormat="false" ht="255" hidden="false" customHeight="false" outlineLevel="0" collapsed="false">
      <c r="A1279" s="26" t="s">
        <v>63</v>
      </c>
      <c r="B1279" s="27" t="s">
        <v>2129</v>
      </c>
      <c r="C1279" s="27" t="s">
        <v>2130</v>
      </c>
      <c r="D1279" s="27" t="s">
        <v>9556</v>
      </c>
      <c r="E1279" s="27" t="s">
        <v>9557</v>
      </c>
      <c r="F1279" s="27" t="s">
        <v>9558</v>
      </c>
      <c r="G1279" s="28"/>
      <c r="H1279" s="6" t="s">
        <v>63</v>
      </c>
      <c r="I1279" s="6" t="s">
        <v>62</v>
      </c>
      <c r="J1279" s="6" t="s">
        <v>63</v>
      </c>
      <c r="K1279" s="6" t="s">
        <v>63</v>
      </c>
      <c r="L1279" s="6" t="s">
        <v>64</v>
      </c>
      <c r="M1279" s="27" t="s">
        <v>9559</v>
      </c>
      <c r="N1279" s="27" t="s">
        <v>9560</v>
      </c>
      <c r="O1279" s="6" t="s">
        <v>2623</v>
      </c>
      <c r="P1279" s="28"/>
      <c r="Q1279" s="6" t="s">
        <v>67</v>
      </c>
      <c r="R1279" s="6" t="s">
        <v>2288</v>
      </c>
      <c r="S1279" s="28"/>
      <c r="T1279" s="6" t="s">
        <v>6138</v>
      </c>
      <c r="U1279" s="7" t="n">
        <v>1</v>
      </c>
      <c r="V1279" s="7" t="n">
        <v>1</v>
      </c>
      <c r="W1279" s="8" t="s">
        <v>9561</v>
      </c>
      <c r="X1279" s="8" t="s">
        <v>9561</v>
      </c>
      <c r="Y1279" s="8" t="s">
        <v>7928</v>
      </c>
      <c r="Z1279" s="8" t="s">
        <v>7928</v>
      </c>
      <c r="AA1279" s="7" t="n">
        <v>129</v>
      </c>
      <c r="AB1279" s="7" t="n">
        <v>112</v>
      </c>
      <c r="AC1279" s="7" t="n">
        <v>113</v>
      </c>
      <c r="AD1279" s="7" t="n">
        <v>4</v>
      </c>
      <c r="AE1279" s="7" t="n">
        <v>4</v>
      </c>
      <c r="AF1279" s="7" t="n">
        <v>13</v>
      </c>
      <c r="AG1279" s="7" t="n">
        <v>13</v>
      </c>
      <c r="AH1279" s="7" t="n">
        <v>1</v>
      </c>
      <c r="AI1279" s="7" t="n">
        <v>1</v>
      </c>
      <c r="AJ1279" s="7" t="n">
        <v>5</v>
      </c>
      <c r="AK1279" s="7" t="n">
        <v>5</v>
      </c>
      <c r="AL1279" s="7" t="n">
        <v>8</v>
      </c>
      <c r="AM1279" s="7" t="n">
        <v>8</v>
      </c>
      <c r="AN1279" s="7" t="n">
        <v>2</v>
      </c>
      <c r="AO1279" s="7" t="n">
        <v>2</v>
      </c>
      <c r="AP1279" s="7" t="n">
        <v>0</v>
      </c>
      <c r="AQ1279" s="7" t="n">
        <v>0</v>
      </c>
      <c r="AR1279" s="6" t="s">
        <v>63</v>
      </c>
      <c r="AS1279" s="6" t="s">
        <v>57</v>
      </c>
      <c r="AT1279" s="9" t="str">
        <f aca="false">HYPERLINK("http://catalog.hathitrust.org/Record/006009978","HathiTrust Record")</f>
        <v>HathiTrust Record</v>
      </c>
      <c r="AU1279" s="9" t="str">
        <f aca="false">HYPERLINK("https://creighton-primo.hosted.exlibrisgroup.com/primo-explore/search?tab=default_tab&amp;search_scope=EVERYTHING&amp;vid=01CRU&amp;lang=en_US&amp;offset=0&amp;query=any,contains,991004929209702656","Catalog Record")</f>
        <v>Catalog Record</v>
      </c>
      <c r="AV1279" s="9" t="str">
        <f aca="false">HYPERLINK("http://www.worldcat.org/oclc/6091975","WorldCat Record")</f>
        <v>WorldCat Record</v>
      </c>
      <c r="AW1279" s="6" t="s">
        <v>9562</v>
      </c>
      <c r="AX1279" s="6" t="s">
        <v>9563</v>
      </c>
      <c r="AY1279" s="6" t="s">
        <v>9564</v>
      </c>
      <c r="AZ1279" s="6" t="s">
        <v>9564</v>
      </c>
      <c r="BA1279" s="6" t="s">
        <v>9565</v>
      </c>
      <c r="BB1279" s="6" t="s">
        <v>9566</v>
      </c>
      <c r="BC1279" s="6" t="s">
        <v>9567</v>
      </c>
      <c r="BE1279" s="15" t="s">
        <v>2145</v>
      </c>
      <c r="BF1279" s="6" t="s">
        <v>9568</v>
      </c>
    </row>
    <row r="1280" customFormat="false" ht="209" hidden="false" customHeight="false" outlineLevel="0" collapsed="false">
      <c r="A1280" s="26" t="s">
        <v>63</v>
      </c>
      <c r="B1280" s="27" t="s">
        <v>2129</v>
      </c>
      <c r="C1280" s="27" t="s">
        <v>2130</v>
      </c>
      <c r="D1280" s="27" t="s">
        <v>9569</v>
      </c>
      <c r="E1280" s="27" t="s">
        <v>9570</v>
      </c>
      <c r="F1280" s="27" t="s">
        <v>9571</v>
      </c>
      <c r="G1280" s="28"/>
      <c r="H1280" s="6" t="s">
        <v>63</v>
      </c>
      <c r="I1280" s="6" t="s">
        <v>62</v>
      </c>
      <c r="J1280" s="6" t="s">
        <v>63</v>
      </c>
      <c r="K1280" s="6" t="s">
        <v>63</v>
      </c>
      <c r="L1280" s="6" t="s">
        <v>64</v>
      </c>
      <c r="M1280" s="27" t="s">
        <v>9572</v>
      </c>
      <c r="N1280" s="27" t="s">
        <v>9573</v>
      </c>
      <c r="O1280" s="6" t="s">
        <v>2343</v>
      </c>
      <c r="P1280" s="28"/>
      <c r="Q1280" s="6" t="s">
        <v>67</v>
      </c>
      <c r="R1280" s="6" t="s">
        <v>2894</v>
      </c>
      <c r="S1280" s="28"/>
      <c r="T1280" s="6" t="s">
        <v>6138</v>
      </c>
      <c r="U1280" s="7" t="n">
        <v>2</v>
      </c>
      <c r="V1280" s="7" t="n">
        <v>2</v>
      </c>
      <c r="W1280" s="8" t="s">
        <v>9574</v>
      </c>
      <c r="X1280" s="8" t="s">
        <v>9574</v>
      </c>
      <c r="Y1280" s="8" t="s">
        <v>7928</v>
      </c>
      <c r="Z1280" s="8" t="s">
        <v>7928</v>
      </c>
      <c r="AA1280" s="7" t="n">
        <v>284</v>
      </c>
      <c r="AB1280" s="7" t="n">
        <v>224</v>
      </c>
      <c r="AC1280" s="7" t="n">
        <v>244</v>
      </c>
      <c r="AD1280" s="7" t="n">
        <v>2</v>
      </c>
      <c r="AE1280" s="7" t="n">
        <v>2</v>
      </c>
      <c r="AF1280" s="7" t="n">
        <v>12</v>
      </c>
      <c r="AG1280" s="7" t="n">
        <v>13</v>
      </c>
      <c r="AH1280" s="7" t="n">
        <v>2</v>
      </c>
      <c r="AI1280" s="7" t="n">
        <v>2</v>
      </c>
      <c r="AJ1280" s="7" t="n">
        <v>3</v>
      </c>
      <c r="AK1280" s="7" t="n">
        <v>4</v>
      </c>
      <c r="AL1280" s="7" t="n">
        <v>9</v>
      </c>
      <c r="AM1280" s="7" t="n">
        <v>9</v>
      </c>
      <c r="AN1280" s="7" t="n">
        <v>1</v>
      </c>
      <c r="AO1280" s="7" t="n">
        <v>1</v>
      </c>
      <c r="AP1280" s="7" t="n">
        <v>0</v>
      </c>
      <c r="AQ1280" s="7" t="n">
        <v>0</v>
      </c>
      <c r="AR1280" s="6" t="s">
        <v>63</v>
      </c>
      <c r="AS1280" s="6" t="s">
        <v>57</v>
      </c>
      <c r="AT1280" s="9" t="str">
        <f aca="false">HYPERLINK("http://catalog.hathitrust.org/Record/000769465","HathiTrust Record")</f>
        <v>HathiTrust Record</v>
      </c>
      <c r="AU1280" s="9" t="str">
        <f aca="false">HYPERLINK("https://creighton-primo.hosted.exlibrisgroup.com/primo-explore/search?tab=default_tab&amp;search_scope=EVERYTHING&amp;vid=01CRU&amp;lang=en_US&amp;offset=0&amp;query=any,contains,991005136389702656","Catalog Record")</f>
        <v>Catalog Record</v>
      </c>
      <c r="AV1280" s="9" t="str">
        <f aca="false">HYPERLINK("http://www.worldcat.org/oclc/7577485","WorldCat Record")</f>
        <v>WorldCat Record</v>
      </c>
      <c r="AW1280" s="6" t="s">
        <v>9575</v>
      </c>
      <c r="AX1280" s="6" t="s">
        <v>9576</v>
      </c>
      <c r="AY1280" s="6" t="s">
        <v>9577</v>
      </c>
      <c r="AZ1280" s="6" t="s">
        <v>9577</v>
      </c>
      <c r="BA1280" s="6" t="s">
        <v>9578</v>
      </c>
      <c r="BB1280" s="6" t="s">
        <v>9579</v>
      </c>
      <c r="BC1280" s="6" t="s">
        <v>9580</v>
      </c>
      <c r="BE1280" s="15" t="s">
        <v>2145</v>
      </c>
      <c r="BF1280" s="6" t="s">
        <v>9581</v>
      </c>
    </row>
    <row r="1281" customFormat="false" ht="71" hidden="false" customHeight="false" outlineLevel="0" collapsed="false">
      <c r="A1281" s="26" t="s">
        <v>63</v>
      </c>
      <c r="B1281" s="27" t="s">
        <v>2129</v>
      </c>
      <c r="C1281" s="27" t="s">
        <v>2130</v>
      </c>
      <c r="D1281" s="27" t="s">
        <v>9582</v>
      </c>
      <c r="E1281" s="27" t="s">
        <v>9583</v>
      </c>
      <c r="F1281" s="27" t="s">
        <v>9584</v>
      </c>
      <c r="G1281" s="28"/>
      <c r="H1281" s="6" t="s">
        <v>63</v>
      </c>
      <c r="I1281" s="6" t="s">
        <v>62</v>
      </c>
      <c r="J1281" s="6" t="s">
        <v>63</v>
      </c>
      <c r="K1281" s="6" t="s">
        <v>63</v>
      </c>
      <c r="L1281" s="6" t="s">
        <v>64</v>
      </c>
      <c r="M1281" s="27" t="s">
        <v>9585</v>
      </c>
      <c r="N1281" s="27" t="s">
        <v>9586</v>
      </c>
      <c r="O1281" s="6" t="s">
        <v>2693</v>
      </c>
      <c r="P1281" s="28"/>
      <c r="Q1281" s="6" t="s">
        <v>67</v>
      </c>
      <c r="R1281" s="6" t="s">
        <v>68</v>
      </c>
      <c r="S1281" s="28"/>
      <c r="T1281" s="6" t="s">
        <v>6138</v>
      </c>
      <c r="U1281" s="7" t="n">
        <v>8</v>
      </c>
      <c r="V1281" s="7" t="n">
        <v>8</v>
      </c>
      <c r="W1281" s="8" t="s">
        <v>5066</v>
      </c>
      <c r="X1281" s="8" t="s">
        <v>5066</v>
      </c>
      <c r="Y1281" s="8" t="s">
        <v>7928</v>
      </c>
      <c r="Z1281" s="8" t="s">
        <v>7928</v>
      </c>
      <c r="AA1281" s="7" t="n">
        <v>357</v>
      </c>
      <c r="AB1281" s="7" t="n">
        <v>315</v>
      </c>
      <c r="AC1281" s="7" t="n">
        <v>782</v>
      </c>
      <c r="AD1281" s="7" t="n">
        <v>4</v>
      </c>
      <c r="AE1281" s="7" t="n">
        <v>8</v>
      </c>
      <c r="AF1281" s="7" t="n">
        <v>17</v>
      </c>
      <c r="AG1281" s="7" t="n">
        <v>43</v>
      </c>
      <c r="AH1281" s="7" t="n">
        <v>7</v>
      </c>
      <c r="AI1281" s="7" t="n">
        <v>15</v>
      </c>
      <c r="AJ1281" s="7" t="n">
        <v>6</v>
      </c>
      <c r="AK1281" s="7" t="n">
        <v>10</v>
      </c>
      <c r="AL1281" s="7" t="n">
        <v>6</v>
      </c>
      <c r="AM1281" s="7" t="n">
        <v>22</v>
      </c>
      <c r="AN1281" s="7" t="n">
        <v>3</v>
      </c>
      <c r="AO1281" s="7" t="n">
        <v>7</v>
      </c>
      <c r="AP1281" s="7" t="n">
        <v>0</v>
      </c>
      <c r="AQ1281" s="7" t="n">
        <v>0</v>
      </c>
      <c r="AR1281" s="6" t="s">
        <v>63</v>
      </c>
      <c r="AS1281" s="6" t="s">
        <v>57</v>
      </c>
      <c r="AT1281" s="9" t="str">
        <f aca="false">HYPERLINK("http://catalog.hathitrust.org/Record/004462166","HathiTrust Record")</f>
        <v>HathiTrust Record</v>
      </c>
      <c r="AU1281" s="9" t="str">
        <f aca="false">HYPERLINK("https://creighton-primo.hosted.exlibrisgroup.com/primo-explore/search?tab=default_tab&amp;search_scope=EVERYTHING&amp;vid=01CRU&amp;lang=en_US&amp;offset=0&amp;query=any,contains,991002768019702656","Catalog Record")</f>
        <v>Catalog Record</v>
      </c>
      <c r="AV1281" s="9" t="str">
        <f aca="false">HYPERLINK("http://www.worldcat.org/oclc/435733","WorldCat Record")</f>
        <v>WorldCat Record</v>
      </c>
      <c r="AW1281" s="6" t="s">
        <v>9587</v>
      </c>
      <c r="AX1281" s="6" t="s">
        <v>9588</v>
      </c>
      <c r="AY1281" s="6" t="s">
        <v>9589</v>
      </c>
      <c r="AZ1281" s="6" t="s">
        <v>9589</v>
      </c>
      <c r="BA1281" s="6" t="s">
        <v>9590</v>
      </c>
      <c r="BB1281" s="28"/>
      <c r="BC1281" s="6" t="s">
        <v>9591</v>
      </c>
      <c r="BE1281" s="15" t="s">
        <v>2145</v>
      </c>
      <c r="BF1281" s="6" t="s">
        <v>9592</v>
      </c>
    </row>
    <row r="1282" customFormat="false" ht="59.5" hidden="false" customHeight="false" outlineLevel="0" collapsed="false">
      <c r="A1282" s="26" t="s">
        <v>63</v>
      </c>
      <c r="B1282" s="27" t="s">
        <v>2129</v>
      </c>
      <c r="C1282" s="27" t="s">
        <v>2130</v>
      </c>
      <c r="D1282" s="27" t="s">
        <v>9593</v>
      </c>
      <c r="E1282" s="27" t="s">
        <v>9594</v>
      </c>
      <c r="F1282" s="27" t="s">
        <v>9595</v>
      </c>
      <c r="G1282" s="28"/>
      <c r="H1282" s="6" t="s">
        <v>63</v>
      </c>
      <c r="I1282" s="6" t="s">
        <v>62</v>
      </c>
      <c r="J1282" s="6" t="s">
        <v>63</v>
      </c>
      <c r="K1282" s="6" t="s">
        <v>63</v>
      </c>
      <c r="L1282" s="6" t="s">
        <v>64</v>
      </c>
      <c r="M1282" s="27" t="s">
        <v>9596</v>
      </c>
      <c r="N1282" s="27" t="s">
        <v>9597</v>
      </c>
      <c r="O1282" s="6" t="s">
        <v>122</v>
      </c>
      <c r="P1282" s="28"/>
      <c r="Q1282" s="6" t="s">
        <v>67</v>
      </c>
      <c r="R1282" s="6" t="s">
        <v>68</v>
      </c>
      <c r="S1282" s="28"/>
      <c r="T1282" s="6" t="s">
        <v>6138</v>
      </c>
      <c r="U1282" s="7" t="n">
        <v>8</v>
      </c>
      <c r="V1282" s="7" t="n">
        <v>8</v>
      </c>
      <c r="W1282" s="8" t="s">
        <v>4918</v>
      </c>
      <c r="X1282" s="8" t="s">
        <v>4918</v>
      </c>
      <c r="Y1282" s="8" t="s">
        <v>7928</v>
      </c>
      <c r="Z1282" s="8" t="s">
        <v>7928</v>
      </c>
      <c r="AA1282" s="7" t="n">
        <v>383</v>
      </c>
      <c r="AB1282" s="7" t="n">
        <v>360</v>
      </c>
      <c r="AC1282" s="7" t="n">
        <v>474</v>
      </c>
      <c r="AD1282" s="7" t="n">
        <v>3</v>
      </c>
      <c r="AE1282" s="7" t="n">
        <v>3</v>
      </c>
      <c r="AF1282" s="7" t="n">
        <v>15</v>
      </c>
      <c r="AG1282" s="7" t="n">
        <v>22</v>
      </c>
      <c r="AH1282" s="7" t="n">
        <v>4</v>
      </c>
      <c r="AI1282" s="7" t="n">
        <v>7</v>
      </c>
      <c r="AJ1282" s="7" t="n">
        <v>5</v>
      </c>
      <c r="AK1282" s="7" t="n">
        <v>6</v>
      </c>
      <c r="AL1282" s="7" t="n">
        <v>9</v>
      </c>
      <c r="AM1282" s="7" t="n">
        <v>14</v>
      </c>
      <c r="AN1282" s="7" t="n">
        <v>2</v>
      </c>
      <c r="AO1282" s="7" t="n">
        <v>2</v>
      </c>
      <c r="AP1282" s="7" t="n">
        <v>0</v>
      </c>
      <c r="AQ1282" s="7" t="n">
        <v>0</v>
      </c>
      <c r="AR1282" s="6" t="s">
        <v>63</v>
      </c>
      <c r="AS1282" s="6" t="s">
        <v>63</v>
      </c>
      <c r="AT1282" s="28"/>
      <c r="AU1282" s="9" t="str">
        <f aca="false">HYPERLINK("https://creighton-primo.hosted.exlibrisgroup.com/primo-explore/search?tab=default_tab&amp;search_scope=EVERYTHING&amp;vid=01CRU&amp;lang=en_US&amp;offset=0&amp;query=any,contains,991002687459702656","Catalog Record")</f>
        <v>Catalog Record</v>
      </c>
      <c r="AV1282" s="9" t="str">
        <f aca="false">HYPERLINK("http://www.worldcat.org/oclc/400400","WorldCat Record")</f>
        <v>WorldCat Record</v>
      </c>
      <c r="AW1282" s="6" t="s">
        <v>9598</v>
      </c>
      <c r="AX1282" s="6" t="s">
        <v>9599</v>
      </c>
      <c r="AY1282" s="6" t="s">
        <v>9600</v>
      </c>
      <c r="AZ1282" s="6" t="s">
        <v>9600</v>
      </c>
      <c r="BA1282" s="6" t="s">
        <v>9601</v>
      </c>
      <c r="BB1282" s="28"/>
      <c r="BC1282" s="6" t="s">
        <v>9602</v>
      </c>
      <c r="BE1282" s="15" t="s">
        <v>2145</v>
      </c>
      <c r="BF1282" s="6" t="s">
        <v>9603</v>
      </c>
    </row>
    <row r="1283" customFormat="false" ht="71" hidden="false" customHeight="false" outlineLevel="0" collapsed="false">
      <c r="A1283" s="26" t="s">
        <v>63</v>
      </c>
      <c r="B1283" s="27" t="s">
        <v>2129</v>
      </c>
      <c r="C1283" s="27" t="s">
        <v>2130</v>
      </c>
      <c r="D1283" s="27" t="s">
        <v>9604</v>
      </c>
      <c r="E1283" s="27" t="s">
        <v>9605</v>
      </c>
      <c r="F1283" s="27" t="s">
        <v>9606</v>
      </c>
      <c r="G1283" s="28"/>
      <c r="H1283" s="6" t="s">
        <v>63</v>
      </c>
      <c r="I1283" s="6" t="s">
        <v>62</v>
      </c>
      <c r="J1283" s="6" t="s">
        <v>63</v>
      </c>
      <c r="K1283" s="6" t="s">
        <v>63</v>
      </c>
      <c r="L1283" s="6" t="s">
        <v>64</v>
      </c>
      <c r="M1283" s="27" t="s">
        <v>9607</v>
      </c>
      <c r="N1283" s="27" t="s">
        <v>9608</v>
      </c>
      <c r="O1283" s="6" t="s">
        <v>3919</v>
      </c>
      <c r="P1283" s="28"/>
      <c r="Q1283" s="6" t="s">
        <v>67</v>
      </c>
      <c r="R1283" s="6" t="s">
        <v>68</v>
      </c>
      <c r="S1283" s="28"/>
      <c r="T1283" s="6" t="s">
        <v>6138</v>
      </c>
      <c r="U1283" s="7" t="n">
        <v>5</v>
      </c>
      <c r="V1283" s="7" t="n">
        <v>5</v>
      </c>
      <c r="W1283" s="8" t="s">
        <v>9254</v>
      </c>
      <c r="X1283" s="8" t="s">
        <v>9254</v>
      </c>
      <c r="Y1283" s="8" t="s">
        <v>7928</v>
      </c>
      <c r="Z1283" s="8" t="s">
        <v>7928</v>
      </c>
      <c r="AA1283" s="7" t="n">
        <v>572</v>
      </c>
      <c r="AB1283" s="7" t="n">
        <v>545</v>
      </c>
      <c r="AC1283" s="7" t="n">
        <v>854</v>
      </c>
      <c r="AD1283" s="7" t="n">
        <v>6</v>
      </c>
      <c r="AE1283" s="7" t="n">
        <v>6</v>
      </c>
      <c r="AF1283" s="7" t="n">
        <v>28</v>
      </c>
      <c r="AG1283" s="7" t="n">
        <v>39</v>
      </c>
      <c r="AH1283" s="7" t="n">
        <v>10</v>
      </c>
      <c r="AI1283" s="7" t="n">
        <v>14</v>
      </c>
      <c r="AJ1283" s="7" t="n">
        <v>6</v>
      </c>
      <c r="AK1283" s="7" t="n">
        <v>9</v>
      </c>
      <c r="AL1283" s="7" t="n">
        <v>15</v>
      </c>
      <c r="AM1283" s="7" t="n">
        <v>22</v>
      </c>
      <c r="AN1283" s="7" t="n">
        <v>4</v>
      </c>
      <c r="AO1283" s="7" t="n">
        <v>4</v>
      </c>
      <c r="AP1283" s="7" t="n">
        <v>0</v>
      </c>
      <c r="AQ1283" s="7" t="n">
        <v>0</v>
      </c>
      <c r="AR1283" s="6" t="s">
        <v>63</v>
      </c>
      <c r="AS1283" s="6" t="s">
        <v>57</v>
      </c>
      <c r="AT1283" s="9" t="str">
        <f aca="false">HYPERLINK("http://catalog.hathitrust.org/Record/006009974","HathiTrust Record")</f>
        <v>HathiTrust Record</v>
      </c>
      <c r="AU1283" s="9" t="str">
        <f aca="false">HYPERLINK("https://creighton-primo.hosted.exlibrisgroup.com/primo-explore/search?tab=default_tab&amp;search_scope=EVERYTHING&amp;vid=01CRU&amp;lang=en_US&amp;offset=0&amp;query=any,contains,991003032249702656","Catalog Record")</f>
        <v>Catalog Record</v>
      </c>
      <c r="AV1283" s="9" t="str">
        <f aca="false">HYPERLINK("http://www.worldcat.org/oclc/595164","WorldCat Record")</f>
        <v>WorldCat Record</v>
      </c>
      <c r="AW1283" s="6" t="s">
        <v>9609</v>
      </c>
      <c r="AX1283" s="6" t="s">
        <v>9610</v>
      </c>
      <c r="AY1283" s="6" t="s">
        <v>9611</v>
      </c>
      <c r="AZ1283" s="6" t="s">
        <v>9611</v>
      </c>
      <c r="BA1283" s="6" t="s">
        <v>9612</v>
      </c>
      <c r="BB1283" s="28"/>
      <c r="BC1283" s="6" t="s">
        <v>9613</v>
      </c>
      <c r="BE1283" s="15" t="s">
        <v>2145</v>
      </c>
      <c r="BF1283" s="6" t="s">
        <v>9614</v>
      </c>
    </row>
    <row r="1284" customFormat="false" ht="82.5" hidden="false" customHeight="false" outlineLevel="0" collapsed="false">
      <c r="A1284" s="26" t="s">
        <v>57</v>
      </c>
      <c r="B1284" s="27" t="s">
        <v>2129</v>
      </c>
      <c r="C1284" s="27" t="s">
        <v>2130</v>
      </c>
      <c r="D1284" s="27" t="s">
        <v>9615</v>
      </c>
      <c r="E1284" s="27" t="s">
        <v>9616</v>
      </c>
      <c r="F1284" s="27" t="s">
        <v>9617</v>
      </c>
      <c r="G1284" s="28"/>
      <c r="H1284" s="6" t="s">
        <v>63</v>
      </c>
      <c r="I1284" s="6" t="s">
        <v>62</v>
      </c>
      <c r="J1284" s="6" t="s">
        <v>63</v>
      </c>
      <c r="K1284" s="6" t="s">
        <v>63</v>
      </c>
      <c r="L1284" s="6" t="s">
        <v>64</v>
      </c>
      <c r="M1284" s="27" t="s">
        <v>9618</v>
      </c>
      <c r="N1284" s="27" t="s">
        <v>6364</v>
      </c>
      <c r="O1284" s="6" t="s">
        <v>2343</v>
      </c>
      <c r="P1284" s="28"/>
      <c r="Q1284" s="6" t="s">
        <v>67</v>
      </c>
      <c r="R1284" s="6" t="s">
        <v>222</v>
      </c>
      <c r="S1284" s="28"/>
      <c r="T1284" s="6" t="s">
        <v>6138</v>
      </c>
      <c r="U1284" s="7" t="n">
        <v>3</v>
      </c>
      <c r="V1284" s="7" t="n">
        <v>3</v>
      </c>
      <c r="W1284" s="8" t="s">
        <v>9619</v>
      </c>
      <c r="X1284" s="8" t="s">
        <v>9619</v>
      </c>
      <c r="Y1284" s="8" t="s">
        <v>9498</v>
      </c>
      <c r="Z1284" s="8" t="s">
        <v>9498</v>
      </c>
      <c r="AA1284" s="7" t="n">
        <v>657</v>
      </c>
      <c r="AB1284" s="7" t="n">
        <v>536</v>
      </c>
      <c r="AC1284" s="7" t="n">
        <v>547</v>
      </c>
      <c r="AD1284" s="7" t="n">
        <v>6</v>
      </c>
      <c r="AE1284" s="7" t="n">
        <v>6</v>
      </c>
      <c r="AF1284" s="7" t="n">
        <v>32</v>
      </c>
      <c r="AG1284" s="7" t="n">
        <v>32</v>
      </c>
      <c r="AH1284" s="7" t="n">
        <v>14</v>
      </c>
      <c r="AI1284" s="7" t="n">
        <v>14</v>
      </c>
      <c r="AJ1284" s="7" t="n">
        <v>8</v>
      </c>
      <c r="AK1284" s="7" t="n">
        <v>8</v>
      </c>
      <c r="AL1284" s="7" t="n">
        <v>17</v>
      </c>
      <c r="AM1284" s="7" t="n">
        <v>17</v>
      </c>
      <c r="AN1284" s="7" t="n">
        <v>4</v>
      </c>
      <c r="AO1284" s="7" t="n">
        <v>4</v>
      </c>
      <c r="AP1284" s="7" t="n">
        <v>0</v>
      </c>
      <c r="AQ1284" s="7" t="n">
        <v>0</v>
      </c>
      <c r="AR1284" s="6" t="s">
        <v>63</v>
      </c>
      <c r="AS1284" s="6" t="s">
        <v>57</v>
      </c>
      <c r="AT1284" s="9" t="str">
        <f aca="false">HYPERLINK("http://catalog.hathitrust.org/Record/000224848","HathiTrust Record")</f>
        <v>HathiTrust Record</v>
      </c>
      <c r="AU1284" s="9" t="str">
        <f aca="false">HYPERLINK("https://creighton-primo.hosted.exlibrisgroup.com/primo-explore/search?tab=default_tab&amp;search_scope=EVERYTHING&amp;vid=01CRU&amp;lang=en_US&amp;offset=0&amp;query=any,contains,991005133519702656","Catalog Record")</f>
        <v>Catalog Record</v>
      </c>
      <c r="AV1284" s="9" t="str">
        <f aca="false">HYPERLINK("http://www.worldcat.org/oclc/7574490","WorldCat Record")</f>
        <v>WorldCat Record</v>
      </c>
      <c r="AW1284" s="6" t="s">
        <v>9620</v>
      </c>
      <c r="AX1284" s="6" t="s">
        <v>9621</v>
      </c>
      <c r="AY1284" s="6" t="s">
        <v>9622</v>
      </c>
      <c r="AZ1284" s="6" t="s">
        <v>9622</v>
      </c>
      <c r="BA1284" s="6" t="s">
        <v>9623</v>
      </c>
      <c r="BB1284" s="6" t="s">
        <v>9624</v>
      </c>
      <c r="BC1284" s="6" t="s">
        <v>9625</v>
      </c>
      <c r="BE1284" s="15" t="s">
        <v>2145</v>
      </c>
      <c r="BF1284" s="6" t="s">
        <v>9626</v>
      </c>
    </row>
    <row r="1285" customFormat="false" ht="128.5" hidden="false" customHeight="false" outlineLevel="0" collapsed="false">
      <c r="A1285" s="26" t="s">
        <v>63</v>
      </c>
      <c r="B1285" s="27" t="s">
        <v>2129</v>
      </c>
      <c r="C1285" s="27" t="s">
        <v>2130</v>
      </c>
      <c r="D1285" s="27" t="s">
        <v>9627</v>
      </c>
      <c r="E1285" s="27" t="s">
        <v>9628</v>
      </c>
      <c r="F1285" s="27" t="s">
        <v>9629</v>
      </c>
      <c r="G1285" s="28"/>
      <c r="H1285" s="6" t="s">
        <v>63</v>
      </c>
      <c r="I1285" s="6" t="s">
        <v>62</v>
      </c>
      <c r="J1285" s="6" t="s">
        <v>63</v>
      </c>
      <c r="K1285" s="6" t="s">
        <v>63</v>
      </c>
      <c r="L1285" s="6" t="s">
        <v>64</v>
      </c>
      <c r="M1285" s="27" t="s">
        <v>9630</v>
      </c>
      <c r="N1285" s="27" t="s">
        <v>9631</v>
      </c>
      <c r="O1285" s="6" t="s">
        <v>2426</v>
      </c>
      <c r="P1285" s="28"/>
      <c r="Q1285" s="6" t="s">
        <v>67</v>
      </c>
      <c r="R1285" s="6" t="s">
        <v>9632</v>
      </c>
      <c r="S1285" s="27" t="s">
        <v>9633</v>
      </c>
      <c r="T1285" s="6" t="s">
        <v>6138</v>
      </c>
      <c r="U1285" s="7" t="n">
        <v>3</v>
      </c>
      <c r="V1285" s="7" t="n">
        <v>3</v>
      </c>
      <c r="W1285" s="8" t="s">
        <v>9634</v>
      </c>
      <c r="X1285" s="8" t="s">
        <v>9634</v>
      </c>
      <c r="Y1285" s="8" t="s">
        <v>7928</v>
      </c>
      <c r="Z1285" s="8" t="s">
        <v>7928</v>
      </c>
      <c r="AA1285" s="7" t="n">
        <v>284</v>
      </c>
      <c r="AB1285" s="7" t="n">
        <v>178</v>
      </c>
      <c r="AC1285" s="7" t="n">
        <v>181</v>
      </c>
      <c r="AD1285" s="7" t="n">
        <v>2</v>
      </c>
      <c r="AE1285" s="7" t="n">
        <v>2</v>
      </c>
      <c r="AF1285" s="7" t="n">
        <v>10</v>
      </c>
      <c r="AG1285" s="7" t="n">
        <v>10</v>
      </c>
      <c r="AH1285" s="7" t="n">
        <v>3</v>
      </c>
      <c r="AI1285" s="7" t="n">
        <v>3</v>
      </c>
      <c r="AJ1285" s="7" t="n">
        <v>4</v>
      </c>
      <c r="AK1285" s="7" t="n">
        <v>4</v>
      </c>
      <c r="AL1285" s="7" t="n">
        <v>5</v>
      </c>
      <c r="AM1285" s="7" t="n">
        <v>5</v>
      </c>
      <c r="AN1285" s="7" t="n">
        <v>1</v>
      </c>
      <c r="AO1285" s="7" t="n">
        <v>1</v>
      </c>
      <c r="AP1285" s="7" t="n">
        <v>0</v>
      </c>
      <c r="AQ1285" s="7" t="n">
        <v>0</v>
      </c>
      <c r="AR1285" s="6" t="s">
        <v>63</v>
      </c>
      <c r="AS1285" s="6" t="s">
        <v>57</v>
      </c>
      <c r="AT1285" s="9" t="str">
        <f aca="false">HYPERLINK("http://catalog.hathitrust.org/Record/001384506","HathiTrust Record")</f>
        <v>HathiTrust Record</v>
      </c>
      <c r="AU1285" s="9" t="str">
        <f aca="false">HYPERLINK("https://creighton-primo.hosted.exlibrisgroup.com/primo-explore/search?tab=default_tab&amp;search_scope=EVERYTHING&amp;vid=01CRU&amp;lang=en_US&amp;offset=0&amp;query=any,contains,991004343009702656","Catalog Record")</f>
        <v>Catalog Record</v>
      </c>
      <c r="AV1285" s="9" t="str">
        <f aca="false">HYPERLINK("http://www.worldcat.org/oclc/3090584","WorldCat Record")</f>
        <v>WorldCat Record</v>
      </c>
      <c r="AW1285" s="6" t="s">
        <v>9635</v>
      </c>
      <c r="AX1285" s="6" t="s">
        <v>9636</v>
      </c>
      <c r="AY1285" s="6" t="s">
        <v>9637</v>
      </c>
      <c r="AZ1285" s="6" t="s">
        <v>9637</v>
      </c>
      <c r="BA1285" s="6" t="s">
        <v>9638</v>
      </c>
      <c r="BB1285" s="28"/>
      <c r="BC1285" s="6" t="s">
        <v>9639</v>
      </c>
      <c r="BE1285" s="15" t="s">
        <v>2145</v>
      </c>
      <c r="BF1285" s="6" t="s">
        <v>9640</v>
      </c>
    </row>
    <row r="1286" customFormat="false" ht="48" hidden="false" customHeight="false" outlineLevel="0" collapsed="false">
      <c r="A1286" s="26" t="s">
        <v>63</v>
      </c>
      <c r="B1286" s="27" t="s">
        <v>2129</v>
      </c>
      <c r="C1286" s="27" t="s">
        <v>2130</v>
      </c>
      <c r="D1286" s="27" t="s">
        <v>9641</v>
      </c>
      <c r="E1286" s="27" t="s">
        <v>9642</v>
      </c>
      <c r="F1286" s="27" t="s">
        <v>9643</v>
      </c>
      <c r="G1286" s="28"/>
      <c r="H1286" s="6" t="s">
        <v>63</v>
      </c>
      <c r="I1286" s="6" t="s">
        <v>62</v>
      </c>
      <c r="J1286" s="6" t="s">
        <v>63</v>
      </c>
      <c r="K1286" s="6" t="s">
        <v>63</v>
      </c>
      <c r="L1286" s="6" t="s">
        <v>64</v>
      </c>
      <c r="M1286" s="27" t="s">
        <v>9630</v>
      </c>
      <c r="N1286" s="27" t="s">
        <v>9644</v>
      </c>
      <c r="O1286" s="6" t="s">
        <v>3029</v>
      </c>
      <c r="P1286" s="28"/>
      <c r="Q1286" s="6" t="s">
        <v>67</v>
      </c>
      <c r="R1286" s="6" t="s">
        <v>123</v>
      </c>
      <c r="S1286" s="28"/>
      <c r="T1286" s="6" t="s">
        <v>6138</v>
      </c>
      <c r="U1286" s="7" t="n">
        <v>0</v>
      </c>
      <c r="V1286" s="7" t="n">
        <v>0</v>
      </c>
      <c r="W1286" s="8" t="s">
        <v>9645</v>
      </c>
      <c r="X1286" s="8" t="s">
        <v>9645</v>
      </c>
      <c r="Y1286" s="8" t="s">
        <v>7928</v>
      </c>
      <c r="Z1286" s="8" t="s">
        <v>7928</v>
      </c>
      <c r="AA1286" s="7" t="n">
        <v>512</v>
      </c>
      <c r="AB1286" s="7" t="n">
        <v>371</v>
      </c>
      <c r="AC1286" s="7" t="n">
        <v>374</v>
      </c>
      <c r="AD1286" s="7" t="n">
        <v>3</v>
      </c>
      <c r="AE1286" s="7" t="n">
        <v>3</v>
      </c>
      <c r="AF1286" s="7" t="n">
        <v>23</v>
      </c>
      <c r="AG1286" s="7" t="n">
        <v>23</v>
      </c>
      <c r="AH1286" s="7" t="n">
        <v>7</v>
      </c>
      <c r="AI1286" s="7" t="n">
        <v>7</v>
      </c>
      <c r="AJ1286" s="7" t="n">
        <v>6</v>
      </c>
      <c r="AK1286" s="7" t="n">
        <v>6</v>
      </c>
      <c r="AL1286" s="7" t="n">
        <v>15</v>
      </c>
      <c r="AM1286" s="7" t="n">
        <v>15</v>
      </c>
      <c r="AN1286" s="7" t="n">
        <v>2</v>
      </c>
      <c r="AO1286" s="7" t="n">
        <v>2</v>
      </c>
      <c r="AP1286" s="7" t="n">
        <v>0</v>
      </c>
      <c r="AQ1286" s="7" t="n">
        <v>0</v>
      </c>
      <c r="AR1286" s="6" t="s">
        <v>63</v>
      </c>
      <c r="AS1286" s="6" t="s">
        <v>57</v>
      </c>
      <c r="AT1286" s="9" t="str">
        <f aca="false">HYPERLINK("http://catalog.hathitrust.org/Record/001396041","HathiTrust Record")</f>
        <v>HathiTrust Record</v>
      </c>
      <c r="AU1286" s="9" t="str">
        <f aca="false">HYPERLINK("https://creighton-primo.hosted.exlibrisgroup.com/primo-explore/search?tab=default_tab&amp;search_scope=EVERYTHING&amp;vid=01CRU&amp;lang=en_US&amp;offset=0&amp;query=any,contains,991003602349702656","Catalog Record")</f>
        <v>Catalog Record</v>
      </c>
      <c r="AV1286" s="9" t="str">
        <f aca="false">HYPERLINK("http://www.worldcat.org/oclc/1180717","WorldCat Record")</f>
        <v>WorldCat Record</v>
      </c>
      <c r="AW1286" s="6" t="s">
        <v>9646</v>
      </c>
      <c r="AX1286" s="6" t="s">
        <v>9647</v>
      </c>
      <c r="AY1286" s="6" t="s">
        <v>9648</v>
      </c>
      <c r="AZ1286" s="6" t="s">
        <v>9648</v>
      </c>
      <c r="BA1286" s="6" t="s">
        <v>9649</v>
      </c>
      <c r="BB1286" s="28"/>
      <c r="BC1286" s="6" t="s">
        <v>9650</v>
      </c>
      <c r="BE1286" s="15" t="s">
        <v>2145</v>
      </c>
      <c r="BF1286" s="6" t="s">
        <v>9651</v>
      </c>
    </row>
    <row r="1287" customFormat="false" ht="243.5" hidden="false" customHeight="false" outlineLevel="0" collapsed="false">
      <c r="A1287" s="26" t="s">
        <v>63</v>
      </c>
      <c r="B1287" s="27" t="s">
        <v>2129</v>
      </c>
      <c r="C1287" s="27" t="s">
        <v>2130</v>
      </c>
      <c r="D1287" s="27" t="s">
        <v>9652</v>
      </c>
      <c r="E1287" s="27" t="s">
        <v>9653</v>
      </c>
      <c r="F1287" s="27" t="s">
        <v>9654</v>
      </c>
      <c r="G1287" s="28"/>
      <c r="H1287" s="6" t="s">
        <v>63</v>
      </c>
      <c r="I1287" s="6" t="s">
        <v>62</v>
      </c>
      <c r="J1287" s="6" t="s">
        <v>63</v>
      </c>
      <c r="K1287" s="6" t="s">
        <v>63</v>
      </c>
      <c r="L1287" s="6" t="s">
        <v>64</v>
      </c>
      <c r="M1287" s="27" t="s">
        <v>9655</v>
      </c>
      <c r="N1287" s="27" t="s">
        <v>9656</v>
      </c>
      <c r="O1287" s="6" t="s">
        <v>2467</v>
      </c>
      <c r="P1287" s="28"/>
      <c r="Q1287" s="6" t="s">
        <v>67</v>
      </c>
      <c r="R1287" s="6" t="s">
        <v>318</v>
      </c>
      <c r="S1287" s="28"/>
      <c r="T1287" s="6" t="s">
        <v>6138</v>
      </c>
      <c r="U1287" s="7" t="n">
        <v>1</v>
      </c>
      <c r="V1287" s="7" t="n">
        <v>1</v>
      </c>
      <c r="W1287" s="8" t="s">
        <v>5973</v>
      </c>
      <c r="X1287" s="8" t="s">
        <v>5973</v>
      </c>
      <c r="Y1287" s="8" t="s">
        <v>9657</v>
      </c>
      <c r="Z1287" s="8" t="s">
        <v>9657</v>
      </c>
      <c r="AA1287" s="7" t="n">
        <v>643</v>
      </c>
      <c r="AB1287" s="7" t="n">
        <v>543</v>
      </c>
      <c r="AC1287" s="7" t="n">
        <v>583</v>
      </c>
      <c r="AD1287" s="7" t="n">
        <v>4</v>
      </c>
      <c r="AE1287" s="7" t="n">
        <v>4</v>
      </c>
      <c r="AF1287" s="7" t="n">
        <v>27</v>
      </c>
      <c r="AG1287" s="7" t="n">
        <v>28</v>
      </c>
      <c r="AH1287" s="7" t="n">
        <v>8</v>
      </c>
      <c r="AI1287" s="7" t="n">
        <v>9</v>
      </c>
      <c r="AJ1287" s="7" t="n">
        <v>8</v>
      </c>
      <c r="AK1287" s="7" t="n">
        <v>8</v>
      </c>
      <c r="AL1287" s="7" t="n">
        <v>16</v>
      </c>
      <c r="AM1287" s="7" t="n">
        <v>16</v>
      </c>
      <c r="AN1287" s="7" t="n">
        <v>3</v>
      </c>
      <c r="AO1287" s="7" t="n">
        <v>3</v>
      </c>
      <c r="AP1287" s="7" t="n">
        <v>0</v>
      </c>
      <c r="AQ1287" s="7" t="n">
        <v>0</v>
      </c>
      <c r="AR1287" s="6" t="s">
        <v>63</v>
      </c>
      <c r="AS1287" s="6" t="s">
        <v>57</v>
      </c>
      <c r="AT1287" s="9" t="str">
        <f aca="false">HYPERLINK("http://catalog.hathitrust.org/Record/001379064","HathiTrust Record")</f>
        <v>HathiTrust Record</v>
      </c>
      <c r="AU1287" s="9" t="str">
        <f aca="false">HYPERLINK("https://creighton-primo.hosted.exlibrisgroup.com/primo-explore/search?tab=default_tab&amp;search_scope=EVERYTHING&amp;vid=01CRU&amp;lang=en_US&amp;offset=0&amp;query=any,contains,991002067689702656","Catalog Record")</f>
        <v>Catalog Record</v>
      </c>
      <c r="AV1287" s="9" t="str">
        <f aca="false">HYPERLINK("http://www.worldcat.org/oclc/263269","WorldCat Record")</f>
        <v>WorldCat Record</v>
      </c>
      <c r="AW1287" s="6" t="s">
        <v>9658</v>
      </c>
      <c r="AX1287" s="6" t="s">
        <v>9659</v>
      </c>
      <c r="AY1287" s="6" t="s">
        <v>9660</v>
      </c>
      <c r="AZ1287" s="6" t="s">
        <v>9660</v>
      </c>
      <c r="BA1287" s="6" t="s">
        <v>9661</v>
      </c>
      <c r="BB1287" s="28"/>
      <c r="BC1287" s="6" t="s">
        <v>9662</v>
      </c>
      <c r="BE1287" s="15" t="s">
        <v>2145</v>
      </c>
      <c r="BF1287" s="6" t="s">
        <v>9663</v>
      </c>
    </row>
    <row r="1288" customFormat="false" ht="94" hidden="false" customHeight="false" outlineLevel="0" collapsed="false">
      <c r="A1288" s="26" t="s">
        <v>63</v>
      </c>
      <c r="B1288" s="27" t="s">
        <v>2129</v>
      </c>
      <c r="C1288" s="27" t="s">
        <v>2130</v>
      </c>
      <c r="D1288" s="27" t="s">
        <v>9664</v>
      </c>
      <c r="E1288" s="27" t="s">
        <v>9665</v>
      </c>
      <c r="F1288" s="27" t="s">
        <v>9666</v>
      </c>
      <c r="G1288" s="28"/>
      <c r="H1288" s="6" t="s">
        <v>63</v>
      </c>
      <c r="I1288" s="6" t="s">
        <v>62</v>
      </c>
      <c r="J1288" s="6" t="s">
        <v>63</v>
      </c>
      <c r="K1288" s="6" t="s">
        <v>63</v>
      </c>
      <c r="L1288" s="6" t="s">
        <v>64</v>
      </c>
      <c r="M1288" s="27" t="s">
        <v>4209</v>
      </c>
      <c r="N1288" s="27" t="s">
        <v>9667</v>
      </c>
      <c r="O1288" s="6" t="s">
        <v>122</v>
      </c>
      <c r="P1288" s="28"/>
      <c r="Q1288" s="6" t="s">
        <v>67</v>
      </c>
      <c r="R1288" s="6" t="s">
        <v>68</v>
      </c>
      <c r="S1288" s="28"/>
      <c r="T1288" s="6" t="s">
        <v>6138</v>
      </c>
      <c r="U1288" s="7" t="n">
        <v>2</v>
      </c>
      <c r="V1288" s="7" t="n">
        <v>2</v>
      </c>
      <c r="W1288" s="8" t="s">
        <v>9668</v>
      </c>
      <c r="X1288" s="8" t="s">
        <v>9668</v>
      </c>
      <c r="Y1288" s="8" t="s">
        <v>7928</v>
      </c>
      <c r="Z1288" s="8" t="s">
        <v>7928</v>
      </c>
      <c r="AA1288" s="7" t="n">
        <v>668</v>
      </c>
      <c r="AB1288" s="7" t="n">
        <v>589</v>
      </c>
      <c r="AC1288" s="7" t="n">
        <v>613</v>
      </c>
      <c r="AD1288" s="7" t="n">
        <v>5</v>
      </c>
      <c r="AE1288" s="7" t="n">
        <v>5</v>
      </c>
      <c r="AF1288" s="7" t="n">
        <v>25</v>
      </c>
      <c r="AG1288" s="7" t="n">
        <v>27</v>
      </c>
      <c r="AH1288" s="7" t="n">
        <v>9</v>
      </c>
      <c r="AI1288" s="7" t="n">
        <v>10</v>
      </c>
      <c r="AJ1288" s="7" t="n">
        <v>7</v>
      </c>
      <c r="AK1288" s="7" t="n">
        <v>8</v>
      </c>
      <c r="AL1288" s="7" t="n">
        <v>14</v>
      </c>
      <c r="AM1288" s="7" t="n">
        <v>14</v>
      </c>
      <c r="AN1288" s="7" t="n">
        <v>2</v>
      </c>
      <c r="AO1288" s="7" t="n">
        <v>2</v>
      </c>
      <c r="AP1288" s="7" t="n">
        <v>0</v>
      </c>
      <c r="AQ1288" s="7" t="n">
        <v>0</v>
      </c>
      <c r="AR1288" s="6" t="s">
        <v>63</v>
      </c>
      <c r="AS1288" s="6" t="s">
        <v>57</v>
      </c>
      <c r="AT1288" s="9" t="str">
        <f aca="false">HYPERLINK("http://catalog.hathitrust.org/Record/001384540","HathiTrust Record")</f>
        <v>HathiTrust Record</v>
      </c>
      <c r="AU1288" s="9" t="str">
        <f aca="false">HYPERLINK("https://creighton-primo.hosted.exlibrisgroup.com/primo-explore/search?tab=default_tab&amp;search_scope=EVERYTHING&amp;vid=01CRU&amp;lang=en_US&amp;offset=0&amp;query=any,contains,991003341219702656","Catalog Record")</f>
        <v>Catalog Record</v>
      </c>
      <c r="AV1288" s="9" t="str">
        <f aca="false">HYPERLINK("http://www.worldcat.org/oclc/872368","WorldCat Record")</f>
        <v>WorldCat Record</v>
      </c>
      <c r="AW1288" s="6" t="s">
        <v>9669</v>
      </c>
      <c r="AX1288" s="6" t="s">
        <v>9670</v>
      </c>
      <c r="AY1288" s="6" t="s">
        <v>9671</v>
      </c>
      <c r="AZ1288" s="6" t="s">
        <v>9671</v>
      </c>
      <c r="BA1288" s="6" t="s">
        <v>9672</v>
      </c>
      <c r="BB1288" s="28"/>
      <c r="BC1288" s="6" t="s">
        <v>9673</v>
      </c>
      <c r="BE1288" s="15" t="s">
        <v>2145</v>
      </c>
      <c r="BF1288" s="6" t="s">
        <v>9674</v>
      </c>
    </row>
    <row r="1289" customFormat="false" ht="117" hidden="false" customHeight="false" outlineLevel="0" collapsed="false">
      <c r="A1289" s="26" t="s">
        <v>63</v>
      </c>
      <c r="B1289" s="27" t="s">
        <v>2129</v>
      </c>
      <c r="C1289" s="27" t="s">
        <v>2130</v>
      </c>
      <c r="D1289" s="27" t="s">
        <v>9675</v>
      </c>
      <c r="E1289" s="27" t="s">
        <v>9676</v>
      </c>
      <c r="F1289" s="27" t="s">
        <v>9677</v>
      </c>
      <c r="G1289" s="28"/>
      <c r="H1289" s="6" t="s">
        <v>63</v>
      </c>
      <c r="I1289" s="6" t="s">
        <v>62</v>
      </c>
      <c r="J1289" s="6" t="s">
        <v>63</v>
      </c>
      <c r="K1289" s="6" t="s">
        <v>63</v>
      </c>
      <c r="L1289" s="6" t="s">
        <v>64</v>
      </c>
      <c r="M1289" s="27" t="s">
        <v>9678</v>
      </c>
      <c r="N1289" s="27" t="s">
        <v>9679</v>
      </c>
      <c r="O1289" s="6" t="s">
        <v>2693</v>
      </c>
      <c r="P1289" s="28"/>
      <c r="Q1289" s="6" t="s">
        <v>67</v>
      </c>
      <c r="R1289" s="6" t="s">
        <v>68</v>
      </c>
      <c r="S1289" s="27" t="s">
        <v>9680</v>
      </c>
      <c r="T1289" s="6" t="s">
        <v>6138</v>
      </c>
      <c r="U1289" s="7" t="n">
        <v>1</v>
      </c>
      <c r="V1289" s="7" t="n">
        <v>1</v>
      </c>
      <c r="W1289" s="8" t="s">
        <v>9681</v>
      </c>
      <c r="X1289" s="8" t="s">
        <v>9681</v>
      </c>
      <c r="Y1289" s="8" t="s">
        <v>8389</v>
      </c>
      <c r="Z1289" s="8" t="s">
        <v>8389</v>
      </c>
      <c r="AA1289" s="7" t="n">
        <v>259</v>
      </c>
      <c r="AB1289" s="7" t="n">
        <v>221</v>
      </c>
      <c r="AC1289" s="7" t="n">
        <v>312</v>
      </c>
      <c r="AD1289" s="7" t="n">
        <v>1</v>
      </c>
      <c r="AE1289" s="7" t="n">
        <v>3</v>
      </c>
      <c r="AF1289" s="7" t="n">
        <v>8</v>
      </c>
      <c r="AG1289" s="7" t="n">
        <v>13</v>
      </c>
      <c r="AH1289" s="7" t="n">
        <v>3</v>
      </c>
      <c r="AI1289" s="7" t="n">
        <v>3</v>
      </c>
      <c r="AJ1289" s="7" t="n">
        <v>1</v>
      </c>
      <c r="AK1289" s="7" t="n">
        <v>4</v>
      </c>
      <c r="AL1289" s="7" t="n">
        <v>5</v>
      </c>
      <c r="AM1289" s="7" t="n">
        <v>6</v>
      </c>
      <c r="AN1289" s="7" t="n">
        <v>0</v>
      </c>
      <c r="AO1289" s="7" t="n">
        <v>2</v>
      </c>
      <c r="AP1289" s="7" t="n">
        <v>0</v>
      </c>
      <c r="AQ1289" s="7" t="n">
        <v>0</v>
      </c>
      <c r="AR1289" s="6" t="s">
        <v>63</v>
      </c>
      <c r="AS1289" s="6" t="s">
        <v>57</v>
      </c>
      <c r="AT1289" s="9" t="str">
        <f aca="false">HYPERLINK("http://catalog.hathitrust.org/Record/009906565","HathiTrust Record")</f>
        <v>HathiTrust Record</v>
      </c>
      <c r="AU1289" s="9" t="str">
        <f aca="false">HYPERLINK("https://creighton-primo.hosted.exlibrisgroup.com/primo-explore/search?tab=default_tab&amp;search_scope=EVERYTHING&amp;vid=01CRU&amp;lang=en_US&amp;offset=0&amp;query=any,contains,991002788209702656","Catalog Record")</f>
        <v>Catalog Record</v>
      </c>
      <c r="AV1289" s="9" t="str">
        <f aca="false">HYPERLINK("http://www.worldcat.org/oclc/442426","WorldCat Record")</f>
        <v>WorldCat Record</v>
      </c>
      <c r="AW1289" s="6" t="s">
        <v>9682</v>
      </c>
      <c r="AX1289" s="6" t="s">
        <v>9683</v>
      </c>
      <c r="AY1289" s="6" t="s">
        <v>9684</v>
      </c>
      <c r="AZ1289" s="6" t="s">
        <v>9684</v>
      </c>
      <c r="BA1289" s="6" t="s">
        <v>9685</v>
      </c>
      <c r="BB1289" s="28"/>
      <c r="BC1289" s="6" t="s">
        <v>9686</v>
      </c>
      <c r="BE1289" s="15" t="s">
        <v>2145</v>
      </c>
      <c r="BF1289" s="6" t="s">
        <v>9687</v>
      </c>
    </row>
    <row r="1290" customFormat="false" ht="151.5" hidden="false" customHeight="false" outlineLevel="0" collapsed="false">
      <c r="A1290" s="26" t="s">
        <v>63</v>
      </c>
      <c r="B1290" s="27" t="s">
        <v>2129</v>
      </c>
      <c r="C1290" s="27" t="s">
        <v>2130</v>
      </c>
      <c r="D1290" s="27" t="s">
        <v>9688</v>
      </c>
      <c r="E1290" s="27" t="s">
        <v>9689</v>
      </c>
      <c r="F1290" s="27" t="s">
        <v>9690</v>
      </c>
      <c r="G1290" s="28"/>
      <c r="H1290" s="6" t="s">
        <v>63</v>
      </c>
      <c r="I1290" s="6" t="s">
        <v>62</v>
      </c>
      <c r="J1290" s="6" t="s">
        <v>63</v>
      </c>
      <c r="K1290" s="6" t="s">
        <v>63</v>
      </c>
      <c r="L1290" s="6" t="s">
        <v>64</v>
      </c>
      <c r="M1290" s="27" t="s">
        <v>9691</v>
      </c>
      <c r="N1290" s="27" t="s">
        <v>9692</v>
      </c>
      <c r="O1290" s="6" t="s">
        <v>2329</v>
      </c>
      <c r="P1290" s="28"/>
      <c r="Q1290" s="6" t="s">
        <v>67</v>
      </c>
      <c r="R1290" s="6" t="s">
        <v>384</v>
      </c>
      <c r="S1290" s="28"/>
      <c r="T1290" s="6" t="s">
        <v>6138</v>
      </c>
      <c r="U1290" s="7" t="n">
        <v>3</v>
      </c>
      <c r="V1290" s="7" t="n">
        <v>3</v>
      </c>
      <c r="W1290" s="8" t="s">
        <v>9693</v>
      </c>
      <c r="X1290" s="8" t="s">
        <v>9693</v>
      </c>
      <c r="Y1290" s="8" t="s">
        <v>9694</v>
      </c>
      <c r="Z1290" s="8" t="s">
        <v>9694</v>
      </c>
      <c r="AA1290" s="7" t="n">
        <v>332</v>
      </c>
      <c r="AB1290" s="7" t="n">
        <v>253</v>
      </c>
      <c r="AC1290" s="7" t="n">
        <v>401</v>
      </c>
      <c r="AD1290" s="7" t="n">
        <v>2</v>
      </c>
      <c r="AE1290" s="7" t="n">
        <v>3</v>
      </c>
      <c r="AF1290" s="7" t="n">
        <v>18</v>
      </c>
      <c r="AG1290" s="7" t="n">
        <v>24</v>
      </c>
      <c r="AH1290" s="7" t="n">
        <v>4</v>
      </c>
      <c r="AI1290" s="7" t="n">
        <v>6</v>
      </c>
      <c r="AJ1290" s="7" t="n">
        <v>6</v>
      </c>
      <c r="AK1290" s="7" t="n">
        <v>9</v>
      </c>
      <c r="AL1290" s="7" t="n">
        <v>12</v>
      </c>
      <c r="AM1290" s="7" t="n">
        <v>14</v>
      </c>
      <c r="AN1290" s="7" t="n">
        <v>1</v>
      </c>
      <c r="AO1290" s="7" t="n">
        <v>2</v>
      </c>
      <c r="AP1290" s="7" t="n">
        <v>0</v>
      </c>
      <c r="AQ1290" s="7" t="n">
        <v>0</v>
      </c>
      <c r="AR1290" s="6" t="s">
        <v>63</v>
      </c>
      <c r="AS1290" s="6" t="s">
        <v>57</v>
      </c>
      <c r="AT1290" s="9" t="str">
        <f aca="false">HYPERLINK("http://catalog.hathitrust.org/Record/001395461","HathiTrust Record")</f>
        <v>HathiTrust Record</v>
      </c>
      <c r="AU1290" s="9" t="str">
        <f aca="false">HYPERLINK("https://creighton-primo.hosted.exlibrisgroup.com/primo-explore/search?tab=default_tab&amp;search_scope=EVERYTHING&amp;vid=01CRU&amp;lang=en_US&amp;offset=0&amp;query=any,contains,991002587959702656","Catalog Record")</f>
        <v>Catalog Record</v>
      </c>
      <c r="AV1290" s="9" t="str">
        <f aca="false">HYPERLINK("http://www.worldcat.org/oclc/375358","WorldCat Record")</f>
        <v>WorldCat Record</v>
      </c>
      <c r="AW1290" s="6" t="s">
        <v>9695</v>
      </c>
      <c r="AX1290" s="6" t="s">
        <v>9696</v>
      </c>
      <c r="AY1290" s="6" t="s">
        <v>9697</v>
      </c>
      <c r="AZ1290" s="6" t="s">
        <v>9697</v>
      </c>
      <c r="BA1290" s="6" t="s">
        <v>9698</v>
      </c>
      <c r="BB1290" s="28"/>
      <c r="BC1290" s="6" t="s">
        <v>9699</v>
      </c>
      <c r="BE1290" s="15" t="s">
        <v>2145</v>
      </c>
      <c r="BF1290" s="6" t="s">
        <v>9700</v>
      </c>
    </row>
    <row r="1291" customFormat="false" ht="174.5" hidden="false" customHeight="false" outlineLevel="0" collapsed="false">
      <c r="A1291" s="26" t="s">
        <v>63</v>
      </c>
      <c r="B1291" s="27" t="s">
        <v>2129</v>
      </c>
      <c r="C1291" s="27" t="s">
        <v>2130</v>
      </c>
      <c r="D1291" s="27" t="s">
        <v>9701</v>
      </c>
      <c r="E1291" s="27" t="s">
        <v>9702</v>
      </c>
      <c r="F1291" s="27" t="s">
        <v>9703</v>
      </c>
      <c r="G1291" s="28"/>
      <c r="H1291" s="6" t="s">
        <v>63</v>
      </c>
      <c r="I1291" s="6" t="s">
        <v>62</v>
      </c>
      <c r="J1291" s="6" t="s">
        <v>63</v>
      </c>
      <c r="K1291" s="6" t="s">
        <v>63</v>
      </c>
      <c r="L1291" s="6" t="s">
        <v>64</v>
      </c>
      <c r="M1291" s="27" t="s">
        <v>9704</v>
      </c>
      <c r="N1291" s="27" t="s">
        <v>9705</v>
      </c>
      <c r="O1291" s="6" t="s">
        <v>2811</v>
      </c>
      <c r="P1291" s="28"/>
      <c r="Q1291" s="6" t="s">
        <v>67</v>
      </c>
      <c r="R1291" s="6" t="s">
        <v>68</v>
      </c>
      <c r="S1291" s="28"/>
      <c r="T1291" s="6" t="s">
        <v>6138</v>
      </c>
      <c r="U1291" s="7" t="n">
        <v>2</v>
      </c>
      <c r="V1291" s="7" t="n">
        <v>2</v>
      </c>
      <c r="W1291" s="8" t="s">
        <v>9706</v>
      </c>
      <c r="X1291" s="8" t="s">
        <v>9706</v>
      </c>
      <c r="Y1291" s="8" t="s">
        <v>9657</v>
      </c>
      <c r="Z1291" s="8" t="s">
        <v>9657</v>
      </c>
      <c r="AA1291" s="7" t="n">
        <v>204</v>
      </c>
      <c r="AB1291" s="7" t="n">
        <v>161</v>
      </c>
      <c r="AC1291" s="7" t="n">
        <v>161</v>
      </c>
      <c r="AD1291" s="7" t="n">
        <v>1</v>
      </c>
      <c r="AE1291" s="7" t="n">
        <v>1</v>
      </c>
      <c r="AF1291" s="7" t="n">
        <v>9</v>
      </c>
      <c r="AG1291" s="7" t="n">
        <v>9</v>
      </c>
      <c r="AH1291" s="7" t="n">
        <v>5</v>
      </c>
      <c r="AI1291" s="7" t="n">
        <v>5</v>
      </c>
      <c r="AJ1291" s="7" t="n">
        <v>1</v>
      </c>
      <c r="AK1291" s="7" t="n">
        <v>1</v>
      </c>
      <c r="AL1291" s="7" t="n">
        <v>7</v>
      </c>
      <c r="AM1291" s="7" t="n">
        <v>7</v>
      </c>
      <c r="AN1291" s="7" t="n">
        <v>0</v>
      </c>
      <c r="AO1291" s="7" t="n">
        <v>0</v>
      </c>
      <c r="AP1291" s="7" t="n">
        <v>0</v>
      </c>
      <c r="AQ1291" s="7" t="n">
        <v>0</v>
      </c>
      <c r="AR1291" s="6" t="s">
        <v>63</v>
      </c>
      <c r="AS1291" s="6" t="s">
        <v>63</v>
      </c>
      <c r="AT1291" s="28"/>
      <c r="AU1291" s="9" t="str">
        <f aca="false">HYPERLINK("https://creighton-primo.hosted.exlibrisgroup.com/primo-explore/search?tab=default_tab&amp;search_scope=EVERYTHING&amp;vid=01CRU&amp;lang=en_US&amp;offset=0&amp;query=any,contains,991000801449702656","Catalog Record")</f>
        <v>Catalog Record</v>
      </c>
      <c r="AV1291" s="9" t="str">
        <f aca="false">HYPERLINK("http://www.worldcat.org/oclc/139055","WorldCat Record")</f>
        <v>WorldCat Record</v>
      </c>
      <c r="AW1291" s="6" t="s">
        <v>9707</v>
      </c>
      <c r="AX1291" s="6" t="s">
        <v>9708</v>
      </c>
      <c r="AY1291" s="6" t="s">
        <v>9709</v>
      </c>
      <c r="AZ1291" s="6" t="s">
        <v>9709</v>
      </c>
      <c r="BA1291" s="6" t="s">
        <v>9710</v>
      </c>
      <c r="BB1291" s="6" t="s">
        <v>9711</v>
      </c>
      <c r="BC1291" s="6" t="s">
        <v>9712</v>
      </c>
      <c r="BE1291" s="15" t="s">
        <v>2145</v>
      </c>
      <c r="BF1291" s="6" t="s">
        <v>9713</v>
      </c>
    </row>
    <row r="1292" customFormat="false" ht="117" hidden="false" customHeight="false" outlineLevel="0" collapsed="false">
      <c r="A1292" s="26" t="s">
        <v>63</v>
      </c>
      <c r="B1292" s="27" t="s">
        <v>2129</v>
      </c>
      <c r="C1292" s="27" t="s">
        <v>2130</v>
      </c>
      <c r="D1292" s="27" t="s">
        <v>9714</v>
      </c>
      <c r="E1292" s="27" t="s">
        <v>9715</v>
      </c>
      <c r="F1292" s="27" t="s">
        <v>9716</v>
      </c>
      <c r="G1292" s="6" t="s">
        <v>1512</v>
      </c>
      <c r="H1292" s="6" t="s">
        <v>57</v>
      </c>
      <c r="I1292" s="6" t="s">
        <v>62</v>
      </c>
      <c r="J1292" s="6" t="s">
        <v>63</v>
      </c>
      <c r="K1292" s="6" t="s">
        <v>63</v>
      </c>
      <c r="L1292" s="6" t="s">
        <v>64</v>
      </c>
      <c r="M1292" s="27" t="s">
        <v>9717</v>
      </c>
      <c r="N1292" s="27" t="s">
        <v>9718</v>
      </c>
      <c r="O1292" s="6" t="s">
        <v>7401</v>
      </c>
      <c r="P1292" s="28"/>
      <c r="Q1292" s="6" t="s">
        <v>67</v>
      </c>
      <c r="R1292" s="6" t="s">
        <v>68</v>
      </c>
      <c r="S1292" s="28"/>
      <c r="T1292" s="6" t="s">
        <v>6138</v>
      </c>
      <c r="U1292" s="7" t="n">
        <v>1</v>
      </c>
      <c r="V1292" s="7" t="n">
        <v>2</v>
      </c>
      <c r="W1292" s="8" t="s">
        <v>9719</v>
      </c>
      <c r="X1292" s="8" t="s">
        <v>9719</v>
      </c>
      <c r="Y1292" s="8" t="s">
        <v>9720</v>
      </c>
      <c r="Z1292" s="8" t="s">
        <v>9720</v>
      </c>
      <c r="AA1292" s="7" t="n">
        <v>1246</v>
      </c>
      <c r="AB1292" s="7" t="n">
        <v>1157</v>
      </c>
      <c r="AC1292" s="7" t="n">
        <v>1190</v>
      </c>
      <c r="AD1292" s="7" t="n">
        <v>14</v>
      </c>
      <c r="AE1292" s="7" t="n">
        <v>14</v>
      </c>
      <c r="AF1292" s="7" t="n">
        <v>43</v>
      </c>
      <c r="AG1292" s="7" t="n">
        <v>43</v>
      </c>
      <c r="AH1292" s="7" t="n">
        <v>14</v>
      </c>
      <c r="AI1292" s="7" t="n">
        <v>14</v>
      </c>
      <c r="AJ1292" s="7" t="n">
        <v>8</v>
      </c>
      <c r="AK1292" s="7" t="n">
        <v>8</v>
      </c>
      <c r="AL1292" s="7" t="n">
        <v>20</v>
      </c>
      <c r="AM1292" s="7" t="n">
        <v>20</v>
      </c>
      <c r="AN1292" s="7" t="n">
        <v>9</v>
      </c>
      <c r="AO1292" s="7" t="n">
        <v>9</v>
      </c>
      <c r="AP1292" s="7" t="n">
        <v>2</v>
      </c>
      <c r="AQ1292" s="7" t="n">
        <v>2</v>
      </c>
      <c r="AR1292" s="6" t="s">
        <v>63</v>
      </c>
      <c r="AS1292" s="6" t="s">
        <v>57</v>
      </c>
      <c r="AT1292" s="9" t="str">
        <f aca="false">HYPERLINK("http://catalog.hathitrust.org/Record/001379069","HathiTrust Record")</f>
        <v>HathiTrust Record</v>
      </c>
      <c r="AU1292" s="9" t="str">
        <f aca="false">HYPERLINK("https://creighton-primo.hosted.exlibrisgroup.com/primo-explore/search?tab=default_tab&amp;search_scope=EVERYTHING&amp;vid=01CRU&amp;lang=en_US&amp;offset=0&amp;query=any,contains,991003424429702656","Catalog Record")</f>
        <v>Catalog Record</v>
      </c>
      <c r="AV1292" s="9" t="str">
        <f aca="false">HYPERLINK("http://www.worldcat.org/oclc/964348","WorldCat Record")</f>
        <v>WorldCat Record</v>
      </c>
      <c r="AW1292" s="6" t="s">
        <v>9721</v>
      </c>
      <c r="AX1292" s="6" t="s">
        <v>9722</v>
      </c>
      <c r="AY1292" s="6" t="s">
        <v>9723</v>
      </c>
      <c r="AZ1292" s="6" t="s">
        <v>9723</v>
      </c>
      <c r="BA1292" s="6" t="s">
        <v>9724</v>
      </c>
      <c r="BB1292" s="28"/>
      <c r="BC1292" s="6" t="s">
        <v>9725</v>
      </c>
      <c r="BE1292" s="15" t="s">
        <v>2145</v>
      </c>
      <c r="BF1292" s="6" t="s">
        <v>9726</v>
      </c>
    </row>
    <row r="1293" customFormat="false" ht="117" hidden="false" customHeight="false" outlineLevel="0" collapsed="false">
      <c r="A1293" s="26" t="s">
        <v>63</v>
      </c>
      <c r="B1293" s="27" t="s">
        <v>2129</v>
      </c>
      <c r="C1293" s="27" t="s">
        <v>2130</v>
      </c>
      <c r="D1293" s="27" t="s">
        <v>9714</v>
      </c>
      <c r="E1293" s="27" t="s">
        <v>9715</v>
      </c>
      <c r="F1293" s="27" t="s">
        <v>9716</v>
      </c>
      <c r="G1293" s="6" t="s">
        <v>502</v>
      </c>
      <c r="H1293" s="6" t="s">
        <v>57</v>
      </c>
      <c r="I1293" s="6" t="s">
        <v>62</v>
      </c>
      <c r="J1293" s="6" t="s">
        <v>63</v>
      </c>
      <c r="K1293" s="6" t="s">
        <v>63</v>
      </c>
      <c r="L1293" s="6" t="s">
        <v>64</v>
      </c>
      <c r="M1293" s="27" t="s">
        <v>9717</v>
      </c>
      <c r="N1293" s="27" t="s">
        <v>9718</v>
      </c>
      <c r="O1293" s="6" t="s">
        <v>7401</v>
      </c>
      <c r="P1293" s="28"/>
      <c r="Q1293" s="6" t="s">
        <v>67</v>
      </c>
      <c r="R1293" s="6" t="s">
        <v>68</v>
      </c>
      <c r="S1293" s="28"/>
      <c r="T1293" s="6" t="s">
        <v>6138</v>
      </c>
      <c r="U1293" s="7" t="n">
        <v>0</v>
      </c>
      <c r="V1293" s="7" t="n">
        <v>2</v>
      </c>
      <c r="W1293" s="28"/>
      <c r="X1293" s="8" t="s">
        <v>9719</v>
      </c>
      <c r="Y1293" s="8" t="s">
        <v>9720</v>
      </c>
      <c r="Z1293" s="8" t="s">
        <v>9720</v>
      </c>
      <c r="AA1293" s="7" t="n">
        <v>1246</v>
      </c>
      <c r="AB1293" s="7" t="n">
        <v>1157</v>
      </c>
      <c r="AC1293" s="7" t="n">
        <v>1190</v>
      </c>
      <c r="AD1293" s="7" t="n">
        <v>14</v>
      </c>
      <c r="AE1293" s="7" t="n">
        <v>14</v>
      </c>
      <c r="AF1293" s="7" t="n">
        <v>43</v>
      </c>
      <c r="AG1293" s="7" t="n">
        <v>43</v>
      </c>
      <c r="AH1293" s="7" t="n">
        <v>14</v>
      </c>
      <c r="AI1293" s="7" t="n">
        <v>14</v>
      </c>
      <c r="AJ1293" s="7" t="n">
        <v>8</v>
      </c>
      <c r="AK1293" s="7" t="n">
        <v>8</v>
      </c>
      <c r="AL1293" s="7" t="n">
        <v>20</v>
      </c>
      <c r="AM1293" s="7" t="n">
        <v>20</v>
      </c>
      <c r="AN1293" s="7" t="n">
        <v>9</v>
      </c>
      <c r="AO1293" s="7" t="n">
        <v>9</v>
      </c>
      <c r="AP1293" s="7" t="n">
        <v>2</v>
      </c>
      <c r="AQ1293" s="7" t="n">
        <v>2</v>
      </c>
      <c r="AR1293" s="6" t="s">
        <v>63</v>
      </c>
      <c r="AS1293" s="6" t="s">
        <v>57</v>
      </c>
      <c r="AT1293" s="9" t="str">
        <f aca="false">HYPERLINK("http://catalog.hathitrust.org/Record/001379069","HathiTrust Record")</f>
        <v>HathiTrust Record</v>
      </c>
      <c r="AU1293" s="9" t="str">
        <f aca="false">HYPERLINK("https://creighton-primo.hosted.exlibrisgroup.com/primo-explore/search?tab=default_tab&amp;search_scope=EVERYTHING&amp;vid=01CRU&amp;lang=en_US&amp;offset=0&amp;query=any,contains,991003424429702656","Catalog Record")</f>
        <v>Catalog Record</v>
      </c>
      <c r="AV1293" s="9" t="str">
        <f aca="false">HYPERLINK("http://www.worldcat.org/oclc/964348","WorldCat Record")</f>
        <v>WorldCat Record</v>
      </c>
      <c r="AW1293" s="6" t="s">
        <v>9721</v>
      </c>
      <c r="AX1293" s="6" t="s">
        <v>9722</v>
      </c>
      <c r="AY1293" s="6" t="s">
        <v>9723</v>
      </c>
      <c r="AZ1293" s="6" t="s">
        <v>9723</v>
      </c>
      <c r="BA1293" s="6" t="s">
        <v>9724</v>
      </c>
      <c r="BB1293" s="28"/>
      <c r="BC1293" s="6" t="s">
        <v>9727</v>
      </c>
      <c r="BE1293" s="15" t="s">
        <v>2145</v>
      </c>
      <c r="BF1293" s="6" t="s">
        <v>9728</v>
      </c>
    </row>
    <row r="1294" customFormat="false" ht="117" hidden="false" customHeight="false" outlineLevel="0" collapsed="false">
      <c r="A1294" s="26" t="s">
        <v>63</v>
      </c>
      <c r="B1294" s="27" t="s">
        <v>2129</v>
      </c>
      <c r="C1294" s="27" t="s">
        <v>2130</v>
      </c>
      <c r="D1294" s="27" t="s">
        <v>9714</v>
      </c>
      <c r="E1294" s="27" t="s">
        <v>9715</v>
      </c>
      <c r="F1294" s="27" t="s">
        <v>9716</v>
      </c>
      <c r="G1294" s="6" t="s">
        <v>498</v>
      </c>
      <c r="H1294" s="6" t="s">
        <v>57</v>
      </c>
      <c r="I1294" s="6" t="s">
        <v>62</v>
      </c>
      <c r="J1294" s="6" t="s">
        <v>63</v>
      </c>
      <c r="K1294" s="6" t="s">
        <v>63</v>
      </c>
      <c r="L1294" s="6" t="s">
        <v>64</v>
      </c>
      <c r="M1294" s="27" t="s">
        <v>9717</v>
      </c>
      <c r="N1294" s="27" t="s">
        <v>9718</v>
      </c>
      <c r="O1294" s="6" t="s">
        <v>7401</v>
      </c>
      <c r="P1294" s="28"/>
      <c r="Q1294" s="6" t="s">
        <v>67</v>
      </c>
      <c r="R1294" s="6" t="s">
        <v>68</v>
      </c>
      <c r="S1294" s="28"/>
      <c r="T1294" s="6" t="s">
        <v>6138</v>
      </c>
      <c r="U1294" s="7" t="n">
        <v>1</v>
      </c>
      <c r="V1294" s="7" t="n">
        <v>2</v>
      </c>
      <c r="W1294" s="8" t="s">
        <v>9729</v>
      </c>
      <c r="X1294" s="8" t="s">
        <v>9719</v>
      </c>
      <c r="Y1294" s="8" t="s">
        <v>9720</v>
      </c>
      <c r="Z1294" s="8" t="s">
        <v>9720</v>
      </c>
      <c r="AA1294" s="7" t="n">
        <v>1246</v>
      </c>
      <c r="AB1294" s="7" t="n">
        <v>1157</v>
      </c>
      <c r="AC1294" s="7" t="n">
        <v>1190</v>
      </c>
      <c r="AD1294" s="7" t="n">
        <v>14</v>
      </c>
      <c r="AE1294" s="7" t="n">
        <v>14</v>
      </c>
      <c r="AF1294" s="7" t="n">
        <v>43</v>
      </c>
      <c r="AG1294" s="7" t="n">
        <v>43</v>
      </c>
      <c r="AH1294" s="7" t="n">
        <v>14</v>
      </c>
      <c r="AI1294" s="7" t="n">
        <v>14</v>
      </c>
      <c r="AJ1294" s="7" t="n">
        <v>8</v>
      </c>
      <c r="AK1294" s="7" t="n">
        <v>8</v>
      </c>
      <c r="AL1294" s="7" t="n">
        <v>20</v>
      </c>
      <c r="AM1294" s="7" t="n">
        <v>20</v>
      </c>
      <c r="AN1294" s="7" t="n">
        <v>9</v>
      </c>
      <c r="AO1294" s="7" t="n">
        <v>9</v>
      </c>
      <c r="AP1294" s="7" t="n">
        <v>2</v>
      </c>
      <c r="AQ1294" s="7" t="n">
        <v>2</v>
      </c>
      <c r="AR1294" s="6" t="s">
        <v>63</v>
      </c>
      <c r="AS1294" s="6" t="s">
        <v>57</v>
      </c>
      <c r="AT1294" s="9" t="str">
        <f aca="false">HYPERLINK("http://catalog.hathitrust.org/Record/001379069","HathiTrust Record")</f>
        <v>HathiTrust Record</v>
      </c>
      <c r="AU1294" s="9" t="str">
        <f aca="false">HYPERLINK("https://creighton-primo.hosted.exlibrisgroup.com/primo-explore/search?tab=default_tab&amp;search_scope=EVERYTHING&amp;vid=01CRU&amp;lang=en_US&amp;offset=0&amp;query=any,contains,991003424429702656","Catalog Record")</f>
        <v>Catalog Record</v>
      </c>
      <c r="AV1294" s="9" t="str">
        <f aca="false">HYPERLINK("http://www.worldcat.org/oclc/964348","WorldCat Record")</f>
        <v>WorldCat Record</v>
      </c>
      <c r="AW1294" s="6" t="s">
        <v>9721</v>
      </c>
      <c r="AX1294" s="6" t="s">
        <v>9722</v>
      </c>
      <c r="AY1294" s="6" t="s">
        <v>9723</v>
      </c>
      <c r="AZ1294" s="6" t="s">
        <v>9723</v>
      </c>
      <c r="BA1294" s="6" t="s">
        <v>9724</v>
      </c>
      <c r="BB1294" s="28"/>
      <c r="BC1294" s="6" t="s">
        <v>9730</v>
      </c>
      <c r="BE1294" s="15" t="s">
        <v>2145</v>
      </c>
      <c r="BF1294" s="6" t="s">
        <v>9731</v>
      </c>
    </row>
    <row r="1295" customFormat="false" ht="117" hidden="false" customHeight="false" outlineLevel="0" collapsed="false">
      <c r="A1295" s="26" t="s">
        <v>63</v>
      </c>
      <c r="B1295" s="27" t="s">
        <v>2129</v>
      </c>
      <c r="C1295" s="27" t="s">
        <v>2130</v>
      </c>
      <c r="D1295" s="27" t="s">
        <v>9714</v>
      </c>
      <c r="E1295" s="27" t="s">
        <v>9715</v>
      </c>
      <c r="F1295" s="27" t="s">
        <v>9716</v>
      </c>
      <c r="G1295" s="6" t="s">
        <v>1513</v>
      </c>
      <c r="H1295" s="6" t="s">
        <v>57</v>
      </c>
      <c r="I1295" s="6" t="s">
        <v>62</v>
      </c>
      <c r="J1295" s="6" t="s">
        <v>63</v>
      </c>
      <c r="K1295" s="6" t="s">
        <v>63</v>
      </c>
      <c r="L1295" s="6" t="s">
        <v>64</v>
      </c>
      <c r="M1295" s="27" t="s">
        <v>9717</v>
      </c>
      <c r="N1295" s="27" t="s">
        <v>9718</v>
      </c>
      <c r="O1295" s="6" t="s">
        <v>7401</v>
      </c>
      <c r="P1295" s="28"/>
      <c r="Q1295" s="6" t="s">
        <v>67</v>
      </c>
      <c r="R1295" s="6" t="s">
        <v>68</v>
      </c>
      <c r="S1295" s="28"/>
      <c r="T1295" s="6" t="s">
        <v>6138</v>
      </c>
      <c r="U1295" s="7" t="n">
        <v>0</v>
      </c>
      <c r="V1295" s="7" t="n">
        <v>2</v>
      </c>
      <c r="W1295" s="28"/>
      <c r="X1295" s="8" t="s">
        <v>9719</v>
      </c>
      <c r="Y1295" s="8" t="s">
        <v>9720</v>
      </c>
      <c r="Z1295" s="8" t="s">
        <v>9720</v>
      </c>
      <c r="AA1295" s="7" t="n">
        <v>1246</v>
      </c>
      <c r="AB1295" s="7" t="n">
        <v>1157</v>
      </c>
      <c r="AC1295" s="7" t="n">
        <v>1190</v>
      </c>
      <c r="AD1295" s="7" t="n">
        <v>14</v>
      </c>
      <c r="AE1295" s="7" t="n">
        <v>14</v>
      </c>
      <c r="AF1295" s="7" t="n">
        <v>43</v>
      </c>
      <c r="AG1295" s="7" t="n">
        <v>43</v>
      </c>
      <c r="AH1295" s="7" t="n">
        <v>14</v>
      </c>
      <c r="AI1295" s="7" t="n">
        <v>14</v>
      </c>
      <c r="AJ1295" s="7" t="n">
        <v>8</v>
      </c>
      <c r="AK1295" s="7" t="n">
        <v>8</v>
      </c>
      <c r="AL1295" s="7" t="n">
        <v>20</v>
      </c>
      <c r="AM1295" s="7" t="n">
        <v>20</v>
      </c>
      <c r="AN1295" s="7" t="n">
        <v>9</v>
      </c>
      <c r="AO1295" s="7" t="n">
        <v>9</v>
      </c>
      <c r="AP1295" s="7" t="n">
        <v>2</v>
      </c>
      <c r="AQ1295" s="7" t="n">
        <v>2</v>
      </c>
      <c r="AR1295" s="6" t="s">
        <v>63</v>
      </c>
      <c r="AS1295" s="6" t="s">
        <v>57</v>
      </c>
      <c r="AT1295" s="9" t="str">
        <f aca="false">HYPERLINK("http://catalog.hathitrust.org/Record/001379069","HathiTrust Record")</f>
        <v>HathiTrust Record</v>
      </c>
      <c r="AU1295" s="9" t="str">
        <f aca="false">HYPERLINK("https://creighton-primo.hosted.exlibrisgroup.com/primo-explore/search?tab=default_tab&amp;search_scope=EVERYTHING&amp;vid=01CRU&amp;lang=en_US&amp;offset=0&amp;query=any,contains,991003424429702656","Catalog Record")</f>
        <v>Catalog Record</v>
      </c>
      <c r="AV1295" s="9" t="str">
        <f aca="false">HYPERLINK("http://www.worldcat.org/oclc/964348","WorldCat Record")</f>
        <v>WorldCat Record</v>
      </c>
      <c r="AW1295" s="6" t="s">
        <v>9721</v>
      </c>
      <c r="AX1295" s="6" t="s">
        <v>9722</v>
      </c>
      <c r="AY1295" s="6" t="s">
        <v>9723</v>
      </c>
      <c r="AZ1295" s="6" t="s">
        <v>9723</v>
      </c>
      <c r="BA1295" s="6" t="s">
        <v>9724</v>
      </c>
      <c r="BB1295" s="28"/>
      <c r="BC1295" s="6" t="s">
        <v>9732</v>
      </c>
      <c r="BE1295" s="15" t="s">
        <v>2145</v>
      </c>
      <c r="BF1295" s="6" t="s">
        <v>9733</v>
      </c>
    </row>
    <row r="1296" customFormat="false" ht="163" hidden="false" customHeight="false" outlineLevel="0" collapsed="false">
      <c r="A1296" s="26" t="s">
        <v>63</v>
      </c>
      <c r="B1296" s="27" t="s">
        <v>2129</v>
      </c>
      <c r="C1296" s="27" t="s">
        <v>2130</v>
      </c>
      <c r="D1296" s="27" t="s">
        <v>9734</v>
      </c>
      <c r="E1296" s="27" t="s">
        <v>9735</v>
      </c>
      <c r="F1296" s="27" t="s">
        <v>9736</v>
      </c>
      <c r="G1296" s="28"/>
      <c r="H1296" s="6" t="s">
        <v>63</v>
      </c>
      <c r="I1296" s="6" t="s">
        <v>62</v>
      </c>
      <c r="J1296" s="6" t="s">
        <v>63</v>
      </c>
      <c r="K1296" s="6" t="s">
        <v>63</v>
      </c>
      <c r="L1296" s="6" t="s">
        <v>64</v>
      </c>
      <c r="M1296" s="27" t="s">
        <v>9737</v>
      </c>
      <c r="N1296" s="27" t="s">
        <v>9738</v>
      </c>
      <c r="O1296" s="6" t="s">
        <v>3919</v>
      </c>
      <c r="P1296" s="28"/>
      <c r="Q1296" s="6" t="s">
        <v>67</v>
      </c>
      <c r="R1296" s="6" t="s">
        <v>123</v>
      </c>
      <c r="S1296" s="28"/>
      <c r="T1296" s="6" t="s">
        <v>6138</v>
      </c>
      <c r="U1296" s="7" t="n">
        <v>1</v>
      </c>
      <c r="V1296" s="7" t="n">
        <v>1</v>
      </c>
      <c r="W1296" s="8" t="s">
        <v>9739</v>
      </c>
      <c r="X1296" s="8" t="s">
        <v>9739</v>
      </c>
      <c r="Y1296" s="8" t="s">
        <v>9720</v>
      </c>
      <c r="Z1296" s="8" t="s">
        <v>9720</v>
      </c>
      <c r="AA1296" s="7" t="n">
        <v>384</v>
      </c>
      <c r="AB1296" s="7" t="n">
        <v>339</v>
      </c>
      <c r="AC1296" s="7" t="n">
        <v>360</v>
      </c>
      <c r="AD1296" s="7" t="n">
        <v>2</v>
      </c>
      <c r="AE1296" s="7" t="n">
        <v>2</v>
      </c>
      <c r="AF1296" s="7" t="n">
        <v>30</v>
      </c>
      <c r="AG1296" s="7" t="n">
        <v>31</v>
      </c>
      <c r="AH1296" s="7" t="n">
        <v>10</v>
      </c>
      <c r="AI1296" s="7" t="n">
        <v>11</v>
      </c>
      <c r="AJ1296" s="7" t="n">
        <v>8</v>
      </c>
      <c r="AK1296" s="7" t="n">
        <v>8</v>
      </c>
      <c r="AL1296" s="7" t="n">
        <v>22</v>
      </c>
      <c r="AM1296" s="7" t="n">
        <v>23</v>
      </c>
      <c r="AN1296" s="7" t="n">
        <v>0</v>
      </c>
      <c r="AO1296" s="7" t="n">
        <v>0</v>
      </c>
      <c r="AP1296" s="7" t="n">
        <v>0</v>
      </c>
      <c r="AQ1296" s="7" t="n">
        <v>0</v>
      </c>
      <c r="AR1296" s="6" t="s">
        <v>63</v>
      </c>
      <c r="AS1296" s="6" t="s">
        <v>63</v>
      </c>
      <c r="AT1296" s="9" t="str">
        <f aca="false">HYPERLINK("http://catalog.hathitrust.org/Record/001379074","HathiTrust Record")</f>
        <v>HathiTrust Record</v>
      </c>
      <c r="AU1296" s="9" t="str">
        <f aca="false">HYPERLINK("https://creighton-primo.hosted.exlibrisgroup.com/primo-explore/search?tab=default_tab&amp;search_scope=EVERYTHING&amp;vid=01CRU&amp;lang=en_US&amp;offset=0&amp;query=any,contains,991002356549702656","Catalog Record")</f>
        <v>Catalog Record</v>
      </c>
      <c r="AV1296" s="9" t="str">
        <f aca="false">HYPERLINK("http://www.worldcat.org/oclc/325547","WorldCat Record")</f>
        <v>WorldCat Record</v>
      </c>
      <c r="AW1296" s="6" t="s">
        <v>9740</v>
      </c>
      <c r="AX1296" s="6" t="s">
        <v>9741</v>
      </c>
      <c r="AY1296" s="6" t="s">
        <v>9742</v>
      </c>
      <c r="AZ1296" s="6" t="s">
        <v>9742</v>
      </c>
      <c r="BA1296" s="6" t="s">
        <v>9743</v>
      </c>
      <c r="BB1296" s="28"/>
      <c r="BC1296" s="6" t="s">
        <v>9744</v>
      </c>
      <c r="BE1296" s="15" t="s">
        <v>2145</v>
      </c>
      <c r="BF1296" s="6" t="s">
        <v>9745</v>
      </c>
    </row>
    <row r="1297" customFormat="false" ht="82.5" hidden="false" customHeight="false" outlineLevel="0" collapsed="false">
      <c r="A1297" s="26" t="s">
        <v>63</v>
      </c>
      <c r="B1297" s="27" t="s">
        <v>2129</v>
      </c>
      <c r="C1297" s="27" t="s">
        <v>2130</v>
      </c>
      <c r="D1297" s="27" t="s">
        <v>9746</v>
      </c>
      <c r="E1297" s="27" t="s">
        <v>9747</v>
      </c>
      <c r="F1297" s="27" t="s">
        <v>9748</v>
      </c>
      <c r="G1297" s="28"/>
      <c r="H1297" s="6" t="s">
        <v>63</v>
      </c>
      <c r="I1297" s="6" t="s">
        <v>62</v>
      </c>
      <c r="J1297" s="6" t="s">
        <v>63</v>
      </c>
      <c r="K1297" s="6" t="s">
        <v>63</v>
      </c>
      <c r="L1297" s="6" t="s">
        <v>64</v>
      </c>
      <c r="M1297" s="27" t="s">
        <v>9749</v>
      </c>
      <c r="N1297" s="27" t="s">
        <v>9750</v>
      </c>
      <c r="O1297" s="6" t="s">
        <v>3094</v>
      </c>
      <c r="P1297" s="28"/>
      <c r="Q1297" s="6" t="s">
        <v>67</v>
      </c>
      <c r="R1297" s="6" t="s">
        <v>68</v>
      </c>
      <c r="S1297" s="28"/>
      <c r="T1297" s="6" t="s">
        <v>6138</v>
      </c>
      <c r="U1297" s="7" t="n">
        <v>3</v>
      </c>
      <c r="V1297" s="7" t="n">
        <v>3</v>
      </c>
      <c r="W1297" s="8" t="s">
        <v>9751</v>
      </c>
      <c r="X1297" s="8" t="s">
        <v>9751</v>
      </c>
      <c r="Y1297" s="8" t="s">
        <v>8389</v>
      </c>
      <c r="Z1297" s="8" t="s">
        <v>8389</v>
      </c>
      <c r="AA1297" s="7" t="n">
        <v>930</v>
      </c>
      <c r="AB1297" s="7" t="n">
        <v>871</v>
      </c>
      <c r="AC1297" s="7" t="n">
        <v>978</v>
      </c>
      <c r="AD1297" s="7" t="n">
        <v>9</v>
      </c>
      <c r="AE1297" s="7" t="n">
        <v>9</v>
      </c>
      <c r="AF1297" s="7" t="n">
        <v>37</v>
      </c>
      <c r="AG1297" s="7" t="n">
        <v>41</v>
      </c>
      <c r="AH1297" s="7" t="n">
        <v>15</v>
      </c>
      <c r="AI1297" s="7" t="n">
        <v>15</v>
      </c>
      <c r="AJ1297" s="7" t="n">
        <v>5</v>
      </c>
      <c r="AK1297" s="7" t="n">
        <v>7</v>
      </c>
      <c r="AL1297" s="7" t="n">
        <v>14</v>
      </c>
      <c r="AM1297" s="7" t="n">
        <v>17</v>
      </c>
      <c r="AN1297" s="7" t="n">
        <v>7</v>
      </c>
      <c r="AO1297" s="7" t="n">
        <v>7</v>
      </c>
      <c r="AP1297" s="7" t="n">
        <v>2</v>
      </c>
      <c r="AQ1297" s="7" t="n">
        <v>2</v>
      </c>
      <c r="AR1297" s="6" t="s">
        <v>63</v>
      </c>
      <c r="AS1297" s="6" t="s">
        <v>63</v>
      </c>
      <c r="AT1297" s="9" t="str">
        <f aca="false">HYPERLINK("http://catalog.hathitrust.org/Record/002139720","HathiTrust Record")</f>
        <v>HathiTrust Record</v>
      </c>
      <c r="AU1297" s="9" t="str">
        <f aca="false">HYPERLINK("https://creighton-primo.hosted.exlibrisgroup.com/primo-explore/search?tab=default_tab&amp;search_scope=EVERYTHING&amp;vid=01CRU&amp;lang=en_US&amp;offset=0&amp;query=any,contains,991002564009702656","Catalog Record")</f>
        <v>Catalog Record</v>
      </c>
      <c r="AV1297" s="9" t="str">
        <f aca="false">HYPERLINK("http://www.worldcat.org/oclc/372275","WorldCat Record")</f>
        <v>WorldCat Record</v>
      </c>
      <c r="AW1297" s="6" t="s">
        <v>9752</v>
      </c>
      <c r="AX1297" s="6" t="s">
        <v>9753</v>
      </c>
      <c r="AY1297" s="6" t="s">
        <v>9754</v>
      </c>
      <c r="AZ1297" s="6" t="s">
        <v>9754</v>
      </c>
      <c r="BA1297" s="6" t="s">
        <v>9755</v>
      </c>
      <c r="BB1297" s="28"/>
      <c r="BC1297" s="6" t="s">
        <v>9756</v>
      </c>
      <c r="BE1297" s="15" t="s">
        <v>2145</v>
      </c>
      <c r="BF1297" s="6" t="s">
        <v>9757</v>
      </c>
    </row>
    <row r="1298" customFormat="false" ht="105.5" hidden="false" customHeight="false" outlineLevel="0" collapsed="false">
      <c r="A1298" s="26" t="s">
        <v>63</v>
      </c>
      <c r="B1298" s="27" t="s">
        <v>2129</v>
      </c>
      <c r="C1298" s="27" t="s">
        <v>2130</v>
      </c>
      <c r="D1298" s="27" t="s">
        <v>9758</v>
      </c>
      <c r="E1298" s="27" t="s">
        <v>9759</v>
      </c>
      <c r="F1298" s="27" t="s">
        <v>9760</v>
      </c>
      <c r="G1298" s="28"/>
      <c r="H1298" s="6" t="s">
        <v>63</v>
      </c>
      <c r="I1298" s="6" t="s">
        <v>62</v>
      </c>
      <c r="J1298" s="6" t="s">
        <v>63</v>
      </c>
      <c r="K1298" s="6" t="s">
        <v>63</v>
      </c>
      <c r="L1298" s="6" t="s">
        <v>64</v>
      </c>
      <c r="M1298" s="27" t="s">
        <v>9761</v>
      </c>
      <c r="N1298" s="27" t="s">
        <v>9762</v>
      </c>
      <c r="O1298" s="6" t="s">
        <v>2693</v>
      </c>
      <c r="P1298" s="28"/>
      <c r="Q1298" s="6" t="s">
        <v>67</v>
      </c>
      <c r="R1298" s="6" t="s">
        <v>68</v>
      </c>
      <c r="S1298" s="27" t="s">
        <v>9763</v>
      </c>
      <c r="T1298" s="6" t="s">
        <v>6138</v>
      </c>
      <c r="U1298" s="7" t="n">
        <v>2</v>
      </c>
      <c r="V1298" s="7" t="n">
        <v>2</v>
      </c>
      <c r="W1298" s="8" t="s">
        <v>4918</v>
      </c>
      <c r="X1298" s="8" t="s">
        <v>4918</v>
      </c>
      <c r="Y1298" s="8" t="s">
        <v>8389</v>
      </c>
      <c r="Z1298" s="8" t="s">
        <v>8389</v>
      </c>
      <c r="AA1298" s="7" t="n">
        <v>352</v>
      </c>
      <c r="AB1298" s="7" t="n">
        <v>293</v>
      </c>
      <c r="AC1298" s="7" t="n">
        <v>577</v>
      </c>
      <c r="AD1298" s="7" t="n">
        <v>5</v>
      </c>
      <c r="AE1298" s="7" t="n">
        <v>5</v>
      </c>
      <c r="AF1298" s="7" t="n">
        <v>24</v>
      </c>
      <c r="AG1298" s="7" t="n">
        <v>34</v>
      </c>
      <c r="AH1298" s="7" t="n">
        <v>12</v>
      </c>
      <c r="AI1298" s="7" t="n">
        <v>15</v>
      </c>
      <c r="AJ1298" s="7" t="n">
        <v>5</v>
      </c>
      <c r="AK1298" s="7" t="n">
        <v>7</v>
      </c>
      <c r="AL1298" s="7" t="n">
        <v>9</v>
      </c>
      <c r="AM1298" s="7" t="n">
        <v>17</v>
      </c>
      <c r="AN1298" s="7" t="n">
        <v>4</v>
      </c>
      <c r="AO1298" s="7" t="n">
        <v>4</v>
      </c>
      <c r="AP1298" s="7" t="n">
        <v>0</v>
      </c>
      <c r="AQ1298" s="7" t="n">
        <v>0</v>
      </c>
      <c r="AR1298" s="6" t="s">
        <v>63</v>
      </c>
      <c r="AS1298" s="6" t="s">
        <v>57</v>
      </c>
      <c r="AT1298" s="9" t="str">
        <f aca="false">HYPERLINK("http://catalog.hathitrust.org/Record/001384589","HathiTrust Record")</f>
        <v>HathiTrust Record</v>
      </c>
      <c r="AU1298" s="9" t="str">
        <f aca="false">HYPERLINK("https://creighton-primo.hosted.exlibrisgroup.com/primo-explore/search?tab=default_tab&amp;search_scope=EVERYTHING&amp;vid=01CRU&amp;lang=en_US&amp;offset=0&amp;query=any,contains,991001928809702656","Catalog Record")</f>
        <v>Catalog Record</v>
      </c>
      <c r="AV1298" s="9" t="str">
        <f aca="false">HYPERLINK("http://www.worldcat.org/oclc/248083","WorldCat Record")</f>
        <v>WorldCat Record</v>
      </c>
      <c r="AW1298" s="6" t="s">
        <v>9764</v>
      </c>
      <c r="AX1298" s="6" t="s">
        <v>9765</v>
      </c>
      <c r="AY1298" s="6" t="s">
        <v>9766</v>
      </c>
      <c r="AZ1298" s="6" t="s">
        <v>9766</v>
      </c>
      <c r="BA1298" s="6" t="s">
        <v>9767</v>
      </c>
      <c r="BB1298" s="28"/>
      <c r="BC1298" s="6" t="s">
        <v>9768</v>
      </c>
      <c r="BE1298" s="15" t="s">
        <v>2145</v>
      </c>
      <c r="BF1298" s="6" t="s">
        <v>9769</v>
      </c>
    </row>
    <row r="1299" customFormat="false" ht="151.5" hidden="false" customHeight="false" outlineLevel="0" collapsed="false">
      <c r="A1299" s="26" t="s">
        <v>63</v>
      </c>
      <c r="B1299" s="27" t="s">
        <v>2129</v>
      </c>
      <c r="C1299" s="27" t="s">
        <v>2130</v>
      </c>
      <c r="D1299" s="27" t="s">
        <v>9770</v>
      </c>
      <c r="E1299" s="27" t="s">
        <v>9771</v>
      </c>
      <c r="F1299" s="27" t="s">
        <v>9772</v>
      </c>
      <c r="G1299" s="28"/>
      <c r="H1299" s="6" t="s">
        <v>63</v>
      </c>
      <c r="I1299" s="6" t="s">
        <v>62</v>
      </c>
      <c r="J1299" s="6" t="s">
        <v>63</v>
      </c>
      <c r="K1299" s="6" t="s">
        <v>63</v>
      </c>
      <c r="L1299" s="6" t="s">
        <v>64</v>
      </c>
      <c r="M1299" s="27" t="s">
        <v>9773</v>
      </c>
      <c r="N1299" s="27" t="s">
        <v>9774</v>
      </c>
      <c r="O1299" s="6" t="s">
        <v>254</v>
      </c>
      <c r="P1299" s="28"/>
      <c r="Q1299" s="6" t="s">
        <v>67</v>
      </c>
      <c r="R1299" s="6" t="s">
        <v>5017</v>
      </c>
      <c r="S1299" s="28"/>
      <c r="T1299" s="6" t="s">
        <v>6138</v>
      </c>
      <c r="U1299" s="7" t="n">
        <v>1</v>
      </c>
      <c r="V1299" s="7" t="n">
        <v>1</v>
      </c>
      <c r="W1299" s="8" t="s">
        <v>4264</v>
      </c>
      <c r="X1299" s="8" t="s">
        <v>4264</v>
      </c>
      <c r="Y1299" s="8" t="s">
        <v>8389</v>
      </c>
      <c r="Z1299" s="8" t="s">
        <v>8389</v>
      </c>
      <c r="AA1299" s="7" t="n">
        <v>398</v>
      </c>
      <c r="AB1299" s="7" t="n">
        <v>337</v>
      </c>
      <c r="AC1299" s="7" t="n">
        <v>402</v>
      </c>
      <c r="AD1299" s="7" t="n">
        <v>2</v>
      </c>
      <c r="AE1299" s="7" t="n">
        <v>2</v>
      </c>
      <c r="AF1299" s="7" t="n">
        <v>17</v>
      </c>
      <c r="AG1299" s="7" t="n">
        <v>21</v>
      </c>
      <c r="AH1299" s="7" t="n">
        <v>9</v>
      </c>
      <c r="AI1299" s="7" t="n">
        <v>9</v>
      </c>
      <c r="AJ1299" s="7" t="n">
        <v>4</v>
      </c>
      <c r="AK1299" s="7" t="n">
        <v>5</v>
      </c>
      <c r="AL1299" s="7" t="n">
        <v>9</v>
      </c>
      <c r="AM1299" s="7" t="n">
        <v>13</v>
      </c>
      <c r="AN1299" s="7" t="n">
        <v>1</v>
      </c>
      <c r="AO1299" s="7" t="n">
        <v>1</v>
      </c>
      <c r="AP1299" s="7" t="n">
        <v>0</v>
      </c>
      <c r="AQ1299" s="7" t="n">
        <v>0</v>
      </c>
      <c r="AR1299" s="6" t="s">
        <v>63</v>
      </c>
      <c r="AS1299" s="6" t="s">
        <v>57</v>
      </c>
      <c r="AT1299" s="9" t="str">
        <f aca="false">HYPERLINK("http://catalog.hathitrust.org/Record/001384586","HathiTrust Record")</f>
        <v>HathiTrust Record</v>
      </c>
      <c r="AU1299" s="9" t="str">
        <f aca="false">HYPERLINK("https://creighton-primo.hosted.exlibrisgroup.com/primo-explore/search?tab=default_tab&amp;search_scope=EVERYTHING&amp;vid=01CRU&amp;lang=en_US&amp;offset=0&amp;query=any,contains,991003307649702656","Catalog Record")</f>
        <v>Catalog Record</v>
      </c>
      <c r="AV1299" s="9" t="str">
        <f aca="false">HYPERLINK("http://www.worldcat.org/oclc/831204","WorldCat Record")</f>
        <v>WorldCat Record</v>
      </c>
      <c r="AW1299" s="6" t="s">
        <v>9775</v>
      </c>
      <c r="AX1299" s="6" t="s">
        <v>9776</v>
      </c>
      <c r="AY1299" s="6" t="s">
        <v>9777</v>
      </c>
      <c r="AZ1299" s="6" t="s">
        <v>9777</v>
      </c>
      <c r="BA1299" s="6" t="s">
        <v>9778</v>
      </c>
      <c r="BB1299" s="6" t="s">
        <v>9779</v>
      </c>
      <c r="BC1299" s="6" t="s">
        <v>9780</v>
      </c>
      <c r="BE1299" s="15" t="s">
        <v>2145</v>
      </c>
      <c r="BF1299" s="6" t="s">
        <v>9781</v>
      </c>
    </row>
    <row r="1300" customFormat="false" ht="59.5" hidden="false" customHeight="false" outlineLevel="0" collapsed="false">
      <c r="A1300" s="26" t="s">
        <v>63</v>
      </c>
      <c r="B1300" s="27" t="s">
        <v>2129</v>
      </c>
      <c r="C1300" s="27" t="s">
        <v>2130</v>
      </c>
      <c r="D1300" s="27" t="s">
        <v>9782</v>
      </c>
      <c r="E1300" s="27" t="s">
        <v>9783</v>
      </c>
      <c r="F1300" s="27" t="s">
        <v>9784</v>
      </c>
      <c r="G1300" s="28"/>
      <c r="H1300" s="6" t="s">
        <v>63</v>
      </c>
      <c r="I1300" s="6" t="s">
        <v>62</v>
      </c>
      <c r="J1300" s="6" t="s">
        <v>63</v>
      </c>
      <c r="K1300" s="6" t="s">
        <v>63</v>
      </c>
      <c r="L1300" s="6" t="s">
        <v>64</v>
      </c>
      <c r="M1300" s="27" t="s">
        <v>9785</v>
      </c>
      <c r="N1300" s="27" t="s">
        <v>9786</v>
      </c>
      <c r="O1300" s="6" t="s">
        <v>3029</v>
      </c>
      <c r="P1300" s="28"/>
      <c r="Q1300" s="6" t="s">
        <v>67</v>
      </c>
      <c r="R1300" s="6" t="s">
        <v>68</v>
      </c>
      <c r="S1300" s="28"/>
      <c r="T1300" s="6" t="s">
        <v>6138</v>
      </c>
      <c r="U1300" s="7" t="n">
        <v>4</v>
      </c>
      <c r="V1300" s="7" t="n">
        <v>4</v>
      </c>
      <c r="W1300" s="8" t="s">
        <v>9787</v>
      </c>
      <c r="X1300" s="8" t="s">
        <v>9787</v>
      </c>
      <c r="Y1300" s="8" t="s">
        <v>8389</v>
      </c>
      <c r="Z1300" s="8" t="s">
        <v>8389</v>
      </c>
      <c r="AA1300" s="7" t="n">
        <v>425</v>
      </c>
      <c r="AB1300" s="7" t="n">
        <v>364</v>
      </c>
      <c r="AC1300" s="7" t="n">
        <v>566</v>
      </c>
      <c r="AD1300" s="7" t="n">
        <v>1</v>
      </c>
      <c r="AE1300" s="7" t="n">
        <v>4</v>
      </c>
      <c r="AF1300" s="7" t="n">
        <v>11</v>
      </c>
      <c r="AG1300" s="7" t="n">
        <v>27</v>
      </c>
      <c r="AH1300" s="7" t="n">
        <v>4</v>
      </c>
      <c r="AI1300" s="7" t="n">
        <v>12</v>
      </c>
      <c r="AJ1300" s="7" t="n">
        <v>4</v>
      </c>
      <c r="AK1300" s="7" t="n">
        <v>7</v>
      </c>
      <c r="AL1300" s="7" t="n">
        <v>10</v>
      </c>
      <c r="AM1300" s="7" t="n">
        <v>16</v>
      </c>
      <c r="AN1300" s="7" t="n">
        <v>0</v>
      </c>
      <c r="AO1300" s="7" t="n">
        <v>3</v>
      </c>
      <c r="AP1300" s="7" t="n">
        <v>0</v>
      </c>
      <c r="AQ1300" s="7" t="n">
        <v>0</v>
      </c>
      <c r="AR1300" s="6" t="s">
        <v>57</v>
      </c>
      <c r="AS1300" s="6" t="s">
        <v>63</v>
      </c>
      <c r="AT1300" s="9" t="str">
        <f aca="false">HYPERLINK("http://catalog.hathitrust.org/Record/007153296","HathiTrust Record")</f>
        <v>HathiTrust Record</v>
      </c>
      <c r="AU1300" s="9" t="str">
        <f aca="false">HYPERLINK("https://creighton-primo.hosted.exlibrisgroup.com/primo-explore/search?tab=default_tab&amp;search_scope=EVERYTHING&amp;vid=01CRU&amp;lang=en_US&amp;offset=0&amp;query=any,contains,991002264179702656","Catalog Record")</f>
        <v>Catalog Record</v>
      </c>
      <c r="AV1300" s="9" t="str">
        <f aca="false">HYPERLINK("http://www.worldcat.org/oclc/306285","WorldCat Record")</f>
        <v>WorldCat Record</v>
      </c>
      <c r="AW1300" s="6" t="s">
        <v>9788</v>
      </c>
      <c r="AX1300" s="6" t="s">
        <v>9789</v>
      </c>
      <c r="AY1300" s="6" t="s">
        <v>9790</v>
      </c>
      <c r="AZ1300" s="6" t="s">
        <v>9790</v>
      </c>
      <c r="BA1300" s="6" t="s">
        <v>9791</v>
      </c>
      <c r="BB1300" s="28"/>
      <c r="BC1300" s="6" t="s">
        <v>9792</v>
      </c>
      <c r="BE1300" s="15" t="s">
        <v>2145</v>
      </c>
      <c r="BF1300" s="6" t="s">
        <v>9793</v>
      </c>
    </row>
    <row r="1301" customFormat="false" ht="209" hidden="false" customHeight="false" outlineLevel="0" collapsed="false">
      <c r="A1301" s="26" t="s">
        <v>63</v>
      </c>
      <c r="B1301" s="27" t="s">
        <v>2129</v>
      </c>
      <c r="C1301" s="27" t="s">
        <v>2130</v>
      </c>
      <c r="D1301" s="27" t="s">
        <v>9794</v>
      </c>
      <c r="E1301" s="27" t="s">
        <v>9795</v>
      </c>
      <c r="F1301" s="27" t="s">
        <v>9796</v>
      </c>
      <c r="G1301" s="28"/>
      <c r="H1301" s="6" t="s">
        <v>63</v>
      </c>
      <c r="I1301" s="6" t="s">
        <v>62</v>
      </c>
      <c r="J1301" s="6" t="s">
        <v>63</v>
      </c>
      <c r="K1301" s="6" t="s">
        <v>63</v>
      </c>
      <c r="L1301" s="6" t="s">
        <v>64</v>
      </c>
      <c r="M1301" s="27" t="s">
        <v>9797</v>
      </c>
      <c r="N1301" s="27" t="s">
        <v>9798</v>
      </c>
      <c r="O1301" s="6" t="s">
        <v>7428</v>
      </c>
      <c r="P1301" s="28"/>
      <c r="Q1301" s="6" t="s">
        <v>67</v>
      </c>
      <c r="R1301" s="6" t="s">
        <v>9799</v>
      </c>
      <c r="S1301" s="27" t="s">
        <v>9800</v>
      </c>
      <c r="T1301" s="6" t="s">
        <v>6138</v>
      </c>
      <c r="U1301" s="7" t="n">
        <v>3</v>
      </c>
      <c r="V1301" s="7" t="n">
        <v>3</v>
      </c>
      <c r="W1301" s="8" t="s">
        <v>9801</v>
      </c>
      <c r="X1301" s="8" t="s">
        <v>9801</v>
      </c>
      <c r="Y1301" s="8" t="s">
        <v>9694</v>
      </c>
      <c r="Z1301" s="8" t="s">
        <v>9694</v>
      </c>
      <c r="AA1301" s="7" t="n">
        <v>356</v>
      </c>
      <c r="AB1301" s="7" t="n">
        <v>282</v>
      </c>
      <c r="AC1301" s="7" t="n">
        <v>291</v>
      </c>
      <c r="AD1301" s="7" t="n">
        <v>3</v>
      </c>
      <c r="AE1301" s="7" t="n">
        <v>3</v>
      </c>
      <c r="AF1301" s="7" t="n">
        <v>21</v>
      </c>
      <c r="AG1301" s="7" t="n">
        <v>21</v>
      </c>
      <c r="AH1301" s="7" t="n">
        <v>5</v>
      </c>
      <c r="AI1301" s="7" t="n">
        <v>5</v>
      </c>
      <c r="AJ1301" s="7" t="n">
        <v>7</v>
      </c>
      <c r="AK1301" s="7" t="n">
        <v>7</v>
      </c>
      <c r="AL1301" s="7" t="n">
        <v>13</v>
      </c>
      <c r="AM1301" s="7" t="n">
        <v>13</v>
      </c>
      <c r="AN1301" s="7" t="n">
        <v>0</v>
      </c>
      <c r="AO1301" s="7" t="n">
        <v>0</v>
      </c>
      <c r="AP1301" s="7" t="n">
        <v>0</v>
      </c>
      <c r="AQ1301" s="7" t="n">
        <v>0</v>
      </c>
      <c r="AR1301" s="6" t="s">
        <v>63</v>
      </c>
      <c r="AS1301" s="6" t="s">
        <v>57</v>
      </c>
      <c r="AT1301" s="9" t="str">
        <f aca="false">HYPERLINK("http://catalog.hathitrust.org/Record/000083285","HathiTrust Record")</f>
        <v>HathiTrust Record</v>
      </c>
      <c r="AU1301" s="9" t="str">
        <f aca="false">HYPERLINK("https://creighton-primo.hosted.exlibrisgroup.com/primo-explore/search?tab=default_tab&amp;search_scope=EVERYTHING&amp;vid=01CRU&amp;lang=en_US&amp;offset=0&amp;query=any,contains,991004145809702656","Catalog Record")</f>
        <v>Catalog Record</v>
      </c>
      <c r="AV1301" s="9" t="str">
        <f aca="false">HYPERLINK("http://www.worldcat.org/oclc/2509731","WorldCat Record")</f>
        <v>WorldCat Record</v>
      </c>
      <c r="AW1301" s="6" t="s">
        <v>9802</v>
      </c>
      <c r="AX1301" s="6" t="s">
        <v>9803</v>
      </c>
      <c r="AY1301" s="6" t="s">
        <v>9804</v>
      </c>
      <c r="AZ1301" s="6" t="s">
        <v>9804</v>
      </c>
      <c r="BA1301" s="6" t="s">
        <v>9805</v>
      </c>
      <c r="BB1301" s="6" t="s">
        <v>9806</v>
      </c>
      <c r="BC1301" s="6" t="s">
        <v>9807</v>
      </c>
      <c r="BE1301" s="15" t="s">
        <v>2145</v>
      </c>
      <c r="BF1301" s="6" t="s">
        <v>9808</v>
      </c>
    </row>
    <row r="1302" customFormat="false" ht="105.5" hidden="false" customHeight="false" outlineLevel="0" collapsed="false">
      <c r="A1302" s="26" t="s">
        <v>63</v>
      </c>
      <c r="B1302" s="27" t="s">
        <v>2129</v>
      </c>
      <c r="C1302" s="27" t="s">
        <v>2130</v>
      </c>
      <c r="D1302" s="27" t="s">
        <v>9809</v>
      </c>
      <c r="E1302" s="27" t="s">
        <v>9810</v>
      </c>
      <c r="F1302" s="27" t="s">
        <v>9811</v>
      </c>
      <c r="G1302" s="28"/>
      <c r="H1302" s="6" t="s">
        <v>63</v>
      </c>
      <c r="I1302" s="6" t="s">
        <v>62</v>
      </c>
      <c r="J1302" s="6" t="s">
        <v>63</v>
      </c>
      <c r="K1302" s="6" t="s">
        <v>63</v>
      </c>
      <c r="L1302" s="6" t="s">
        <v>64</v>
      </c>
      <c r="M1302" s="27" t="s">
        <v>8967</v>
      </c>
      <c r="N1302" s="27" t="s">
        <v>9812</v>
      </c>
      <c r="O1302" s="6" t="s">
        <v>9303</v>
      </c>
      <c r="P1302" s="28"/>
      <c r="Q1302" s="6" t="s">
        <v>67</v>
      </c>
      <c r="R1302" s="6" t="s">
        <v>1224</v>
      </c>
      <c r="S1302" s="28"/>
      <c r="T1302" s="6" t="s">
        <v>6138</v>
      </c>
      <c r="U1302" s="7" t="n">
        <v>7</v>
      </c>
      <c r="V1302" s="7" t="n">
        <v>7</v>
      </c>
      <c r="W1302" s="8" t="s">
        <v>9813</v>
      </c>
      <c r="X1302" s="8" t="s">
        <v>9813</v>
      </c>
      <c r="Y1302" s="8" t="s">
        <v>8389</v>
      </c>
      <c r="Z1302" s="8" t="s">
        <v>8389</v>
      </c>
      <c r="AA1302" s="7" t="n">
        <v>216</v>
      </c>
      <c r="AB1302" s="7" t="n">
        <v>186</v>
      </c>
      <c r="AC1302" s="7" t="n">
        <v>508</v>
      </c>
      <c r="AD1302" s="7" t="n">
        <v>2</v>
      </c>
      <c r="AE1302" s="7" t="n">
        <v>2</v>
      </c>
      <c r="AF1302" s="7" t="n">
        <v>10</v>
      </c>
      <c r="AG1302" s="7" t="n">
        <v>27</v>
      </c>
      <c r="AH1302" s="7" t="n">
        <v>2</v>
      </c>
      <c r="AI1302" s="7" t="n">
        <v>11</v>
      </c>
      <c r="AJ1302" s="7" t="n">
        <v>2</v>
      </c>
      <c r="AK1302" s="7" t="n">
        <v>7</v>
      </c>
      <c r="AL1302" s="7" t="n">
        <v>8</v>
      </c>
      <c r="AM1302" s="7" t="n">
        <v>17</v>
      </c>
      <c r="AN1302" s="7" t="n">
        <v>1</v>
      </c>
      <c r="AO1302" s="7" t="n">
        <v>1</v>
      </c>
      <c r="AP1302" s="7" t="n">
        <v>0</v>
      </c>
      <c r="AQ1302" s="7" t="n">
        <v>0</v>
      </c>
      <c r="AR1302" s="6" t="s">
        <v>57</v>
      </c>
      <c r="AS1302" s="6" t="s">
        <v>63</v>
      </c>
      <c r="AT1302" s="9" t="str">
        <f aca="false">HYPERLINK("http://catalog.hathitrust.org/Record/005405094","HathiTrust Record")</f>
        <v>HathiTrust Record</v>
      </c>
      <c r="AU1302" s="9" t="str">
        <f aca="false">HYPERLINK("https://creighton-primo.hosted.exlibrisgroup.com/primo-explore/search?tab=default_tab&amp;search_scope=EVERYTHING&amp;vid=01CRU&amp;lang=en_US&amp;offset=0&amp;query=any,contains,991003781369702656","Catalog Record")</f>
        <v>Catalog Record</v>
      </c>
      <c r="AV1302" s="9" t="str">
        <f aca="false">HYPERLINK("http://www.worldcat.org/oclc/1495130","WorldCat Record")</f>
        <v>WorldCat Record</v>
      </c>
      <c r="AW1302" s="6" t="s">
        <v>9814</v>
      </c>
      <c r="AX1302" s="6" t="s">
        <v>9815</v>
      </c>
      <c r="AY1302" s="6" t="s">
        <v>9816</v>
      </c>
      <c r="AZ1302" s="6" t="s">
        <v>9816</v>
      </c>
      <c r="BA1302" s="6" t="s">
        <v>9817</v>
      </c>
      <c r="BB1302" s="28"/>
      <c r="BC1302" s="6" t="s">
        <v>9818</v>
      </c>
      <c r="BE1302" s="15" t="s">
        <v>2145</v>
      </c>
      <c r="BF1302" s="6" t="s">
        <v>9819</v>
      </c>
    </row>
    <row r="1303" customFormat="false" ht="105.5" hidden="false" customHeight="false" outlineLevel="0" collapsed="false">
      <c r="A1303" s="26" t="s">
        <v>57</v>
      </c>
      <c r="B1303" s="27" t="s">
        <v>2129</v>
      </c>
      <c r="C1303" s="27" t="s">
        <v>2130</v>
      </c>
      <c r="D1303" s="27" t="s">
        <v>9820</v>
      </c>
      <c r="E1303" s="27" t="s">
        <v>9821</v>
      </c>
      <c r="F1303" s="27" t="s">
        <v>9822</v>
      </c>
      <c r="G1303" s="28"/>
      <c r="H1303" s="6" t="s">
        <v>63</v>
      </c>
      <c r="I1303" s="6" t="s">
        <v>62</v>
      </c>
      <c r="J1303" s="6" t="s">
        <v>63</v>
      </c>
      <c r="K1303" s="6" t="s">
        <v>63</v>
      </c>
      <c r="L1303" s="6" t="s">
        <v>64</v>
      </c>
      <c r="M1303" s="27" t="s">
        <v>9823</v>
      </c>
      <c r="N1303" s="27" t="s">
        <v>9824</v>
      </c>
      <c r="O1303" s="6" t="s">
        <v>2411</v>
      </c>
      <c r="P1303" s="28"/>
      <c r="Q1303" s="6" t="s">
        <v>67</v>
      </c>
      <c r="R1303" s="6" t="s">
        <v>222</v>
      </c>
      <c r="S1303" s="28"/>
      <c r="T1303" s="6" t="s">
        <v>6138</v>
      </c>
      <c r="U1303" s="7" t="n">
        <v>5</v>
      </c>
      <c r="V1303" s="7" t="n">
        <v>5</v>
      </c>
      <c r="W1303" s="8" t="s">
        <v>9825</v>
      </c>
      <c r="X1303" s="8" t="s">
        <v>9825</v>
      </c>
      <c r="Y1303" s="8" t="s">
        <v>9826</v>
      </c>
      <c r="Z1303" s="8" t="s">
        <v>9826</v>
      </c>
      <c r="AA1303" s="7" t="n">
        <v>361</v>
      </c>
      <c r="AB1303" s="7" t="n">
        <v>274</v>
      </c>
      <c r="AC1303" s="7" t="n">
        <v>335</v>
      </c>
      <c r="AD1303" s="7" t="n">
        <v>2</v>
      </c>
      <c r="AE1303" s="7" t="n">
        <v>2</v>
      </c>
      <c r="AF1303" s="7" t="n">
        <v>16</v>
      </c>
      <c r="AG1303" s="7" t="n">
        <v>19</v>
      </c>
      <c r="AH1303" s="7" t="n">
        <v>3</v>
      </c>
      <c r="AI1303" s="7" t="n">
        <v>6</v>
      </c>
      <c r="AJ1303" s="7" t="n">
        <v>7</v>
      </c>
      <c r="AK1303" s="7" t="n">
        <v>8</v>
      </c>
      <c r="AL1303" s="7" t="n">
        <v>8</v>
      </c>
      <c r="AM1303" s="7" t="n">
        <v>9</v>
      </c>
      <c r="AN1303" s="7" t="n">
        <v>1</v>
      </c>
      <c r="AO1303" s="7" t="n">
        <v>1</v>
      </c>
      <c r="AP1303" s="7" t="n">
        <v>0</v>
      </c>
      <c r="AQ1303" s="7" t="n">
        <v>0</v>
      </c>
      <c r="AR1303" s="6" t="s">
        <v>63</v>
      </c>
      <c r="AS1303" s="6" t="s">
        <v>63</v>
      </c>
      <c r="AT1303" s="28"/>
      <c r="AU1303" s="9" t="str">
        <f aca="false">HYPERLINK("https://creighton-primo.hosted.exlibrisgroup.com/primo-explore/search?tab=default_tab&amp;search_scope=EVERYTHING&amp;vid=01CRU&amp;lang=en_US&amp;offset=0&amp;query=any,contains,991001384459702656","Catalog Record")</f>
        <v>Catalog Record</v>
      </c>
      <c r="AV1303" s="9" t="str">
        <f aca="false">HYPERLINK("http://www.worldcat.org/oclc/18715124","WorldCat Record")</f>
        <v>WorldCat Record</v>
      </c>
      <c r="AW1303" s="6" t="s">
        <v>9827</v>
      </c>
      <c r="AX1303" s="6" t="s">
        <v>9828</v>
      </c>
      <c r="AY1303" s="6" t="s">
        <v>9829</v>
      </c>
      <c r="AZ1303" s="6" t="s">
        <v>9829</v>
      </c>
      <c r="BA1303" s="6" t="s">
        <v>9830</v>
      </c>
      <c r="BB1303" s="6" t="s">
        <v>9831</v>
      </c>
      <c r="BC1303" s="6" t="s">
        <v>9832</v>
      </c>
      <c r="BE1303" s="15" t="s">
        <v>2145</v>
      </c>
      <c r="BF1303" s="6" t="s">
        <v>9833</v>
      </c>
    </row>
    <row r="1304" customFormat="false" ht="151.5" hidden="false" customHeight="false" outlineLevel="0" collapsed="false">
      <c r="A1304" s="26" t="s">
        <v>57</v>
      </c>
      <c r="B1304" s="27" t="s">
        <v>2129</v>
      </c>
      <c r="C1304" s="27" t="s">
        <v>2130</v>
      </c>
      <c r="D1304" s="27" t="s">
        <v>9834</v>
      </c>
      <c r="E1304" s="27" t="s">
        <v>9835</v>
      </c>
      <c r="F1304" s="27" t="s">
        <v>9836</v>
      </c>
      <c r="G1304" s="28"/>
      <c r="H1304" s="6" t="s">
        <v>63</v>
      </c>
      <c r="I1304" s="6" t="s">
        <v>62</v>
      </c>
      <c r="J1304" s="6" t="s">
        <v>63</v>
      </c>
      <c r="K1304" s="6" t="s">
        <v>63</v>
      </c>
      <c r="L1304" s="6" t="s">
        <v>64</v>
      </c>
      <c r="M1304" s="27" t="s">
        <v>9837</v>
      </c>
      <c r="N1304" s="27" t="s">
        <v>9838</v>
      </c>
      <c r="O1304" s="6" t="s">
        <v>264</v>
      </c>
      <c r="P1304" s="28"/>
      <c r="Q1304" s="6" t="s">
        <v>67</v>
      </c>
      <c r="R1304" s="6" t="s">
        <v>500</v>
      </c>
      <c r="S1304" s="27" t="s">
        <v>9839</v>
      </c>
      <c r="T1304" s="6" t="s">
        <v>6138</v>
      </c>
      <c r="U1304" s="7" t="n">
        <v>2</v>
      </c>
      <c r="V1304" s="7" t="n">
        <v>2</v>
      </c>
      <c r="W1304" s="8" t="s">
        <v>9840</v>
      </c>
      <c r="X1304" s="8" t="s">
        <v>9840</v>
      </c>
      <c r="Y1304" s="8" t="s">
        <v>8389</v>
      </c>
      <c r="Z1304" s="8" t="s">
        <v>8389</v>
      </c>
      <c r="AA1304" s="7" t="n">
        <v>335</v>
      </c>
      <c r="AB1304" s="7" t="n">
        <v>272</v>
      </c>
      <c r="AC1304" s="7" t="n">
        <v>284</v>
      </c>
      <c r="AD1304" s="7" t="n">
        <v>2</v>
      </c>
      <c r="AE1304" s="7" t="n">
        <v>2</v>
      </c>
      <c r="AF1304" s="7" t="n">
        <v>14</v>
      </c>
      <c r="AG1304" s="7" t="n">
        <v>14</v>
      </c>
      <c r="AH1304" s="7" t="n">
        <v>5</v>
      </c>
      <c r="AI1304" s="7" t="n">
        <v>5</v>
      </c>
      <c r="AJ1304" s="7" t="n">
        <v>2</v>
      </c>
      <c r="AK1304" s="7" t="n">
        <v>2</v>
      </c>
      <c r="AL1304" s="7" t="n">
        <v>9</v>
      </c>
      <c r="AM1304" s="7" t="n">
        <v>9</v>
      </c>
      <c r="AN1304" s="7" t="n">
        <v>1</v>
      </c>
      <c r="AO1304" s="7" t="n">
        <v>1</v>
      </c>
      <c r="AP1304" s="7" t="n">
        <v>0</v>
      </c>
      <c r="AQ1304" s="7" t="n">
        <v>0</v>
      </c>
      <c r="AR1304" s="6" t="s">
        <v>63</v>
      </c>
      <c r="AS1304" s="6" t="s">
        <v>57</v>
      </c>
      <c r="AT1304" s="9" t="str">
        <f aca="false">HYPERLINK("http://catalog.hathitrust.org/Record/007128036","HathiTrust Record")</f>
        <v>HathiTrust Record</v>
      </c>
      <c r="AU1304" s="9" t="str">
        <f aca="false">HYPERLINK("https://creighton-primo.hosted.exlibrisgroup.com/primo-explore/search?tab=default_tab&amp;search_scope=EVERYTHING&amp;vid=01CRU&amp;lang=en_US&amp;offset=0&amp;query=any,contains,991000425669702656","Catalog Record")</f>
        <v>Catalog Record</v>
      </c>
      <c r="AV1304" s="9" t="str">
        <f aca="false">HYPERLINK("http://www.worldcat.org/oclc/75020","WorldCat Record")</f>
        <v>WorldCat Record</v>
      </c>
      <c r="AW1304" s="6" t="s">
        <v>9841</v>
      </c>
      <c r="AX1304" s="6" t="s">
        <v>9842</v>
      </c>
      <c r="AY1304" s="6" t="s">
        <v>9843</v>
      </c>
      <c r="AZ1304" s="6" t="s">
        <v>9843</v>
      </c>
      <c r="BA1304" s="6" t="s">
        <v>9844</v>
      </c>
      <c r="BB1304" s="28"/>
      <c r="BC1304" s="6" t="s">
        <v>9845</v>
      </c>
      <c r="BE1304" s="15" t="s">
        <v>2145</v>
      </c>
      <c r="BF1304" s="6" t="s">
        <v>9846</v>
      </c>
    </row>
    <row r="1305" customFormat="false" ht="117" hidden="false" customHeight="false" outlineLevel="0" collapsed="false">
      <c r="A1305" s="26" t="s">
        <v>63</v>
      </c>
      <c r="B1305" s="27" t="s">
        <v>2129</v>
      </c>
      <c r="C1305" s="27" t="s">
        <v>2130</v>
      </c>
      <c r="D1305" s="27" t="s">
        <v>9847</v>
      </c>
      <c r="E1305" s="27" t="s">
        <v>9848</v>
      </c>
      <c r="F1305" s="27" t="s">
        <v>9849</v>
      </c>
      <c r="G1305" s="28"/>
      <c r="H1305" s="6" t="s">
        <v>63</v>
      </c>
      <c r="I1305" s="6" t="s">
        <v>62</v>
      </c>
      <c r="J1305" s="6" t="s">
        <v>63</v>
      </c>
      <c r="K1305" s="6" t="s">
        <v>57</v>
      </c>
      <c r="L1305" s="6" t="s">
        <v>64</v>
      </c>
      <c r="M1305" s="27" t="s">
        <v>9837</v>
      </c>
      <c r="N1305" s="27" t="s">
        <v>9850</v>
      </c>
      <c r="O1305" s="6" t="s">
        <v>9851</v>
      </c>
      <c r="P1305" s="28"/>
      <c r="Q1305" s="6" t="s">
        <v>67</v>
      </c>
      <c r="R1305" s="6" t="s">
        <v>1059</v>
      </c>
      <c r="S1305" s="28"/>
      <c r="T1305" s="6" t="s">
        <v>6138</v>
      </c>
      <c r="U1305" s="7" t="n">
        <v>1</v>
      </c>
      <c r="V1305" s="7" t="n">
        <v>1</v>
      </c>
      <c r="W1305" s="8" t="s">
        <v>9852</v>
      </c>
      <c r="X1305" s="8" t="s">
        <v>9852</v>
      </c>
      <c r="Y1305" s="8" t="s">
        <v>8389</v>
      </c>
      <c r="Z1305" s="8" t="s">
        <v>8389</v>
      </c>
      <c r="AA1305" s="7" t="n">
        <v>79</v>
      </c>
      <c r="AB1305" s="7" t="n">
        <v>38</v>
      </c>
      <c r="AC1305" s="7" t="n">
        <v>777</v>
      </c>
      <c r="AD1305" s="7" t="n">
        <v>1</v>
      </c>
      <c r="AE1305" s="7" t="n">
        <v>6</v>
      </c>
      <c r="AF1305" s="7" t="n">
        <v>1</v>
      </c>
      <c r="AG1305" s="7" t="n">
        <v>32</v>
      </c>
      <c r="AH1305" s="7" t="n">
        <v>1</v>
      </c>
      <c r="AI1305" s="7" t="n">
        <v>14</v>
      </c>
      <c r="AJ1305" s="7" t="n">
        <v>0</v>
      </c>
      <c r="AK1305" s="7" t="n">
        <v>8</v>
      </c>
      <c r="AL1305" s="7" t="n">
        <v>0</v>
      </c>
      <c r="AM1305" s="7" t="n">
        <v>17</v>
      </c>
      <c r="AN1305" s="7" t="n">
        <v>0</v>
      </c>
      <c r="AO1305" s="7" t="n">
        <v>4</v>
      </c>
      <c r="AP1305" s="7" t="n">
        <v>0</v>
      </c>
      <c r="AQ1305" s="7" t="n">
        <v>0</v>
      </c>
      <c r="AR1305" s="6" t="s">
        <v>57</v>
      </c>
      <c r="AS1305" s="6" t="s">
        <v>63</v>
      </c>
      <c r="AT1305" s="9" t="str">
        <f aca="false">HYPERLINK("http://catalog.hathitrust.org/Record/100141407","HathiTrust Record")</f>
        <v>HathiTrust Record</v>
      </c>
      <c r="AU1305" s="9" t="str">
        <f aca="false">HYPERLINK("https://creighton-primo.hosted.exlibrisgroup.com/primo-explore/search?tab=default_tab&amp;search_scope=EVERYTHING&amp;vid=01CRU&amp;lang=en_US&amp;offset=0&amp;query=any,contains,991004640509702656","Catalog Record")</f>
        <v>Catalog Record</v>
      </c>
      <c r="AV1305" s="9" t="str">
        <f aca="false">HYPERLINK("http://www.worldcat.org/oclc/4456071","WorldCat Record")</f>
        <v>WorldCat Record</v>
      </c>
      <c r="AW1305" s="6" t="s">
        <v>9853</v>
      </c>
      <c r="AX1305" s="6" t="s">
        <v>9854</v>
      </c>
      <c r="AY1305" s="6" t="s">
        <v>9855</v>
      </c>
      <c r="AZ1305" s="6" t="s">
        <v>9855</v>
      </c>
      <c r="BA1305" s="6" t="s">
        <v>9856</v>
      </c>
      <c r="BB1305" s="28"/>
      <c r="BC1305" s="6" t="s">
        <v>9857</v>
      </c>
      <c r="BE1305" s="15" t="s">
        <v>2145</v>
      </c>
      <c r="BF1305" s="6" t="s">
        <v>9858</v>
      </c>
    </row>
    <row r="1306" customFormat="false" ht="209" hidden="false" customHeight="false" outlineLevel="0" collapsed="false">
      <c r="A1306" s="26" t="s">
        <v>63</v>
      </c>
      <c r="B1306" s="27" t="s">
        <v>2129</v>
      </c>
      <c r="C1306" s="27" t="s">
        <v>2130</v>
      </c>
      <c r="D1306" s="27" t="s">
        <v>9859</v>
      </c>
      <c r="E1306" s="27" t="s">
        <v>9860</v>
      </c>
      <c r="F1306" s="27" t="s">
        <v>9861</v>
      </c>
      <c r="G1306" s="28"/>
      <c r="H1306" s="6" t="s">
        <v>63</v>
      </c>
      <c r="I1306" s="6" t="s">
        <v>62</v>
      </c>
      <c r="J1306" s="6" t="s">
        <v>57</v>
      </c>
      <c r="K1306" s="6" t="s">
        <v>63</v>
      </c>
      <c r="L1306" s="6" t="s">
        <v>64</v>
      </c>
      <c r="M1306" s="27" t="s">
        <v>9837</v>
      </c>
      <c r="N1306" s="27" t="s">
        <v>9862</v>
      </c>
      <c r="O1306" s="6" t="s">
        <v>4833</v>
      </c>
      <c r="P1306" s="27" t="s">
        <v>9863</v>
      </c>
      <c r="Q1306" s="6" t="s">
        <v>67</v>
      </c>
      <c r="R1306" s="6" t="s">
        <v>68</v>
      </c>
      <c r="S1306" s="28"/>
      <c r="T1306" s="6" t="s">
        <v>6138</v>
      </c>
      <c r="U1306" s="7" t="n">
        <v>1</v>
      </c>
      <c r="V1306" s="7" t="n">
        <v>1</v>
      </c>
      <c r="W1306" s="8" t="s">
        <v>9852</v>
      </c>
      <c r="X1306" s="8" t="s">
        <v>9852</v>
      </c>
      <c r="Y1306" s="8" t="s">
        <v>8389</v>
      </c>
      <c r="Z1306" s="8" t="s">
        <v>8389</v>
      </c>
      <c r="AA1306" s="7" t="n">
        <v>657</v>
      </c>
      <c r="AB1306" s="7" t="n">
        <v>570</v>
      </c>
      <c r="AC1306" s="7" t="n">
        <v>1032</v>
      </c>
      <c r="AD1306" s="7" t="n">
        <v>6</v>
      </c>
      <c r="AE1306" s="7" t="n">
        <v>10</v>
      </c>
      <c r="AF1306" s="7" t="n">
        <v>27</v>
      </c>
      <c r="AG1306" s="7" t="n">
        <v>46</v>
      </c>
      <c r="AH1306" s="7" t="n">
        <v>8</v>
      </c>
      <c r="AI1306" s="7" t="n">
        <v>18</v>
      </c>
      <c r="AJ1306" s="7" t="n">
        <v>5</v>
      </c>
      <c r="AK1306" s="7" t="n">
        <v>9</v>
      </c>
      <c r="AL1306" s="7" t="n">
        <v>13</v>
      </c>
      <c r="AM1306" s="7" t="n">
        <v>23</v>
      </c>
      <c r="AN1306" s="7" t="n">
        <v>5</v>
      </c>
      <c r="AO1306" s="7" t="n">
        <v>8</v>
      </c>
      <c r="AP1306" s="7" t="n">
        <v>0</v>
      </c>
      <c r="AQ1306" s="7" t="n">
        <v>0</v>
      </c>
      <c r="AR1306" s="6" t="s">
        <v>63</v>
      </c>
      <c r="AS1306" s="6" t="s">
        <v>57</v>
      </c>
      <c r="AT1306" s="9" t="str">
        <f aca="false">HYPERLINK("http://catalog.hathitrust.org/Record/001384644","HathiTrust Record")</f>
        <v>HathiTrust Record</v>
      </c>
      <c r="AU1306" s="9" t="str">
        <f aca="false">HYPERLINK("https://creighton-primo.hosted.exlibrisgroup.com/primo-explore/search?tab=default_tab&amp;search_scope=EVERYTHING&amp;vid=01CRU&amp;lang=en_US&amp;offset=0&amp;query=any,contains,991003425849702656","Catalog Record")</f>
        <v>Catalog Record</v>
      </c>
      <c r="AV1306" s="9" t="str">
        <f aca="false">HYPERLINK("http://www.worldcat.org/oclc/964591","WorldCat Record")</f>
        <v>WorldCat Record</v>
      </c>
      <c r="AW1306" s="6" t="s">
        <v>9864</v>
      </c>
      <c r="AX1306" s="6" t="s">
        <v>9865</v>
      </c>
      <c r="AY1306" s="6" t="s">
        <v>9866</v>
      </c>
      <c r="AZ1306" s="6" t="s">
        <v>9866</v>
      </c>
      <c r="BA1306" s="6" t="s">
        <v>9867</v>
      </c>
      <c r="BB1306" s="28"/>
      <c r="BC1306" s="6" t="s">
        <v>9868</v>
      </c>
      <c r="BE1306" s="15" t="s">
        <v>2145</v>
      </c>
      <c r="BF1306" s="6" t="s">
        <v>9869</v>
      </c>
    </row>
    <row r="1307" customFormat="false" ht="209" hidden="false" customHeight="false" outlineLevel="0" collapsed="false">
      <c r="A1307" s="26" t="s">
        <v>63</v>
      </c>
      <c r="B1307" s="27" t="s">
        <v>2129</v>
      </c>
      <c r="C1307" s="27" t="s">
        <v>2130</v>
      </c>
      <c r="D1307" s="27" t="s">
        <v>9859</v>
      </c>
      <c r="E1307" s="27" t="s">
        <v>9860</v>
      </c>
      <c r="F1307" s="27" t="s">
        <v>9861</v>
      </c>
      <c r="G1307" s="28"/>
      <c r="H1307" s="6" t="s">
        <v>63</v>
      </c>
      <c r="I1307" s="6" t="s">
        <v>62</v>
      </c>
      <c r="J1307" s="6" t="s">
        <v>57</v>
      </c>
      <c r="K1307" s="6" t="s">
        <v>63</v>
      </c>
      <c r="L1307" s="6" t="s">
        <v>64</v>
      </c>
      <c r="M1307" s="27" t="s">
        <v>9837</v>
      </c>
      <c r="N1307" s="27" t="s">
        <v>9862</v>
      </c>
      <c r="O1307" s="6" t="s">
        <v>4833</v>
      </c>
      <c r="P1307" s="27" t="s">
        <v>9863</v>
      </c>
      <c r="Q1307" s="6" t="s">
        <v>67</v>
      </c>
      <c r="R1307" s="6" t="s">
        <v>68</v>
      </c>
      <c r="S1307" s="28"/>
      <c r="T1307" s="6" t="s">
        <v>6138</v>
      </c>
      <c r="U1307" s="7" t="n">
        <v>0</v>
      </c>
      <c r="V1307" s="7" t="n">
        <v>1</v>
      </c>
      <c r="W1307" s="28"/>
      <c r="X1307" s="8" t="s">
        <v>9852</v>
      </c>
      <c r="Y1307" s="8" t="s">
        <v>8389</v>
      </c>
      <c r="Z1307" s="8" t="s">
        <v>8389</v>
      </c>
      <c r="AA1307" s="7" t="n">
        <v>657</v>
      </c>
      <c r="AB1307" s="7" t="n">
        <v>570</v>
      </c>
      <c r="AC1307" s="7" t="n">
        <v>1032</v>
      </c>
      <c r="AD1307" s="7" t="n">
        <v>6</v>
      </c>
      <c r="AE1307" s="7" t="n">
        <v>10</v>
      </c>
      <c r="AF1307" s="7" t="n">
        <v>27</v>
      </c>
      <c r="AG1307" s="7" t="n">
        <v>46</v>
      </c>
      <c r="AH1307" s="7" t="n">
        <v>8</v>
      </c>
      <c r="AI1307" s="7" t="n">
        <v>18</v>
      </c>
      <c r="AJ1307" s="7" t="n">
        <v>5</v>
      </c>
      <c r="AK1307" s="7" t="n">
        <v>9</v>
      </c>
      <c r="AL1307" s="7" t="n">
        <v>13</v>
      </c>
      <c r="AM1307" s="7" t="n">
        <v>23</v>
      </c>
      <c r="AN1307" s="7" t="n">
        <v>5</v>
      </c>
      <c r="AO1307" s="7" t="n">
        <v>8</v>
      </c>
      <c r="AP1307" s="7" t="n">
        <v>0</v>
      </c>
      <c r="AQ1307" s="7" t="n">
        <v>0</v>
      </c>
      <c r="AR1307" s="6" t="s">
        <v>63</v>
      </c>
      <c r="AS1307" s="6" t="s">
        <v>57</v>
      </c>
      <c r="AT1307" s="9" t="str">
        <f aca="false">HYPERLINK("http://catalog.hathitrust.org/Record/001384644","HathiTrust Record")</f>
        <v>HathiTrust Record</v>
      </c>
      <c r="AU1307" s="9" t="str">
        <f aca="false">HYPERLINK("https://creighton-primo.hosted.exlibrisgroup.com/primo-explore/search?tab=default_tab&amp;search_scope=EVERYTHING&amp;vid=01CRU&amp;lang=en_US&amp;offset=0&amp;query=any,contains,991003425849702656","Catalog Record")</f>
        <v>Catalog Record</v>
      </c>
      <c r="AV1307" s="9" t="str">
        <f aca="false">HYPERLINK("http://www.worldcat.org/oclc/964591","WorldCat Record")</f>
        <v>WorldCat Record</v>
      </c>
      <c r="AW1307" s="6" t="s">
        <v>9864</v>
      </c>
      <c r="AX1307" s="6" t="s">
        <v>9865</v>
      </c>
      <c r="AY1307" s="6" t="s">
        <v>9866</v>
      </c>
      <c r="AZ1307" s="6" t="s">
        <v>9866</v>
      </c>
      <c r="BA1307" s="6" t="s">
        <v>9867</v>
      </c>
      <c r="BB1307" s="28"/>
      <c r="BC1307" s="6" t="s">
        <v>9870</v>
      </c>
      <c r="BE1307" s="15" t="s">
        <v>2145</v>
      </c>
      <c r="BF1307" s="6" t="s">
        <v>9871</v>
      </c>
    </row>
    <row r="1308" customFormat="false" ht="209" hidden="false" customHeight="false" outlineLevel="0" collapsed="false">
      <c r="A1308" s="26" t="s">
        <v>63</v>
      </c>
      <c r="B1308" s="27" t="s">
        <v>2129</v>
      </c>
      <c r="C1308" s="27" t="s">
        <v>2130</v>
      </c>
      <c r="D1308" s="27" t="s">
        <v>9872</v>
      </c>
      <c r="E1308" s="27" t="s">
        <v>9873</v>
      </c>
      <c r="F1308" s="27" t="s">
        <v>9874</v>
      </c>
      <c r="G1308" s="28"/>
      <c r="H1308" s="6" t="s">
        <v>63</v>
      </c>
      <c r="I1308" s="6" t="s">
        <v>62</v>
      </c>
      <c r="J1308" s="6" t="s">
        <v>63</v>
      </c>
      <c r="K1308" s="6" t="s">
        <v>63</v>
      </c>
      <c r="L1308" s="6" t="s">
        <v>64</v>
      </c>
      <c r="M1308" s="28"/>
      <c r="N1308" s="27" t="s">
        <v>9875</v>
      </c>
      <c r="O1308" s="6" t="s">
        <v>2623</v>
      </c>
      <c r="P1308" s="28"/>
      <c r="Q1308" s="6" t="s">
        <v>67</v>
      </c>
      <c r="R1308" s="6" t="s">
        <v>9799</v>
      </c>
      <c r="S1308" s="28"/>
      <c r="T1308" s="6" t="s">
        <v>6138</v>
      </c>
      <c r="U1308" s="7" t="n">
        <v>2</v>
      </c>
      <c r="V1308" s="7" t="n">
        <v>2</v>
      </c>
      <c r="W1308" s="8" t="s">
        <v>9876</v>
      </c>
      <c r="X1308" s="8" t="s">
        <v>9876</v>
      </c>
      <c r="Y1308" s="8" t="s">
        <v>9877</v>
      </c>
      <c r="Z1308" s="8" t="s">
        <v>9877</v>
      </c>
      <c r="AA1308" s="7" t="n">
        <v>370</v>
      </c>
      <c r="AB1308" s="7" t="n">
        <v>307</v>
      </c>
      <c r="AC1308" s="7" t="n">
        <v>311</v>
      </c>
      <c r="AD1308" s="7" t="n">
        <v>5</v>
      </c>
      <c r="AE1308" s="7" t="n">
        <v>5</v>
      </c>
      <c r="AF1308" s="7" t="n">
        <v>24</v>
      </c>
      <c r="AG1308" s="7" t="n">
        <v>24</v>
      </c>
      <c r="AH1308" s="7" t="n">
        <v>6</v>
      </c>
      <c r="AI1308" s="7" t="n">
        <v>6</v>
      </c>
      <c r="AJ1308" s="7" t="n">
        <v>7</v>
      </c>
      <c r="AK1308" s="7" t="n">
        <v>7</v>
      </c>
      <c r="AL1308" s="7" t="n">
        <v>15</v>
      </c>
      <c r="AM1308" s="7" t="n">
        <v>15</v>
      </c>
      <c r="AN1308" s="7" t="n">
        <v>3</v>
      </c>
      <c r="AO1308" s="7" t="n">
        <v>3</v>
      </c>
      <c r="AP1308" s="7" t="n">
        <v>0</v>
      </c>
      <c r="AQ1308" s="7" t="n">
        <v>0</v>
      </c>
      <c r="AR1308" s="6" t="s">
        <v>63</v>
      </c>
      <c r="AS1308" s="6" t="s">
        <v>63</v>
      </c>
      <c r="AT1308" s="28"/>
      <c r="AU1308" s="9" t="str">
        <f aca="false">HYPERLINK("https://creighton-primo.hosted.exlibrisgroup.com/primo-explore/search?tab=default_tab&amp;search_scope=EVERYTHING&amp;vid=01CRU&amp;lang=en_US&amp;offset=0&amp;query=any,contains,991004790199702656","Catalog Record")</f>
        <v>Catalog Record</v>
      </c>
      <c r="AV1308" s="9" t="str">
        <f aca="false">HYPERLINK("http://www.worldcat.org/oclc/5170849","WorldCat Record")</f>
        <v>WorldCat Record</v>
      </c>
      <c r="AW1308" s="6" t="s">
        <v>9878</v>
      </c>
      <c r="AX1308" s="6" t="s">
        <v>9879</v>
      </c>
      <c r="AY1308" s="6" t="s">
        <v>9880</v>
      </c>
      <c r="AZ1308" s="6" t="s">
        <v>9880</v>
      </c>
      <c r="BA1308" s="6" t="s">
        <v>9881</v>
      </c>
      <c r="BB1308" s="6" t="s">
        <v>9882</v>
      </c>
      <c r="BC1308" s="6" t="s">
        <v>9883</v>
      </c>
      <c r="BE1308" s="15" t="s">
        <v>2145</v>
      </c>
      <c r="BF1308" s="6" t="s">
        <v>9884</v>
      </c>
    </row>
    <row r="1309" customFormat="false" ht="105.5" hidden="false" customHeight="false" outlineLevel="0" collapsed="false">
      <c r="A1309" s="26" t="s">
        <v>63</v>
      </c>
      <c r="B1309" s="27" t="s">
        <v>2129</v>
      </c>
      <c r="C1309" s="27" t="s">
        <v>2130</v>
      </c>
      <c r="D1309" s="27" t="s">
        <v>9885</v>
      </c>
      <c r="E1309" s="27" t="s">
        <v>9886</v>
      </c>
      <c r="F1309" s="27" t="s">
        <v>9887</v>
      </c>
      <c r="G1309" s="28"/>
      <c r="H1309" s="6" t="s">
        <v>63</v>
      </c>
      <c r="I1309" s="6" t="s">
        <v>62</v>
      </c>
      <c r="J1309" s="6" t="s">
        <v>63</v>
      </c>
      <c r="K1309" s="6" t="s">
        <v>63</v>
      </c>
      <c r="L1309" s="6" t="s">
        <v>64</v>
      </c>
      <c r="M1309" s="27" t="s">
        <v>5218</v>
      </c>
      <c r="N1309" s="27" t="s">
        <v>9888</v>
      </c>
      <c r="O1309" s="6" t="s">
        <v>152</v>
      </c>
      <c r="P1309" s="28"/>
      <c r="Q1309" s="6" t="s">
        <v>9889</v>
      </c>
      <c r="R1309" s="6" t="s">
        <v>401</v>
      </c>
      <c r="S1309" s="28"/>
      <c r="T1309" s="6" t="s">
        <v>6138</v>
      </c>
      <c r="U1309" s="7" t="n">
        <v>2</v>
      </c>
      <c r="V1309" s="7" t="n">
        <v>2</v>
      </c>
      <c r="W1309" s="8" t="s">
        <v>9876</v>
      </c>
      <c r="X1309" s="8" t="s">
        <v>9876</v>
      </c>
      <c r="Y1309" s="8" t="s">
        <v>9890</v>
      </c>
      <c r="Z1309" s="8" t="s">
        <v>9890</v>
      </c>
      <c r="AA1309" s="7" t="n">
        <v>76</v>
      </c>
      <c r="AB1309" s="7" t="n">
        <v>68</v>
      </c>
      <c r="AC1309" s="7" t="n">
        <v>70</v>
      </c>
      <c r="AD1309" s="7" t="n">
        <v>1</v>
      </c>
      <c r="AE1309" s="7" t="n">
        <v>1</v>
      </c>
      <c r="AF1309" s="7" t="n">
        <v>5</v>
      </c>
      <c r="AG1309" s="7" t="n">
        <v>5</v>
      </c>
      <c r="AH1309" s="7" t="n">
        <v>1</v>
      </c>
      <c r="AI1309" s="7" t="n">
        <v>1</v>
      </c>
      <c r="AJ1309" s="7" t="n">
        <v>0</v>
      </c>
      <c r="AK1309" s="7" t="n">
        <v>0</v>
      </c>
      <c r="AL1309" s="7" t="n">
        <v>5</v>
      </c>
      <c r="AM1309" s="7" t="n">
        <v>5</v>
      </c>
      <c r="AN1309" s="7" t="n">
        <v>0</v>
      </c>
      <c r="AO1309" s="7" t="n">
        <v>0</v>
      </c>
      <c r="AP1309" s="7" t="n">
        <v>0</v>
      </c>
      <c r="AQ1309" s="7" t="n">
        <v>0</v>
      </c>
      <c r="AR1309" s="6" t="s">
        <v>63</v>
      </c>
      <c r="AS1309" s="6" t="s">
        <v>57</v>
      </c>
      <c r="AT1309" s="9" t="str">
        <f aca="false">HYPERLINK("http://catalog.hathitrust.org/Record/004295360","HathiTrust Record")</f>
        <v>HathiTrust Record</v>
      </c>
      <c r="AU1309" s="9" t="str">
        <f aca="false">HYPERLINK("https://creighton-primo.hosted.exlibrisgroup.com/primo-explore/search?tab=default_tab&amp;search_scope=EVERYTHING&amp;vid=01CRU&amp;lang=en_US&amp;offset=0&amp;query=any,contains,991000552189702656","Catalog Record")</f>
        <v>Catalog Record</v>
      </c>
      <c r="AV1309" s="9" t="str">
        <f aca="false">HYPERLINK("http://www.worldcat.org/oclc/11541397","WorldCat Record")</f>
        <v>WorldCat Record</v>
      </c>
      <c r="AW1309" s="6" t="s">
        <v>9891</v>
      </c>
      <c r="AX1309" s="6" t="s">
        <v>9892</v>
      </c>
      <c r="AY1309" s="6" t="s">
        <v>9893</v>
      </c>
      <c r="AZ1309" s="6" t="s">
        <v>9893</v>
      </c>
      <c r="BA1309" s="6" t="s">
        <v>9894</v>
      </c>
      <c r="BB1309" s="28"/>
      <c r="BC1309" s="6" t="s">
        <v>9895</v>
      </c>
      <c r="BE1309" s="15" t="s">
        <v>2145</v>
      </c>
      <c r="BF1309" s="6" t="s">
        <v>9896</v>
      </c>
    </row>
    <row r="1310" customFormat="false" ht="71" hidden="false" customHeight="false" outlineLevel="0" collapsed="false">
      <c r="A1310" s="26" t="s">
        <v>63</v>
      </c>
      <c r="B1310" s="27" t="s">
        <v>2129</v>
      </c>
      <c r="C1310" s="27" t="s">
        <v>2130</v>
      </c>
      <c r="D1310" s="27" t="s">
        <v>9897</v>
      </c>
      <c r="E1310" s="27" t="s">
        <v>9898</v>
      </c>
      <c r="F1310" s="27" t="s">
        <v>9899</v>
      </c>
      <c r="G1310" s="28"/>
      <c r="H1310" s="6" t="s">
        <v>63</v>
      </c>
      <c r="I1310" s="6" t="s">
        <v>62</v>
      </c>
      <c r="J1310" s="6" t="s">
        <v>63</v>
      </c>
      <c r="K1310" s="6" t="s">
        <v>63</v>
      </c>
      <c r="L1310" s="6" t="s">
        <v>64</v>
      </c>
      <c r="M1310" s="27" t="s">
        <v>9900</v>
      </c>
      <c r="N1310" s="27" t="s">
        <v>9901</v>
      </c>
      <c r="O1310" s="6" t="s">
        <v>3919</v>
      </c>
      <c r="P1310" s="28"/>
      <c r="Q1310" s="6" t="s">
        <v>67</v>
      </c>
      <c r="R1310" s="6" t="s">
        <v>1108</v>
      </c>
      <c r="S1310" s="28"/>
      <c r="T1310" s="6" t="s">
        <v>6138</v>
      </c>
      <c r="U1310" s="7" t="n">
        <v>3</v>
      </c>
      <c r="V1310" s="7" t="n">
        <v>3</v>
      </c>
      <c r="W1310" s="8" t="s">
        <v>9902</v>
      </c>
      <c r="X1310" s="8" t="s">
        <v>9902</v>
      </c>
      <c r="Y1310" s="8" t="s">
        <v>9903</v>
      </c>
      <c r="Z1310" s="8" t="s">
        <v>9903</v>
      </c>
      <c r="AA1310" s="7" t="n">
        <v>554</v>
      </c>
      <c r="AB1310" s="7" t="n">
        <v>445</v>
      </c>
      <c r="AC1310" s="7" t="n">
        <v>923</v>
      </c>
      <c r="AD1310" s="7" t="n">
        <v>2</v>
      </c>
      <c r="AE1310" s="7" t="n">
        <v>3</v>
      </c>
      <c r="AF1310" s="7" t="n">
        <v>27</v>
      </c>
      <c r="AG1310" s="7" t="n">
        <v>41</v>
      </c>
      <c r="AH1310" s="7" t="n">
        <v>13</v>
      </c>
      <c r="AI1310" s="7" t="n">
        <v>18</v>
      </c>
      <c r="AJ1310" s="7" t="n">
        <v>7</v>
      </c>
      <c r="AK1310" s="7" t="n">
        <v>9</v>
      </c>
      <c r="AL1310" s="7" t="n">
        <v>14</v>
      </c>
      <c r="AM1310" s="7" t="n">
        <v>24</v>
      </c>
      <c r="AN1310" s="7" t="n">
        <v>1</v>
      </c>
      <c r="AO1310" s="7" t="n">
        <v>2</v>
      </c>
      <c r="AP1310" s="7" t="n">
        <v>0</v>
      </c>
      <c r="AQ1310" s="7" t="n">
        <v>0</v>
      </c>
      <c r="AR1310" s="6" t="s">
        <v>63</v>
      </c>
      <c r="AS1310" s="6" t="s">
        <v>63</v>
      </c>
      <c r="AT1310" s="28"/>
      <c r="AU1310" s="9" t="str">
        <f aca="false">HYPERLINK("https://creighton-primo.hosted.exlibrisgroup.com/primo-explore/search?tab=default_tab&amp;search_scope=EVERYTHING&amp;vid=01CRU&amp;lang=en_US&amp;offset=0&amp;query=any,contains,991003391169702656","Catalog Record")</f>
        <v>Catalog Record</v>
      </c>
      <c r="AV1310" s="9" t="str">
        <f aca="false">HYPERLINK("http://www.worldcat.org/oclc/929220","WorldCat Record")</f>
        <v>WorldCat Record</v>
      </c>
      <c r="AW1310" s="6" t="s">
        <v>9904</v>
      </c>
      <c r="AX1310" s="6" t="s">
        <v>9905</v>
      </c>
      <c r="AY1310" s="6" t="s">
        <v>9906</v>
      </c>
      <c r="AZ1310" s="6" t="s">
        <v>9906</v>
      </c>
      <c r="BA1310" s="6" t="s">
        <v>9907</v>
      </c>
      <c r="BB1310" s="28"/>
      <c r="BC1310" s="6" t="s">
        <v>9908</v>
      </c>
      <c r="BE1310" s="15" t="s">
        <v>2145</v>
      </c>
      <c r="BF1310" s="6" t="s">
        <v>9909</v>
      </c>
    </row>
    <row r="1311" customFormat="false" ht="128.5" hidden="false" customHeight="false" outlineLevel="0" collapsed="false">
      <c r="A1311" s="26" t="s">
        <v>63</v>
      </c>
      <c r="B1311" s="27" t="s">
        <v>2129</v>
      </c>
      <c r="C1311" s="27" t="s">
        <v>2130</v>
      </c>
      <c r="D1311" s="27" t="s">
        <v>9910</v>
      </c>
      <c r="E1311" s="27" t="s">
        <v>9911</v>
      </c>
      <c r="F1311" s="27" t="s">
        <v>9912</v>
      </c>
      <c r="G1311" s="28"/>
      <c r="H1311" s="6" t="s">
        <v>63</v>
      </c>
      <c r="I1311" s="6" t="s">
        <v>62</v>
      </c>
      <c r="J1311" s="6" t="s">
        <v>63</v>
      </c>
      <c r="K1311" s="6" t="s">
        <v>63</v>
      </c>
      <c r="L1311" s="6" t="s">
        <v>64</v>
      </c>
      <c r="M1311" s="27" t="s">
        <v>9913</v>
      </c>
      <c r="N1311" s="27" t="s">
        <v>9914</v>
      </c>
      <c r="O1311" s="6" t="s">
        <v>2893</v>
      </c>
      <c r="P1311" s="28"/>
      <c r="Q1311" s="6" t="s">
        <v>67</v>
      </c>
      <c r="R1311" s="6" t="s">
        <v>1108</v>
      </c>
      <c r="S1311" s="28"/>
      <c r="T1311" s="6" t="s">
        <v>6138</v>
      </c>
      <c r="U1311" s="7" t="n">
        <v>1</v>
      </c>
      <c r="V1311" s="7" t="n">
        <v>1</v>
      </c>
      <c r="W1311" s="8" t="s">
        <v>9915</v>
      </c>
      <c r="X1311" s="8" t="s">
        <v>9915</v>
      </c>
      <c r="Y1311" s="8" t="s">
        <v>8389</v>
      </c>
      <c r="Z1311" s="8" t="s">
        <v>8389</v>
      </c>
      <c r="AA1311" s="7" t="n">
        <v>761</v>
      </c>
      <c r="AB1311" s="7" t="n">
        <v>578</v>
      </c>
      <c r="AC1311" s="7" t="n">
        <v>613</v>
      </c>
      <c r="AD1311" s="7" t="n">
        <v>3</v>
      </c>
      <c r="AE1311" s="7" t="n">
        <v>4</v>
      </c>
      <c r="AF1311" s="7" t="n">
        <v>30</v>
      </c>
      <c r="AG1311" s="7" t="n">
        <v>33</v>
      </c>
      <c r="AH1311" s="7" t="n">
        <v>12</v>
      </c>
      <c r="AI1311" s="7" t="n">
        <v>13</v>
      </c>
      <c r="AJ1311" s="7" t="n">
        <v>8</v>
      </c>
      <c r="AK1311" s="7" t="n">
        <v>9</v>
      </c>
      <c r="AL1311" s="7" t="n">
        <v>18</v>
      </c>
      <c r="AM1311" s="7" t="n">
        <v>18</v>
      </c>
      <c r="AN1311" s="7" t="n">
        <v>2</v>
      </c>
      <c r="AO1311" s="7" t="n">
        <v>3</v>
      </c>
      <c r="AP1311" s="7" t="n">
        <v>1</v>
      </c>
      <c r="AQ1311" s="7" t="n">
        <v>1</v>
      </c>
      <c r="AR1311" s="6" t="s">
        <v>63</v>
      </c>
      <c r="AS1311" s="6" t="s">
        <v>63</v>
      </c>
      <c r="AT1311" s="28"/>
      <c r="AU1311" s="9" t="str">
        <f aca="false">HYPERLINK("https://creighton-primo.hosted.exlibrisgroup.com/primo-explore/search?tab=default_tab&amp;search_scope=EVERYTHING&amp;vid=01CRU&amp;lang=en_US&amp;offset=0&amp;query=any,contains,991003800859702656","Catalog Record")</f>
        <v>Catalog Record</v>
      </c>
      <c r="AV1311" s="9" t="str">
        <f aca="false">HYPERLINK("http://www.worldcat.org/oclc/1527419","WorldCat Record")</f>
        <v>WorldCat Record</v>
      </c>
      <c r="AW1311" s="6" t="s">
        <v>9916</v>
      </c>
      <c r="AX1311" s="6" t="s">
        <v>9917</v>
      </c>
      <c r="AY1311" s="6" t="s">
        <v>9918</v>
      </c>
      <c r="AZ1311" s="6" t="s">
        <v>9918</v>
      </c>
      <c r="BA1311" s="6" t="s">
        <v>9919</v>
      </c>
      <c r="BB1311" s="6" t="s">
        <v>9920</v>
      </c>
      <c r="BC1311" s="6" t="s">
        <v>9921</v>
      </c>
      <c r="BE1311" s="15" t="s">
        <v>2145</v>
      </c>
      <c r="BF1311" s="6" t="s">
        <v>9922</v>
      </c>
    </row>
    <row r="1312" customFormat="false" ht="151.5" hidden="false" customHeight="false" outlineLevel="0" collapsed="false">
      <c r="A1312" s="26" t="s">
        <v>63</v>
      </c>
      <c r="B1312" s="27" t="s">
        <v>2129</v>
      </c>
      <c r="C1312" s="27" t="s">
        <v>2130</v>
      </c>
      <c r="D1312" s="27" t="s">
        <v>9923</v>
      </c>
      <c r="E1312" s="27" t="s">
        <v>9924</v>
      </c>
      <c r="F1312" s="27" t="s">
        <v>9925</v>
      </c>
      <c r="G1312" s="28"/>
      <c r="H1312" s="6" t="s">
        <v>63</v>
      </c>
      <c r="I1312" s="6" t="s">
        <v>62</v>
      </c>
      <c r="J1312" s="6" t="s">
        <v>63</v>
      </c>
      <c r="K1312" s="6" t="s">
        <v>63</v>
      </c>
      <c r="L1312" s="6" t="s">
        <v>64</v>
      </c>
      <c r="M1312" s="27" t="s">
        <v>9926</v>
      </c>
      <c r="N1312" s="27" t="s">
        <v>9927</v>
      </c>
      <c r="O1312" s="6" t="s">
        <v>2411</v>
      </c>
      <c r="P1312" s="28"/>
      <c r="Q1312" s="6" t="s">
        <v>67</v>
      </c>
      <c r="R1312" s="6" t="s">
        <v>384</v>
      </c>
      <c r="S1312" s="27" t="s">
        <v>9928</v>
      </c>
      <c r="T1312" s="6" t="s">
        <v>6138</v>
      </c>
      <c r="U1312" s="7" t="n">
        <v>4</v>
      </c>
      <c r="V1312" s="7" t="n">
        <v>4</v>
      </c>
      <c r="W1312" s="8" t="s">
        <v>8428</v>
      </c>
      <c r="X1312" s="8" t="s">
        <v>8428</v>
      </c>
      <c r="Y1312" s="8" t="s">
        <v>9929</v>
      </c>
      <c r="Z1312" s="8" t="s">
        <v>9929</v>
      </c>
      <c r="AA1312" s="7" t="n">
        <v>315</v>
      </c>
      <c r="AB1312" s="7" t="n">
        <v>211</v>
      </c>
      <c r="AC1312" s="7" t="n">
        <v>217</v>
      </c>
      <c r="AD1312" s="7" t="n">
        <v>1</v>
      </c>
      <c r="AE1312" s="7" t="n">
        <v>1</v>
      </c>
      <c r="AF1312" s="7" t="n">
        <v>15</v>
      </c>
      <c r="AG1312" s="7" t="n">
        <v>15</v>
      </c>
      <c r="AH1312" s="7" t="n">
        <v>4</v>
      </c>
      <c r="AI1312" s="7" t="n">
        <v>4</v>
      </c>
      <c r="AJ1312" s="7" t="n">
        <v>4</v>
      </c>
      <c r="AK1312" s="7" t="n">
        <v>4</v>
      </c>
      <c r="AL1312" s="7" t="n">
        <v>13</v>
      </c>
      <c r="AM1312" s="7" t="n">
        <v>13</v>
      </c>
      <c r="AN1312" s="7" t="n">
        <v>0</v>
      </c>
      <c r="AO1312" s="7" t="n">
        <v>0</v>
      </c>
      <c r="AP1312" s="7" t="n">
        <v>0</v>
      </c>
      <c r="AQ1312" s="7" t="n">
        <v>0</v>
      </c>
      <c r="AR1312" s="6" t="s">
        <v>63</v>
      </c>
      <c r="AS1312" s="6" t="s">
        <v>57</v>
      </c>
      <c r="AT1312" s="9" t="str">
        <f aca="false">HYPERLINK("http://catalog.hathitrust.org/Record/006196656","HathiTrust Record")</f>
        <v>HathiTrust Record</v>
      </c>
      <c r="AU1312" s="9" t="str">
        <f aca="false">HYPERLINK("https://creighton-primo.hosted.exlibrisgroup.com/primo-explore/search?tab=default_tab&amp;search_scope=EVERYTHING&amp;vid=01CRU&amp;lang=en_US&amp;offset=0&amp;query=any,contains,991001589689702656","Catalog Record")</f>
        <v>Catalog Record</v>
      </c>
      <c r="AV1312" s="9" t="str">
        <f aca="false">HYPERLINK("http://www.worldcat.org/oclc/20564515","WorldCat Record")</f>
        <v>WorldCat Record</v>
      </c>
      <c r="AW1312" s="6" t="s">
        <v>9930</v>
      </c>
      <c r="AX1312" s="6" t="s">
        <v>9931</v>
      </c>
      <c r="AY1312" s="6" t="s">
        <v>9932</v>
      </c>
      <c r="AZ1312" s="6" t="s">
        <v>9932</v>
      </c>
      <c r="BA1312" s="6" t="s">
        <v>9933</v>
      </c>
      <c r="BB1312" s="6" t="s">
        <v>9934</v>
      </c>
      <c r="BC1312" s="6" t="s">
        <v>9935</v>
      </c>
      <c r="BE1312" s="15" t="s">
        <v>2145</v>
      </c>
      <c r="BF1312" s="6" t="s">
        <v>9936</v>
      </c>
    </row>
    <row r="1313" customFormat="false" ht="186" hidden="false" customHeight="false" outlineLevel="0" collapsed="false">
      <c r="A1313" s="26" t="s">
        <v>63</v>
      </c>
      <c r="B1313" s="27" t="s">
        <v>2129</v>
      </c>
      <c r="C1313" s="27" t="s">
        <v>2130</v>
      </c>
      <c r="D1313" s="27" t="s">
        <v>9937</v>
      </c>
      <c r="E1313" s="27" t="s">
        <v>9938</v>
      </c>
      <c r="F1313" s="27" t="s">
        <v>9939</v>
      </c>
      <c r="G1313" s="28"/>
      <c r="H1313" s="6" t="s">
        <v>57</v>
      </c>
      <c r="I1313" s="6" t="s">
        <v>62</v>
      </c>
      <c r="J1313" s="6" t="s">
        <v>57</v>
      </c>
      <c r="K1313" s="6" t="s">
        <v>63</v>
      </c>
      <c r="L1313" s="6" t="s">
        <v>64</v>
      </c>
      <c r="M1313" s="27" t="s">
        <v>9940</v>
      </c>
      <c r="N1313" s="27" t="s">
        <v>9941</v>
      </c>
      <c r="O1313" s="6" t="s">
        <v>4053</v>
      </c>
      <c r="P1313" s="28"/>
      <c r="Q1313" s="6" t="s">
        <v>67</v>
      </c>
      <c r="R1313" s="6" t="s">
        <v>123</v>
      </c>
      <c r="S1313" s="28"/>
      <c r="T1313" s="6" t="s">
        <v>6138</v>
      </c>
      <c r="U1313" s="7" t="n">
        <v>1</v>
      </c>
      <c r="V1313" s="7" t="n">
        <v>1</v>
      </c>
      <c r="W1313" s="8" t="s">
        <v>9942</v>
      </c>
      <c r="X1313" s="8" t="s">
        <v>9942</v>
      </c>
      <c r="Y1313" s="8" t="s">
        <v>8389</v>
      </c>
      <c r="Z1313" s="8" t="s">
        <v>8389</v>
      </c>
      <c r="AA1313" s="7" t="n">
        <v>546</v>
      </c>
      <c r="AB1313" s="7" t="n">
        <v>499</v>
      </c>
      <c r="AC1313" s="7" t="n">
        <v>531</v>
      </c>
      <c r="AD1313" s="7" t="n">
        <v>4</v>
      </c>
      <c r="AE1313" s="7" t="n">
        <v>4</v>
      </c>
      <c r="AF1313" s="7" t="n">
        <v>28</v>
      </c>
      <c r="AG1313" s="7" t="n">
        <v>29</v>
      </c>
      <c r="AH1313" s="7" t="n">
        <v>9</v>
      </c>
      <c r="AI1313" s="7" t="n">
        <v>9</v>
      </c>
      <c r="AJ1313" s="7" t="n">
        <v>8</v>
      </c>
      <c r="AK1313" s="7" t="n">
        <v>8</v>
      </c>
      <c r="AL1313" s="7" t="n">
        <v>16</v>
      </c>
      <c r="AM1313" s="7" t="n">
        <v>17</v>
      </c>
      <c r="AN1313" s="7" t="n">
        <v>3</v>
      </c>
      <c r="AO1313" s="7" t="n">
        <v>3</v>
      </c>
      <c r="AP1313" s="7" t="n">
        <v>0</v>
      </c>
      <c r="AQ1313" s="7" t="n">
        <v>0</v>
      </c>
      <c r="AR1313" s="6" t="s">
        <v>57</v>
      </c>
      <c r="AS1313" s="6" t="s">
        <v>57</v>
      </c>
      <c r="AT1313" s="9" t="str">
        <f aca="false">HYPERLINK("http://catalog.hathitrust.org/Record/001384859","HathiTrust Record")</f>
        <v>HathiTrust Record</v>
      </c>
      <c r="AU1313" s="9" t="str">
        <f aca="false">HYPERLINK("https://creighton-primo.hosted.exlibrisgroup.com/primo-explore/search?tab=default_tab&amp;search_scope=EVERYTHING&amp;vid=01CRU&amp;lang=en_US&amp;offset=0&amp;query=any,contains,991001989549702656","Catalog Record")</f>
        <v>Catalog Record</v>
      </c>
      <c r="AV1313" s="9" t="str">
        <f aca="false">HYPERLINK("http://www.worldcat.org/oclc/254957","WorldCat Record")</f>
        <v>WorldCat Record</v>
      </c>
      <c r="AW1313" s="6" t="s">
        <v>9943</v>
      </c>
      <c r="AX1313" s="6" t="s">
        <v>9944</v>
      </c>
      <c r="AY1313" s="6" t="s">
        <v>9945</v>
      </c>
      <c r="AZ1313" s="6" t="s">
        <v>9945</v>
      </c>
      <c r="BA1313" s="6" t="s">
        <v>9946</v>
      </c>
      <c r="BB1313" s="28"/>
      <c r="BC1313" s="6" t="s">
        <v>9947</v>
      </c>
      <c r="BE1313" s="15" t="s">
        <v>2145</v>
      </c>
      <c r="BF1313" s="6" t="s">
        <v>9948</v>
      </c>
    </row>
    <row r="1314" customFormat="false" ht="82.5" hidden="false" customHeight="false" outlineLevel="0" collapsed="false">
      <c r="A1314" s="26" t="s">
        <v>63</v>
      </c>
      <c r="B1314" s="27" t="s">
        <v>2129</v>
      </c>
      <c r="C1314" s="27" t="s">
        <v>2130</v>
      </c>
      <c r="D1314" s="27" t="s">
        <v>9949</v>
      </c>
      <c r="E1314" s="27" t="s">
        <v>9950</v>
      </c>
      <c r="F1314" s="27" t="s">
        <v>9951</v>
      </c>
      <c r="G1314" s="28"/>
      <c r="H1314" s="6" t="s">
        <v>63</v>
      </c>
      <c r="I1314" s="6" t="s">
        <v>62</v>
      </c>
      <c r="J1314" s="6" t="s">
        <v>57</v>
      </c>
      <c r="K1314" s="6" t="s">
        <v>63</v>
      </c>
      <c r="L1314" s="6" t="s">
        <v>64</v>
      </c>
      <c r="M1314" s="27" t="s">
        <v>9952</v>
      </c>
      <c r="N1314" s="27" t="s">
        <v>9953</v>
      </c>
      <c r="O1314" s="6" t="s">
        <v>3513</v>
      </c>
      <c r="P1314" s="28"/>
      <c r="Q1314" s="6" t="s">
        <v>4501</v>
      </c>
      <c r="R1314" s="6" t="s">
        <v>671</v>
      </c>
      <c r="S1314" s="27" t="s">
        <v>9954</v>
      </c>
      <c r="T1314" s="6" t="s">
        <v>6138</v>
      </c>
      <c r="U1314" s="7" t="n">
        <v>0</v>
      </c>
      <c r="V1314" s="7" t="n">
        <v>0</v>
      </c>
      <c r="W1314" s="8" t="s">
        <v>9955</v>
      </c>
      <c r="X1314" s="8" t="s">
        <v>9955</v>
      </c>
      <c r="Y1314" s="8" t="s">
        <v>9956</v>
      </c>
      <c r="Z1314" s="8" t="s">
        <v>9956</v>
      </c>
      <c r="AA1314" s="7" t="n">
        <v>52</v>
      </c>
      <c r="AB1314" s="7" t="n">
        <v>38</v>
      </c>
      <c r="AC1314" s="7" t="n">
        <v>48</v>
      </c>
      <c r="AD1314" s="7" t="n">
        <v>1</v>
      </c>
      <c r="AE1314" s="7" t="n">
        <v>1</v>
      </c>
      <c r="AF1314" s="7" t="n">
        <v>15</v>
      </c>
      <c r="AG1314" s="7" t="n">
        <v>16</v>
      </c>
      <c r="AH1314" s="7" t="n">
        <v>3</v>
      </c>
      <c r="AI1314" s="7" t="n">
        <v>3</v>
      </c>
      <c r="AJ1314" s="7" t="n">
        <v>2</v>
      </c>
      <c r="AK1314" s="7" t="n">
        <v>2</v>
      </c>
      <c r="AL1314" s="7" t="n">
        <v>14</v>
      </c>
      <c r="AM1314" s="7" t="n">
        <v>15</v>
      </c>
      <c r="AN1314" s="7" t="n">
        <v>0</v>
      </c>
      <c r="AO1314" s="7" t="n">
        <v>0</v>
      </c>
      <c r="AP1314" s="7" t="n">
        <v>0</v>
      </c>
      <c r="AQ1314" s="7" t="n">
        <v>0</v>
      </c>
      <c r="AR1314" s="6" t="s">
        <v>63</v>
      </c>
      <c r="AS1314" s="6" t="s">
        <v>57</v>
      </c>
      <c r="AT1314" s="9" t="str">
        <f aca="false">HYPERLINK("http://catalog.hathitrust.org/Record/006752878","HathiTrust Record")</f>
        <v>HathiTrust Record</v>
      </c>
      <c r="AU1314" s="9" t="str">
        <f aca="false">HYPERLINK("https://creighton-primo.hosted.exlibrisgroup.com/primo-explore/search?tab=default_tab&amp;search_scope=EVERYTHING&amp;vid=01CRU&amp;lang=en_US&amp;offset=0&amp;query=any,contains,991004095049702656","Catalog Record")</f>
        <v>Catalog Record</v>
      </c>
      <c r="AV1314" s="9" t="str">
        <f aca="false">HYPERLINK("http://www.worldcat.org/oclc/2357413","WorldCat Record")</f>
        <v>WorldCat Record</v>
      </c>
      <c r="AW1314" s="6" t="s">
        <v>9957</v>
      </c>
      <c r="AX1314" s="6" t="s">
        <v>9958</v>
      </c>
      <c r="AY1314" s="6" t="s">
        <v>9959</v>
      </c>
      <c r="AZ1314" s="6" t="s">
        <v>9959</v>
      </c>
      <c r="BA1314" s="6" t="s">
        <v>9960</v>
      </c>
      <c r="BB1314" s="28"/>
      <c r="BC1314" s="6" t="s">
        <v>9961</v>
      </c>
      <c r="BE1314" s="15" t="s">
        <v>2145</v>
      </c>
      <c r="BF1314" s="6" t="s">
        <v>9962</v>
      </c>
    </row>
    <row r="1315" customFormat="false" ht="48" hidden="false" customHeight="false" outlineLevel="0" collapsed="false">
      <c r="A1315" s="26" t="s">
        <v>63</v>
      </c>
      <c r="B1315" s="27" t="s">
        <v>2129</v>
      </c>
      <c r="C1315" s="27" t="s">
        <v>2130</v>
      </c>
      <c r="D1315" s="27" t="s">
        <v>9963</v>
      </c>
      <c r="E1315" s="27" t="s">
        <v>9964</v>
      </c>
      <c r="F1315" s="27" t="s">
        <v>9965</v>
      </c>
      <c r="G1315" s="28"/>
      <c r="H1315" s="6" t="s">
        <v>57</v>
      </c>
      <c r="I1315" s="6" t="s">
        <v>62</v>
      </c>
      <c r="J1315" s="6" t="s">
        <v>57</v>
      </c>
      <c r="K1315" s="6" t="s">
        <v>63</v>
      </c>
      <c r="L1315" s="6" t="s">
        <v>64</v>
      </c>
      <c r="M1315" s="27" t="s">
        <v>9966</v>
      </c>
      <c r="N1315" s="27" t="s">
        <v>9967</v>
      </c>
      <c r="O1315" s="6" t="s">
        <v>2693</v>
      </c>
      <c r="P1315" s="28"/>
      <c r="Q1315" s="6" t="s">
        <v>4501</v>
      </c>
      <c r="R1315" s="6" t="s">
        <v>671</v>
      </c>
      <c r="S1315" s="27" t="s">
        <v>9968</v>
      </c>
      <c r="T1315" s="6" t="s">
        <v>6138</v>
      </c>
      <c r="U1315" s="7" t="n">
        <v>1</v>
      </c>
      <c r="V1315" s="7" t="n">
        <v>2</v>
      </c>
      <c r="W1315" s="8" t="s">
        <v>9969</v>
      </c>
      <c r="X1315" s="8" t="s">
        <v>9969</v>
      </c>
      <c r="Y1315" s="8" t="s">
        <v>4159</v>
      </c>
      <c r="Z1315" s="8" t="s">
        <v>4159</v>
      </c>
      <c r="AA1315" s="7" t="n">
        <v>64</v>
      </c>
      <c r="AB1315" s="7" t="n">
        <v>36</v>
      </c>
      <c r="AC1315" s="7" t="n">
        <v>160</v>
      </c>
      <c r="AD1315" s="7" t="n">
        <v>1</v>
      </c>
      <c r="AE1315" s="7" t="n">
        <v>2</v>
      </c>
      <c r="AF1315" s="7" t="n">
        <v>5</v>
      </c>
      <c r="AG1315" s="7" t="n">
        <v>19</v>
      </c>
      <c r="AH1315" s="7" t="n">
        <v>0</v>
      </c>
      <c r="AI1315" s="7" t="n">
        <v>3</v>
      </c>
      <c r="AJ1315" s="7" t="n">
        <v>3</v>
      </c>
      <c r="AK1315" s="7" t="n">
        <v>7</v>
      </c>
      <c r="AL1315" s="7" t="n">
        <v>3</v>
      </c>
      <c r="AM1315" s="7" t="n">
        <v>13</v>
      </c>
      <c r="AN1315" s="7" t="n">
        <v>0</v>
      </c>
      <c r="AO1315" s="7" t="n">
        <v>1</v>
      </c>
      <c r="AP1315" s="7" t="n">
        <v>0</v>
      </c>
      <c r="AQ1315" s="7" t="n">
        <v>0</v>
      </c>
      <c r="AR1315" s="6" t="s">
        <v>63</v>
      </c>
      <c r="AS1315" s="6" t="s">
        <v>63</v>
      </c>
      <c r="AT1315" s="28"/>
      <c r="AU1315" s="9" t="str">
        <f aca="false">HYPERLINK("https://creighton-primo.hosted.exlibrisgroup.com/primo-explore/search?tab=default_tab&amp;search_scope=EVERYTHING&amp;vid=01CRU&amp;lang=en_US&amp;offset=0&amp;query=any,contains,991004109469702656","Catalog Record")</f>
        <v>Catalog Record</v>
      </c>
      <c r="AV1315" s="9" t="str">
        <f aca="false">HYPERLINK("http://www.worldcat.org/oclc/2392087","WorldCat Record")</f>
        <v>WorldCat Record</v>
      </c>
      <c r="AW1315" s="6" t="s">
        <v>9970</v>
      </c>
      <c r="AX1315" s="6" t="s">
        <v>9971</v>
      </c>
      <c r="AY1315" s="6" t="s">
        <v>9972</v>
      </c>
      <c r="AZ1315" s="6" t="s">
        <v>9972</v>
      </c>
      <c r="BA1315" s="6" t="s">
        <v>9973</v>
      </c>
      <c r="BB1315" s="28"/>
      <c r="BC1315" s="6" t="s">
        <v>9974</v>
      </c>
      <c r="BE1315" s="15" t="s">
        <v>2145</v>
      </c>
      <c r="BF1315" s="6" t="s">
        <v>9975</v>
      </c>
    </row>
    <row r="1316" customFormat="false" ht="289.5" hidden="false" customHeight="false" outlineLevel="0" collapsed="false">
      <c r="A1316" s="26" t="s">
        <v>63</v>
      </c>
      <c r="B1316" s="27" t="s">
        <v>2129</v>
      </c>
      <c r="C1316" s="27" t="s">
        <v>2130</v>
      </c>
      <c r="D1316" s="27" t="s">
        <v>9976</v>
      </c>
      <c r="E1316" s="27" t="s">
        <v>9977</v>
      </c>
      <c r="F1316" s="27" t="s">
        <v>9978</v>
      </c>
      <c r="G1316" s="28"/>
      <c r="H1316" s="6" t="s">
        <v>63</v>
      </c>
      <c r="I1316" s="6" t="s">
        <v>62</v>
      </c>
      <c r="J1316" s="6" t="s">
        <v>63</v>
      </c>
      <c r="K1316" s="6" t="s">
        <v>63</v>
      </c>
      <c r="L1316" s="6" t="s">
        <v>64</v>
      </c>
      <c r="M1316" s="28"/>
      <c r="N1316" s="27" t="s">
        <v>9979</v>
      </c>
      <c r="O1316" s="6" t="s">
        <v>264</v>
      </c>
      <c r="P1316" s="28"/>
      <c r="Q1316" s="6" t="s">
        <v>67</v>
      </c>
      <c r="R1316" s="6" t="s">
        <v>384</v>
      </c>
      <c r="S1316" s="28"/>
      <c r="T1316" s="6" t="s">
        <v>6138</v>
      </c>
      <c r="U1316" s="7" t="n">
        <v>4</v>
      </c>
      <c r="V1316" s="7" t="n">
        <v>4</v>
      </c>
      <c r="W1316" s="8" t="s">
        <v>9980</v>
      </c>
      <c r="X1316" s="8" t="s">
        <v>9980</v>
      </c>
      <c r="Y1316" s="8" t="s">
        <v>9981</v>
      </c>
      <c r="Z1316" s="8" t="s">
        <v>9981</v>
      </c>
      <c r="AA1316" s="7" t="n">
        <v>373</v>
      </c>
      <c r="AB1316" s="7" t="n">
        <v>265</v>
      </c>
      <c r="AC1316" s="7" t="n">
        <v>271</v>
      </c>
      <c r="AD1316" s="7" t="n">
        <v>3</v>
      </c>
      <c r="AE1316" s="7" t="n">
        <v>3</v>
      </c>
      <c r="AF1316" s="7" t="n">
        <v>21</v>
      </c>
      <c r="AG1316" s="7" t="n">
        <v>21</v>
      </c>
      <c r="AH1316" s="7" t="n">
        <v>3</v>
      </c>
      <c r="AI1316" s="7" t="n">
        <v>3</v>
      </c>
      <c r="AJ1316" s="7" t="n">
        <v>7</v>
      </c>
      <c r="AK1316" s="7" t="n">
        <v>7</v>
      </c>
      <c r="AL1316" s="7" t="n">
        <v>13</v>
      </c>
      <c r="AM1316" s="7" t="n">
        <v>13</v>
      </c>
      <c r="AN1316" s="7" t="n">
        <v>2</v>
      </c>
      <c r="AO1316" s="7" t="n">
        <v>2</v>
      </c>
      <c r="AP1316" s="7" t="n">
        <v>0</v>
      </c>
      <c r="AQ1316" s="7" t="n">
        <v>0</v>
      </c>
      <c r="AR1316" s="6" t="s">
        <v>63</v>
      </c>
      <c r="AS1316" s="6" t="s">
        <v>57</v>
      </c>
      <c r="AT1316" s="9" t="str">
        <f aca="false">HYPERLINK("http://catalog.hathitrust.org/Record/001385073","HathiTrust Record")</f>
        <v>HathiTrust Record</v>
      </c>
      <c r="AU1316" s="9" t="str">
        <f aca="false">HYPERLINK("https://creighton-primo.hosted.exlibrisgroup.com/primo-explore/search?tab=default_tab&amp;search_scope=EVERYTHING&amp;vid=01CRU&amp;lang=en_US&amp;offset=0&amp;query=any,contains,991000626479702656","Catalog Record")</f>
        <v>Catalog Record</v>
      </c>
      <c r="AV1316" s="9" t="str">
        <f aca="false">HYPERLINK("http://www.worldcat.org/oclc/104418","WorldCat Record")</f>
        <v>WorldCat Record</v>
      </c>
      <c r="AW1316" s="6" t="s">
        <v>9982</v>
      </c>
      <c r="AX1316" s="6" t="s">
        <v>9983</v>
      </c>
      <c r="AY1316" s="6" t="s">
        <v>9984</v>
      </c>
      <c r="AZ1316" s="6" t="s">
        <v>9984</v>
      </c>
      <c r="BA1316" s="6" t="s">
        <v>9985</v>
      </c>
      <c r="BB1316" s="6" t="s">
        <v>9986</v>
      </c>
      <c r="BC1316" s="6" t="s">
        <v>9987</v>
      </c>
      <c r="BE1316" s="15" t="s">
        <v>2145</v>
      </c>
      <c r="BF1316" s="6" t="s">
        <v>9988</v>
      </c>
    </row>
    <row r="1317" customFormat="false" ht="163" hidden="false" customHeight="false" outlineLevel="0" collapsed="false">
      <c r="A1317" s="26" t="s">
        <v>63</v>
      </c>
      <c r="B1317" s="27" t="s">
        <v>2129</v>
      </c>
      <c r="C1317" s="27" t="s">
        <v>2130</v>
      </c>
      <c r="D1317" s="27" t="s">
        <v>9989</v>
      </c>
      <c r="E1317" s="27" t="s">
        <v>9990</v>
      </c>
      <c r="F1317" s="27" t="s">
        <v>9991</v>
      </c>
      <c r="G1317" s="28"/>
      <c r="H1317" s="6" t="s">
        <v>63</v>
      </c>
      <c r="I1317" s="6" t="s">
        <v>62</v>
      </c>
      <c r="J1317" s="6" t="s">
        <v>63</v>
      </c>
      <c r="K1317" s="6" t="s">
        <v>63</v>
      </c>
      <c r="L1317" s="6" t="s">
        <v>64</v>
      </c>
      <c r="M1317" s="28"/>
      <c r="N1317" s="27" t="s">
        <v>9992</v>
      </c>
      <c r="O1317" s="6" t="s">
        <v>208</v>
      </c>
      <c r="P1317" s="28"/>
      <c r="Q1317" s="6" t="s">
        <v>67</v>
      </c>
      <c r="R1317" s="6" t="s">
        <v>9632</v>
      </c>
      <c r="S1317" s="27" t="s">
        <v>9993</v>
      </c>
      <c r="T1317" s="6" t="s">
        <v>6138</v>
      </c>
      <c r="U1317" s="7" t="n">
        <v>0</v>
      </c>
      <c r="V1317" s="7" t="n">
        <v>0</v>
      </c>
      <c r="W1317" s="8" t="s">
        <v>9994</v>
      </c>
      <c r="X1317" s="8" t="s">
        <v>9994</v>
      </c>
      <c r="Y1317" s="8" t="s">
        <v>8389</v>
      </c>
      <c r="Z1317" s="8" t="s">
        <v>8389</v>
      </c>
      <c r="AA1317" s="7" t="n">
        <v>233</v>
      </c>
      <c r="AB1317" s="7" t="n">
        <v>179</v>
      </c>
      <c r="AC1317" s="7" t="n">
        <v>197</v>
      </c>
      <c r="AD1317" s="7" t="n">
        <v>1</v>
      </c>
      <c r="AE1317" s="7" t="n">
        <v>1</v>
      </c>
      <c r="AF1317" s="7" t="n">
        <v>14</v>
      </c>
      <c r="AG1317" s="7" t="n">
        <v>14</v>
      </c>
      <c r="AH1317" s="7" t="n">
        <v>3</v>
      </c>
      <c r="AI1317" s="7" t="n">
        <v>3</v>
      </c>
      <c r="AJ1317" s="7" t="n">
        <v>5</v>
      </c>
      <c r="AK1317" s="7" t="n">
        <v>5</v>
      </c>
      <c r="AL1317" s="7" t="n">
        <v>9</v>
      </c>
      <c r="AM1317" s="7" t="n">
        <v>9</v>
      </c>
      <c r="AN1317" s="7" t="n">
        <v>0</v>
      </c>
      <c r="AO1317" s="7" t="n">
        <v>0</v>
      </c>
      <c r="AP1317" s="7" t="n">
        <v>0</v>
      </c>
      <c r="AQ1317" s="7" t="n">
        <v>0</v>
      </c>
      <c r="AR1317" s="6" t="s">
        <v>63</v>
      </c>
      <c r="AS1317" s="6" t="s">
        <v>63</v>
      </c>
      <c r="AT1317" s="28"/>
      <c r="AU1317" s="9" t="str">
        <f aca="false">HYPERLINK("https://creighton-primo.hosted.exlibrisgroup.com/primo-explore/search?tab=default_tab&amp;search_scope=EVERYTHING&amp;vid=01CRU&amp;lang=en_US&amp;offset=0&amp;query=any,contains,991000997159702656","Catalog Record")</f>
        <v>Catalog Record</v>
      </c>
      <c r="AV1317" s="9" t="str">
        <f aca="false">HYPERLINK("http://www.worldcat.org/oclc/15163286","WorldCat Record")</f>
        <v>WorldCat Record</v>
      </c>
      <c r="AW1317" s="6" t="s">
        <v>9995</v>
      </c>
      <c r="AX1317" s="6" t="s">
        <v>9996</v>
      </c>
      <c r="AY1317" s="6" t="s">
        <v>9997</v>
      </c>
      <c r="AZ1317" s="6" t="s">
        <v>9997</v>
      </c>
      <c r="BA1317" s="6" t="s">
        <v>9998</v>
      </c>
      <c r="BB1317" s="6" t="s">
        <v>9999</v>
      </c>
      <c r="BC1317" s="6" t="s">
        <v>10000</v>
      </c>
      <c r="BE1317" s="15" t="s">
        <v>2145</v>
      </c>
      <c r="BF1317" s="6" t="s">
        <v>10001</v>
      </c>
    </row>
    <row r="1318" customFormat="false" ht="71" hidden="false" customHeight="false" outlineLevel="0" collapsed="false">
      <c r="A1318" s="26" t="s">
        <v>63</v>
      </c>
      <c r="B1318" s="27" t="s">
        <v>2129</v>
      </c>
      <c r="C1318" s="27" t="s">
        <v>2130</v>
      </c>
      <c r="D1318" s="27" t="s">
        <v>10002</v>
      </c>
      <c r="E1318" s="27" t="s">
        <v>10003</v>
      </c>
      <c r="F1318" s="27" t="s">
        <v>10004</v>
      </c>
      <c r="G1318" s="28"/>
      <c r="H1318" s="6" t="s">
        <v>63</v>
      </c>
      <c r="I1318" s="6" t="s">
        <v>62</v>
      </c>
      <c r="J1318" s="6" t="s">
        <v>63</v>
      </c>
      <c r="K1318" s="6" t="s">
        <v>63</v>
      </c>
      <c r="L1318" s="6" t="s">
        <v>64</v>
      </c>
      <c r="M1318" s="27" t="s">
        <v>10005</v>
      </c>
      <c r="N1318" s="27" t="s">
        <v>10006</v>
      </c>
      <c r="O1318" s="6" t="s">
        <v>10007</v>
      </c>
      <c r="P1318" s="28"/>
      <c r="Q1318" s="6" t="s">
        <v>67</v>
      </c>
      <c r="R1318" s="6" t="s">
        <v>123</v>
      </c>
      <c r="S1318" s="28"/>
      <c r="T1318" s="6" t="s">
        <v>6138</v>
      </c>
      <c r="U1318" s="7" t="n">
        <v>3</v>
      </c>
      <c r="V1318" s="7" t="n">
        <v>3</v>
      </c>
      <c r="W1318" s="8" t="s">
        <v>3043</v>
      </c>
      <c r="X1318" s="8" t="s">
        <v>3043</v>
      </c>
      <c r="Y1318" s="8" t="s">
        <v>8389</v>
      </c>
      <c r="Z1318" s="8" t="s">
        <v>8389</v>
      </c>
      <c r="AA1318" s="7" t="n">
        <v>135</v>
      </c>
      <c r="AB1318" s="7" t="n">
        <v>107</v>
      </c>
      <c r="AC1318" s="7" t="n">
        <v>137</v>
      </c>
      <c r="AD1318" s="7" t="n">
        <v>2</v>
      </c>
      <c r="AE1318" s="7" t="n">
        <v>2</v>
      </c>
      <c r="AF1318" s="7" t="n">
        <v>6</v>
      </c>
      <c r="AG1318" s="7" t="n">
        <v>7</v>
      </c>
      <c r="AH1318" s="7" t="n">
        <v>1</v>
      </c>
      <c r="AI1318" s="7" t="n">
        <v>2</v>
      </c>
      <c r="AJ1318" s="7" t="n">
        <v>2</v>
      </c>
      <c r="AK1318" s="7" t="n">
        <v>3</v>
      </c>
      <c r="AL1318" s="7" t="n">
        <v>3</v>
      </c>
      <c r="AM1318" s="7" t="n">
        <v>3</v>
      </c>
      <c r="AN1318" s="7" t="n">
        <v>1</v>
      </c>
      <c r="AO1318" s="7" t="n">
        <v>1</v>
      </c>
      <c r="AP1318" s="7" t="n">
        <v>0</v>
      </c>
      <c r="AQ1318" s="7" t="n">
        <v>0</v>
      </c>
      <c r="AR1318" s="6" t="s">
        <v>57</v>
      </c>
      <c r="AS1318" s="6" t="s">
        <v>63</v>
      </c>
      <c r="AT1318" s="9" t="str">
        <f aca="false">HYPERLINK("http://catalog.hathitrust.org/Record/001384793","HathiTrust Record")</f>
        <v>HathiTrust Record</v>
      </c>
      <c r="AU1318" s="9" t="str">
        <f aca="false">HYPERLINK("https://creighton-primo.hosted.exlibrisgroup.com/primo-explore/search?tab=default_tab&amp;search_scope=EVERYTHING&amp;vid=01CRU&amp;lang=en_US&amp;offset=0&amp;query=any,contains,991003724699702656","Catalog Record")</f>
        <v>Catalog Record</v>
      </c>
      <c r="AV1318" s="9" t="str">
        <f aca="false">HYPERLINK("http://www.worldcat.org/oclc/1370641","WorldCat Record")</f>
        <v>WorldCat Record</v>
      </c>
      <c r="AW1318" s="6" t="s">
        <v>10008</v>
      </c>
      <c r="AX1318" s="6" t="s">
        <v>10009</v>
      </c>
      <c r="AY1318" s="6" t="s">
        <v>10010</v>
      </c>
      <c r="AZ1318" s="6" t="s">
        <v>10010</v>
      </c>
      <c r="BA1318" s="6" t="s">
        <v>10011</v>
      </c>
      <c r="BB1318" s="28"/>
      <c r="BC1318" s="6" t="s">
        <v>10012</v>
      </c>
      <c r="BE1318" s="15" t="s">
        <v>2145</v>
      </c>
      <c r="BF1318" s="6" t="s">
        <v>10013</v>
      </c>
    </row>
    <row r="1319" customFormat="false" ht="94" hidden="false" customHeight="false" outlineLevel="0" collapsed="false">
      <c r="A1319" s="26" t="s">
        <v>63</v>
      </c>
      <c r="B1319" s="27" t="s">
        <v>2129</v>
      </c>
      <c r="C1319" s="27" t="s">
        <v>2130</v>
      </c>
      <c r="D1319" s="27" t="s">
        <v>10014</v>
      </c>
      <c r="E1319" s="27" t="s">
        <v>10015</v>
      </c>
      <c r="F1319" s="27" t="s">
        <v>10016</v>
      </c>
      <c r="G1319" s="28"/>
      <c r="H1319" s="6" t="s">
        <v>63</v>
      </c>
      <c r="I1319" s="6" t="s">
        <v>62</v>
      </c>
      <c r="J1319" s="6" t="s">
        <v>63</v>
      </c>
      <c r="K1319" s="6" t="s">
        <v>57</v>
      </c>
      <c r="L1319" s="6" t="s">
        <v>64</v>
      </c>
      <c r="M1319" s="27" t="s">
        <v>10017</v>
      </c>
      <c r="N1319" s="27" t="s">
        <v>8260</v>
      </c>
      <c r="O1319" s="6" t="s">
        <v>2315</v>
      </c>
      <c r="P1319" s="28"/>
      <c r="Q1319" s="6" t="s">
        <v>67</v>
      </c>
      <c r="R1319" s="6" t="s">
        <v>384</v>
      </c>
      <c r="S1319" s="27" t="s">
        <v>8261</v>
      </c>
      <c r="T1319" s="6" t="s">
        <v>6138</v>
      </c>
      <c r="U1319" s="7" t="n">
        <v>3</v>
      </c>
      <c r="V1319" s="7" t="n">
        <v>3</v>
      </c>
      <c r="W1319" s="8" t="s">
        <v>10018</v>
      </c>
      <c r="X1319" s="8" t="s">
        <v>10018</v>
      </c>
      <c r="Y1319" s="8" t="s">
        <v>8389</v>
      </c>
      <c r="Z1319" s="8" t="s">
        <v>8389</v>
      </c>
      <c r="AA1319" s="7" t="n">
        <v>450</v>
      </c>
      <c r="AB1319" s="7" t="n">
        <v>336</v>
      </c>
      <c r="AC1319" s="7" t="n">
        <v>390</v>
      </c>
      <c r="AD1319" s="7" t="n">
        <v>3</v>
      </c>
      <c r="AE1319" s="7" t="n">
        <v>3</v>
      </c>
      <c r="AF1319" s="7" t="n">
        <v>22</v>
      </c>
      <c r="AG1319" s="7" t="n">
        <v>25</v>
      </c>
      <c r="AH1319" s="7" t="n">
        <v>7</v>
      </c>
      <c r="AI1319" s="7" t="n">
        <v>8</v>
      </c>
      <c r="AJ1319" s="7" t="n">
        <v>6</v>
      </c>
      <c r="AK1319" s="7" t="n">
        <v>8</v>
      </c>
      <c r="AL1319" s="7" t="n">
        <v>12</v>
      </c>
      <c r="AM1319" s="7" t="n">
        <v>13</v>
      </c>
      <c r="AN1319" s="7" t="n">
        <v>2</v>
      </c>
      <c r="AO1319" s="7" t="n">
        <v>2</v>
      </c>
      <c r="AP1319" s="7" t="n">
        <v>0</v>
      </c>
      <c r="AQ1319" s="7" t="n">
        <v>0</v>
      </c>
      <c r="AR1319" s="6" t="s">
        <v>63</v>
      </c>
      <c r="AS1319" s="6" t="s">
        <v>57</v>
      </c>
      <c r="AT1319" s="9" t="str">
        <f aca="false">HYPERLINK("http://catalog.hathitrust.org/Record/000621044","HathiTrust Record")</f>
        <v>HathiTrust Record</v>
      </c>
      <c r="AU1319" s="9" t="str">
        <f aca="false">HYPERLINK("https://creighton-primo.hosted.exlibrisgroup.com/primo-explore/search?tab=default_tab&amp;search_scope=EVERYTHING&amp;vid=01CRU&amp;lang=en_US&amp;offset=0&amp;query=any,contains,991000567869702656","Catalog Record")</f>
        <v>Catalog Record</v>
      </c>
      <c r="AV1319" s="9" t="str">
        <f aca="false">HYPERLINK("http://www.worldcat.org/oclc/11623594","WorldCat Record")</f>
        <v>WorldCat Record</v>
      </c>
      <c r="AW1319" s="6" t="s">
        <v>10019</v>
      </c>
      <c r="AX1319" s="6" t="s">
        <v>10020</v>
      </c>
      <c r="AY1319" s="6" t="s">
        <v>10021</v>
      </c>
      <c r="AZ1319" s="6" t="s">
        <v>10021</v>
      </c>
      <c r="BA1319" s="6" t="s">
        <v>10022</v>
      </c>
      <c r="BB1319" s="6" t="s">
        <v>10023</v>
      </c>
      <c r="BC1319" s="6" t="s">
        <v>10024</v>
      </c>
      <c r="BE1319" s="15" t="s">
        <v>2145</v>
      </c>
      <c r="BF1319" s="6" t="s">
        <v>10025</v>
      </c>
    </row>
    <row r="1320" customFormat="false" ht="209" hidden="false" customHeight="false" outlineLevel="0" collapsed="false">
      <c r="A1320" s="26" t="s">
        <v>63</v>
      </c>
      <c r="B1320" s="27" t="s">
        <v>2129</v>
      </c>
      <c r="C1320" s="27" t="s">
        <v>2130</v>
      </c>
      <c r="D1320" s="27" t="s">
        <v>10026</v>
      </c>
      <c r="E1320" s="27" t="s">
        <v>10027</v>
      </c>
      <c r="F1320" s="27" t="s">
        <v>10028</v>
      </c>
      <c r="G1320" s="28"/>
      <c r="H1320" s="6" t="s">
        <v>63</v>
      </c>
      <c r="I1320" s="6" t="s">
        <v>62</v>
      </c>
      <c r="J1320" s="6" t="s">
        <v>63</v>
      </c>
      <c r="K1320" s="6" t="s">
        <v>63</v>
      </c>
      <c r="L1320" s="6" t="s">
        <v>64</v>
      </c>
      <c r="M1320" s="27" t="s">
        <v>2394</v>
      </c>
      <c r="N1320" s="27" t="s">
        <v>10029</v>
      </c>
      <c r="O1320" s="6" t="s">
        <v>180</v>
      </c>
      <c r="P1320" s="28"/>
      <c r="Q1320" s="6" t="s">
        <v>67</v>
      </c>
      <c r="R1320" s="6" t="s">
        <v>68</v>
      </c>
      <c r="S1320" s="28"/>
      <c r="T1320" s="6" t="s">
        <v>6138</v>
      </c>
      <c r="U1320" s="7" t="n">
        <v>4</v>
      </c>
      <c r="V1320" s="7" t="n">
        <v>4</v>
      </c>
      <c r="W1320" s="8" t="s">
        <v>10018</v>
      </c>
      <c r="X1320" s="8" t="s">
        <v>10018</v>
      </c>
      <c r="Y1320" s="8" t="s">
        <v>8389</v>
      </c>
      <c r="Z1320" s="8" t="s">
        <v>8389</v>
      </c>
      <c r="AA1320" s="7" t="n">
        <v>634</v>
      </c>
      <c r="AB1320" s="7" t="n">
        <v>566</v>
      </c>
      <c r="AC1320" s="7" t="n">
        <v>824</v>
      </c>
      <c r="AD1320" s="7" t="n">
        <v>4</v>
      </c>
      <c r="AE1320" s="7" t="n">
        <v>4</v>
      </c>
      <c r="AF1320" s="7" t="n">
        <v>36</v>
      </c>
      <c r="AG1320" s="7" t="n">
        <v>42</v>
      </c>
      <c r="AH1320" s="7" t="n">
        <v>9</v>
      </c>
      <c r="AI1320" s="7" t="n">
        <v>14</v>
      </c>
      <c r="AJ1320" s="7" t="n">
        <v>9</v>
      </c>
      <c r="AK1320" s="7" t="n">
        <v>10</v>
      </c>
      <c r="AL1320" s="7" t="n">
        <v>25</v>
      </c>
      <c r="AM1320" s="7" t="n">
        <v>28</v>
      </c>
      <c r="AN1320" s="7" t="n">
        <v>2</v>
      </c>
      <c r="AO1320" s="7" t="n">
        <v>2</v>
      </c>
      <c r="AP1320" s="7" t="n">
        <v>1</v>
      </c>
      <c r="AQ1320" s="7" t="n">
        <v>1</v>
      </c>
      <c r="AR1320" s="6" t="s">
        <v>63</v>
      </c>
      <c r="AS1320" s="6" t="s">
        <v>57</v>
      </c>
      <c r="AT1320" s="9" t="str">
        <f aca="false">HYPERLINK("http://catalog.hathitrust.org/Record/001384813","HathiTrust Record")</f>
        <v>HathiTrust Record</v>
      </c>
      <c r="AU1320" s="9" t="str">
        <f aca="false">HYPERLINK("https://creighton-primo.hosted.exlibrisgroup.com/primo-explore/search?tab=default_tab&amp;search_scope=EVERYTHING&amp;vid=01CRU&amp;lang=en_US&amp;offset=0&amp;query=any,contains,991003695479702656","Catalog Record")</f>
        <v>Catalog Record</v>
      </c>
      <c r="AV1320" s="9" t="str">
        <f aca="false">HYPERLINK("http://www.worldcat.org/oclc/1327478","WorldCat Record")</f>
        <v>WorldCat Record</v>
      </c>
      <c r="AW1320" s="6" t="s">
        <v>10030</v>
      </c>
      <c r="AX1320" s="6" t="s">
        <v>10031</v>
      </c>
      <c r="AY1320" s="6" t="s">
        <v>10032</v>
      </c>
      <c r="AZ1320" s="6" t="s">
        <v>10032</v>
      </c>
      <c r="BA1320" s="6" t="s">
        <v>10033</v>
      </c>
      <c r="BB1320" s="28"/>
      <c r="BC1320" s="6" t="s">
        <v>10034</v>
      </c>
      <c r="BE1320" s="15" t="s">
        <v>2145</v>
      </c>
      <c r="BF1320" s="6" t="s">
        <v>10035</v>
      </c>
    </row>
    <row r="1321" customFormat="false" ht="163" hidden="false" customHeight="false" outlineLevel="0" collapsed="false">
      <c r="A1321" s="26" t="s">
        <v>63</v>
      </c>
      <c r="B1321" s="27" t="s">
        <v>2129</v>
      </c>
      <c r="C1321" s="27" t="s">
        <v>2130</v>
      </c>
      <c r="D1321" s="27" t="s">
        <v>10036</v>
      </c>
      <c r="E1321" s="27" t="s">
        <v>10037</v>
      </c>
      <c r="F1321" s="27" t="s">
        <v>10038</v>
      </c>
      <c r="G1321" s="28"/>
      <c r="H1321" s="6" t="s">
        <v>63</v>
      </c>
      <c r="I1321" s="6" t="s">
        <v>62</v>
      </c>
      <c r="J1321" s="6" t="s">
        <v>63</v>
      </c>
      <c r="K1321" s="6" t="s">
        <v>63</v>
      </c>
      <c r="L1321" s="6" t="s">
        <v>64</v>
      </c>
      <c r="M1321" s="27" t="s">
        <v>10039</v>
      </c>
      <c r="N1321" s="27" t="s">
        <v>10040</v>
      </c>
      <c r="O1321" s="6" t="s">
        <v>2693</v>
      </c>
      <c r="P1321" s="28"/>
      <c r="Q1321" s="6" t="s">
        <v>67</v>
      </c>
      <c r="R1321" s="6" t="s">
        <v>68</v>
      </c>
      <c r="S1321" s="28"/>
      <c r="T1321" s="6" t="s">
        <v>6138</v>
      </c>
      <c r="U1321" s="7" t="n">
        <v>1</v>
      </c>
      <c r="V1321" s="7" t="n">
        <v>1</v>
      </c>
      <c r="W1321" s="8" t="s">
        <v>10041</v>
      </c>
      <c r="X1321" s="8" t="s">
        <v>10041</v>
      </c>
      <c r="Y1321" s="8" t="s">
        <v>8389</v>
      </c>
      <c r="Z1321" s="8" t="s">
        <v>8389</v>
      </c>
      <c r="AA1321" s="7" t="n">
        <v>399</v>
      </c>
      <c r="AB1321" s="7" t="n">
        <v>355</v>
      </c>
      <c r="AC1321" s="7" t="n">
        <v>362</v>
      </c>
      <c r="AD1321" s="7" t="n">
        <v>3</v>
      </c>
      <c r="AE1321" s="7" t="n">
        <v>3</v>
      </c>
      <c r="AF1321" s="7" t="n">
        <v>33</v>
      </c>
      <c r="AG1321" s="7" t="n">
        <v>33</v>
      </c>
      <c r="AH1321" s="7" t="n">
        <v>12</v>
      </c>
      <c r="AI1321" s="7" t="n">
        <v>12</v>
      </c>
      <c r="AJ1321" s="7" t="n">
        <v>8</v>
      </c>
      <c r="AK1321" s="7" t="n">
        <v>8</v>
      </c>
      <c r="AL1321" s="7" t="n">
        <v>24</v>
      </c>
      <c r="AM1321" s="7" t="n">
        <v>24</v>
      </c>
      <c r="AN1321" s="7" t="n">
        <v>1</v>
      </c>
      <c r="AO1321" s="7" t="n">
        <v>1</v>
      </c>
      <c r="AP1321" s="7" t="n">
        <v>0</v>
      </c>
      <c r="AQ1321" s="7" t="n">
        <v>0</v>
      </c>
      <c r="AR1321" s="6" t="s">
        <v>63</v>
      </c>
      <c r="AS1321" s="6" t="s">
        <v>57</v>
      </c>
      <c r="AT1321" s="9" t="str">
        <f aca="false">HYPERLINK("http://catalog.hathitrust.org/Record/001384840","HathiTrust Record")</f>
        <v>HathiTrust Record</v>
      </c>
      <c r="AU1321" s="9" t="str">
        <f aca="false">HYPERLINK("https://creighton-primo.hosted.exlibrisgroup.com/primo-explore/search?tab=default_tab&amp;search_scope=EVERYTHING&amp;vid=01CRU&amp;lang=en_US&amp;offset=0&amp;query=any,contains,991003184289702656","Catalog Record")</f>
        <v>Catalog Record</v>
      </c>
      <c r="AV1321" s="9" t="str">
        <f aca="false">HYPERLINK("http://www.worldcat.org/oclc/712473","WorldCat Record")</f>
        <v>WorldCat Record</v>
      </c>
      <c r="AW1321" s="6" t="s">
        <v>10042</v>
      </c>
      <c r="AX1321" s="6" t="s">
        <v>10043</v>
      </c>
      <c r="AY1321" s="6" t="s">
        <v>10044</v>
      </c>
      <c r="AZ1321" s="6" t="s">
        <v>10044</v>
      </c>
      <c r="BA1321" s="6" t="s">
        <v>10045</v>
      </c>
      <c r="BB1321" s="28"/>
      <c r="BC1321" s="6" t="s">
        <v>10046</v>
      </c>
      <c r="BE1321" s="15" t="s">
        <v>2145</v>
      </c>
      <c r="BF1321" s="6" t="s">
        <v>10047</v>
      </c>
    </row>
    <row r="1322" customFormat="false" ht="59.5" hidden="false" customHeight="false" outlineLevel="0" collapsed="false">
      <c r="A1322" s="26" t="s">
        <v>63</v>
      </c>
      <c r="B1322" s="27" t="s">
        <v>2129</v>
      </c>
      <c r="C1322" s="27" t="s">
        <v>2130</v>
      </c>
      <c r="D1322" s="27" t="s">
        <v>10048</v>
      </c>
      <c r="E1322" s="27" t="s">
        <v>10049</v>
      </c>
      <c r="F1322" s="27" t="s">
        <v>10050</v>
      </c>
      <c r="G1322" s="28"/>
      <c r="H1322" s="6" t="s">
        <v>63</v>
      </c>
      <c r="I1322" s="6" t="s">
        <v>62</v>
      </c>
      <c r="J1322" s="6" t="s">
        <v>63</v>
      </c>
      <c r="K1322" s="6" t="s">
        <v>63</v>
      </c>
      <c r="L1322" s="6" t="s">
        <v>64</v>
      </c>
      <c r="M1322" s="27" t="s">
        <v>10051</v>
      </c>
      <c r="N1322" s="27" t="s">
        <v>10052</v>
      </c>
      <c r="O1322" s="6" t="s">
        <v>2797</v>
      </c>
      <c r="P1322" s="28"/>
      <c r="Q1322" s="6" t="s">
        <v>67</v>
      </c>
      <c r="R1322" s="6" t="s">
        <v>1059</v>
      </c>
      <c r="S1322" s="28"/>
      <c r="T1322" s="6" t="s">
        <v>6138</v>
      </c>
      <c r="U1322" s="7" t="n">
        <v>1</v>
      </c>
      <c r="V1322" s="7" t="n">
        <v>1</v>
      </c>
      <c r="W1322" s="8" t="s">
        <v>10053</v>
      </c>
      <c r="X1322" s="8" t="s">
        <v>10053</v>
      </c>
      <c r="Y1322" s="8" t="s">
        <v>6522</v>
      </c>
      <c r="Z1322" s="8" t="s">
        <v>6522</v>
      </c>
      <c r="AA1322" s="7" t="n">
        <v>548</v>
      </c>
      <c r="AB1322" s="7" t="n">
        <v>511</v>
      </c>
      <c r="AC1322" s="7" t="n">
        <v>709</v>
      </c>
      <c r="AD1322" s="7" t="n">
        <v>7</v>
      </c>
      <c r="AE1322" s="7" t="n">
        <v>7</v>
      </c>
      <c r="AF1322" s="7" t="n">
        <v>22</v>
      </c>
      <c r="AG1322" s="7" t="n">
        <v>27</v>
      </c>
      <c r="AH1322" s="7" t="n">
        <v>8</v>
      </c>
      <c r="AI1322" s="7" t="n">
        <v>12</v>
      </c>
      <c r="AJ1322" s="7" t="n">
        <v>5</v>
      </c>
      <c r="AK1322" s="7" t="n">
        <v>5</v>
      </c>
      <c r="AL1322" s="7" t="n">
        <v>10</v>
      </c>
      <c r="AM1322" s="7" t="n">
        <v>13</v>
      </c>
      <c r="AN1322" s="7" t="n">
        <v>4</v>
      </c>
      <c r="AO1322" s="7" t="n">
        <v>4</v>
      </c>
      <c r="AP1322" s="7" t="n">
        <v>0</v>
      </c>
      <c r="AQ1322" s="7" t="n">
        <v>0</v>
      </c>
      <c r="AR1322" s="6" t="s">
        <v>63</v>
      </c>
      <c r="AS1322" s="6" t="s">
        <v>63</v>
      </c>
      <c r="AT1322" s="28"/>
      <c r="AU1322" s="9" t="str">
        <f aca="false">HYPERLINK("https://creighton-primo.hosted.exlibrisgroup.com/primo-explore/search?tab=default_tab&amp;search_scope=EVERYTHING&amp;vid=01CRU&amp;lang=en_US&amp;offset=0&amp;query=any,contains,991003492889702656","Catalog Record")</f>
        <v>Catalog Record</v>
      </c>
      <c r="AV1322" s="9" t="str">
        <f aca="false">HYPERLINK("http://www.worldcat.org/oclc/1042982","WorldCat Record")</f>
        <v>WorldCat Record</v>
      </c>
      <c r="AW1322" s="6" t="s">
        <v>10054</v>
      </c>
      <c r="AX1322" s="6" t="s">
        <v>10055</v>
      </c>
      <c r="AY1322" s="6" t="s">
        <v>10056</v>
      </c>
      <c r="AZ1322" s="6" t="s">
        <v>10056</v>
      </c>
      <c r="BA1322" s="6" t="s">
        <v>10057</v>
      </c>
      <c r="BB1322" s="28"/>
      <c r="BC1322" s="6" t="s">
        <v>10058</v>
      </c>
      <c r="BE1322" s="15" t="s">
        <v>2145</v>
      </c>
      <c r="BF1322" s="6" t="s">
        <v>10059</v>
      </c>
    </row>
    <row r="1323" customFormat="false" ht="186" hidden="false" customHeight="false" outlineLevel="0" collapsed="false">
      <c r="A1323" s="26" t="s">
        <v>63</v>
      </c>
      <c r="B1323" s="27" t="s">
        <v>2129</v>
      </c>
      <c r="C1323" s="27" t="s">
        <v>2130</v>
      </c>
      <c r="D1323" s="27" t="s">
        <v>10060</v>
      </c>
      <c r="E1323" s="27" t="s">
        <v>10061</v>
      </c>
      <c r="F1323" s="27" t="s">
        <v>9939</v>
      </c>
      <c r="G1323" s="28"/>
      <c r="H1323" s="6" t="s">
        <v>57</v>
      </c>
      <c r="I1323" s="6" t="s">
        <v>62</v>
      </c>
      <c r="J1323" s="6" t="s">
        <v>57</v>
      </c>
      <c r="K1323" s="6" t="s">
        <v>63</v>
      </c>
      <c r="L1323" s="6" t="s">
        <v>64</v>
      </c>
      <c r="M1323" s="27" t="s">
        <v>9940</v>
      </c>
      <c r="N1323" s="27" t="s">
        <v>9941</v>
      </c>
      <c r="O1323" s="6" t="s">
        <v>4053</v>
      </c>
      <c r="P1323" s="28"/>
      <c r="Q1323" s="6" t="s">
        <v>67</v>
      </c>
      <c r="R1323" s="6" t="s">
        <v>123</v>
      </c>
      <c r="S1323" s="28"/>
      <c r="T1323" s="6" t="s">
        <v>6138</v>
      </c>
      <c r="U1323" s="7" t="n">
        <v>0</v>
      </c>
      <c r="V1323" s="7" t="n">
        <v>1</v>
      </c>
      <c r="W1323" s="28"/>
      <c r="X1323" s="8" t="s">
        <v>9942</v>
      </c>
      <c r="Y1323" s="8" t="s">
        <v>8389</v>
      </c>
      <c r="Z1323" s="8" t="s">
        <v>8389</v>
      </c>
      <c r="AA1323" s="7" t="n">
        <v>546</v>
      </c>
      <c r="AB1323" s="7" t="n">
        <v>499</v>
      </c>
      <c r="AC1323" s="7" t="n">
        <v>531</v>
      </c>
      <c r="AD1323" s="7" t="n">
        <v>4</v>
      </c>
      <c r="AE1323" s="7" t="n">
        <v>4</v>
      </c>
      <c r="AF1323" s="7" t="n">
        <v>28</v>
      </c>
      <c r="AG1323" s="7" t="n">
        <v>29</v>
      </c>
      <c r="AH1323" s="7" t="n">
        <v>9</v>
      </c>
      <c r="AI1323" s="7" t="n">
        <v>9</v>
      </c>
      <c r="AJ1323" s="7" t="n">
        <v>8</v>
      </c>
      <c r="AK1323" s="7" t="n">
        <v>8</v>
      </c>
      <c r="AL1323" s="7" t="n">
        <v>16</v>
      </c>
      <c r="AM1323" s="7" t="n">
        <v>17</v>
      </c>
      <c r="AN1323" s="7" t="n">
        <v>3</v>
      </c>
      <c r="AO1323" s="7" t="n">
        <v>3</v>
      </c>
      <c r="AP1323" s="7" t="n">
        <v>0</v>
      </c>
      <c r="AQ1323" s="7" t="n">
        <v>0</v>
      </c>
      <c r="AR1323" s="6" t="s">
        <v>57</v>
      </c>
      <c r="AS1323" s="6" t="s">
        <v>57</v>
      </c>
      <c r="AT1323" s="9" t="str">
        <f aca="false">HYPERLINK("http://catalog.hathitrust.org/Record/001384859","HathiTrust Record")</f>
        <v>HathiTrust Record</v>
      </c>
      <c r="AU1323" s="9" t="str">
        <f aca="false">HYPERLINK("https://creighton-primo.hosted.exlibrisgroup.com/primo-explore/search?tab=default_tab&amp;search_scope=EVERYTHING&amp;vid=01CRU&amp;lang=en_US&amp;offset=0&amp;query=any,contains,991001989549702656","Catalog Record")</f>
        <v>Catalog Record</v>
      </c>
      <c r="AV1323" s="9" t="str">
        <f aca="false">HYPERLINK("http://www.worldcat.org/oclc/254957","WorldCat Record")</f>
        <v>WorldCat Record</v>
      </c>
      <c r="AW1323" s="6" t="s">
        <v>9943</v>
      </c>
      <c r="AX1323" s="6" t="s">
        <v>9944</v>
      </c>
      <c r="AY1323" s="6" t="s">
        <v>9945</v>
      </c>
      <c r="AZ1323" s="6" t="s">
        <v>9945</v>
      </c>
      <c r="BA1323" s="6" t="s">
        <v>9946</v>
      </c>
      <c r="BB1323" s="28"/>
      <c r="BC1323" s="6" t="s">
        <v>10062</v>
      </c>
      <c r="BE1323" s="15" t="s">
        <v>2145</v>
      </c>
      <c r="BF1323" s="6" t="s">
        <v>10063</v>
      </c>
    </row>
    <row r="1324" customFormat="false" ht="105.5" hidden="false" customHeight="false" outlineLevel="0" collapsed="false">
      <c r="A1324" s="26" t="s">
        <v>57</v>
      </c>
      <c r="B1324" s="27" t="s">
        <v>2129</v>
      </c>
      <c r="C1324" s="27" t="s">
        <v>2130</v>
      </c>
      <c r="D1324" s="27" t="s">
        <v>10064</v>
      </c>
      <c r="E1324" s="27" t="s">
        <v>10065</v>
      </c>
      <c r="F1324" s="27" t="s">
        <v>10066</v>
      </c>
      <c r="G1324" s="28"/>
      <c r="H1324" s="6" t="s">
        <v>63</v>
      </c>
      <c r="I1324" s="6" t="s">
        <v>62</v>
      </c>
      <c r="J1324" s="6" t="s">
        <v>63</v>
      </c>
      <c r="K1324" s="6" t="s">
        <v>63</v>
      </c>
      <c r="L1324" s="6" t="s">
        <v>64</v>
      </c>
      <c r="M1324" s="28"/>
      <c r="N1324" s="27" t="s">
        <v>10067</v>
      </c>
      <c r="O1324" s="6" t="s">
        <v>2221</v>
      </c>
      <c r="P1324" s="28"/>
      <c r="Q1324" s="6" t="s">
        <v>67</v>
      </c>
      <c r="R1324" s="6" t="s">
        <v>1059</v>
      </c>
      <c r="S1324" s="28"/>
      <c r="T1324" s="6" t="s">
        <v>6138</v>
      </c>
      <c r="U1324" s="7" t="n">
        <v>5</v>
      </c>
      <c r="V1324" s="7" t="n">
        <v>5</v>
      </c>
      <c r="W1324" s="8" t="s">
        <v>10068</v>
      </c>
      <c r="X1324" s="8" t="s">
        <v>10068</v>
      </c>
      <c r="Y1324" s="8" t="s">
        <v>10069</v>
      </c>
      <c r="Z1324" s="8" t="s">
        <v>10069</v>
      </c>
      <c r="AA1324" s="7" t="n">
        <v>354</v>
      </c>
      <c r="AB1324" s="7" t="n">
        <v>249</v>
      </c>
      <c r="AC1324" s="7" t="n">
        <v>258</v>
      </c>
      <c r="AD1324" s="7" t="n">
        <v>1</v>
      </c>
      <c r="AE1324" s="7" t="n">
        <v>1</v>
      </c>
      <c r="AF1324" s="7" t="n">
        <v>23</v>
      </c>
      <c r="AG1324" s="7" t="n">
        <v>23</v>
      </c>
      <c r="AH1324" s="7" t="n">
        <v>8</v>
      </c>
      <c r="AI1324" s="7" t="n">
        <v>8</v>
      </c>
      <c r="AJ1324" s="7" t="n">
        <v>7</v>
      </c>
      <c r="AK1324" s="7" t="n">
        <v>7</v>
      </c>
      <c r="AL1324" s="7" t="n">
        <v>15</v>
      </c>
      <c r="AM1324" s="7" t="n">
        <v>15</v>
      </c>
      <c r="AN1324" s="7" t="n">
        <v>0</v>
      </c>
      <c r="AO1324" s="7" t="n">
        <v>0</v>
      </c>
      <c r="AP1324" s="7" t="n">
        <v>0</v>
      </c>
      <c r="AQ1324" s="7" t="n">
        <v>0</v>
      </c>
      <c r="AR1324" s="6" t="s">
        <v>63</v>
      </c>
      <c r="AS1324" s="6" t="s">
        <v>57</v>
      </c>
      <c r="AT1324" s="9" t="str">
        <f aca="false">HYPERLINK("http://catalog.hathitrust.org/Record/000927594","HathiTrust Record")</f>
        <v>HathiTrust Record</v>
      </c>
      <c r="AU1324" s="9" t="str">
        <f aca="false">HYPERLINK("https://creighton-primo.hosted.exlibrisgroup.com/primo-explore/search?tab=default_tab&amp;search_scope=EVERYTHING&amp;vid=01CRU&amp;lang=en_US&amp;offset=0&amp;query=any,contains,991001272259702656","Catalog Record")</f>
        <v>Catalog Record</v>
      </c>
      <c r="AV1324" s="9" t="str">
        <f aca="false">HYPERLINK("http://www.worldcat.org/oclc/17841910","WorldCat Record")</f>
        <v>WorldCat Record</v>
      </c>
      <c r="AW1324" s="6" t="s">
        <v>10070</v>
      </c>
      <c r="AX1324" s="6" t="s">
        <v>10071</v>
      </c>
      <c r="AY1324" s="6" t="s">
        <v>10072</v>
      </c>
      <c r="AZ1324" s="6" t="s">
        <v>10072</v>
      </c>
      <c r="BA1324" s="6" t="s">
        <v>10073</v>
      </c>
      <c r="BB1324" s="6" t="s">
        <v>10074</v>
      </c>
      <c r="BC1324" s="6" t="s">
        <v>10075</v>
      </c>
      <c r="BE1324" s="15" t="s">
        <v>2145</v>
      </c>
      <c r="BF1324" s="6" t="s">
        <v>10076</v>
      </c>
    </row>
    <row r="1325" customFormat="false" ht="105.5" hidden="false" customHeight="false" outlineLevel="0" collapsed="false">
      <c r="A1325" s="26" t="s">
        <v>63</v>
      </c>
      <c r="B1325" s="27" t="s">
        <v>2129</v>
      </c>
      <c r="C1325" s="27" t="s">
        <v>2130</v>
      </c>
      <c r="D1325" s="27" t="s">
        <v>10077</v>
      </c>
      <c r="E1325" s="27" t="s">
        <v>10078</v>
      </c>
      <c r="F1325" s="27" t="s">
        <v>10079</v>
      </c>
      <c r="G1325" s="28"/>
      <c r="H1325" s="6" t="s">
        <v>63</v>
      </c>
      <c r="I1325" s="6" t="s">
        <v>62</v>
      </c>
      <c r="J1325" s="6" t="s">
        <v>63</v>
      </c>
      <c r="K1325" s="6" t="s">
        <v>63</v>
      </c>
      <c r="L1325" s="6" t="s">
        <v>64</v>
      </c>
      <c r="M1325" s="27" t="s">
        <v>5000</v>
      </c>
      <c r="N1325" s="27" t="s">
        <v>10080</v>
      </c>
      <c r="O1325" s="6" t="s">
        <v>4833</v>
      </c>
      <c r="P1325" s="28"/>
      <c r="Q1325" s="6" t="s">
        <v>67</v>
      </c>
      <c r="R1325" s="6" t="s">
        <v>68</v>
      </c>
      <c r="S1325" s="28"/>
      <c r="T1325" s="6" t="s">
        <v>6138</v>
      </c>
      <c r="U1325" s="7" t="n">
        <v>1</v>
      </c>
      <c r="V1325" s="7" t="n">
        <v>1</v>
      </c>
      <c r="W1325" s="8" t="s">
        <v>10081</v>
      </c>
      <c r="X1325" s="8" t="s">
        <v>10081</v>
      </c>
      <c r="Y1325" s="8" t="s">
        <v>9956</v>
      </c>
      <c r="Z1325" s="8" t="s">
        <v>9956</v>
      </c>
      <c r="AA1325" s="7" t="n">
        <v>349</v>
      </c>
      <c r="AB1325" s="7" t="n">
        <v>323</v>
      </c>
      <c r="AC1325" s="7" t="n">
        <v>527</v>
      </c>
      <c r="AD1325" s="7" t="n">
        <v>2</v>
      </c>
      <c r="AE1325" s="7" t="n">
        <v>3</v>
      </c>
      <c r="AF1325" s="7" t="n">
        <v>25</v>
      </c>
      <c r="AG1325" s="7" t="n">
        <v>35</v>
      </c>
      <c r="AH1325" s="7" t="n">
        <v>7</v>
      </c>
      <c r="AI1325" s="7" t="n">
        <v>12</v>
      </c>
      <c r="AJ1325" s="7" t="n">
        <v>5</v>
      </c>
      <c r="AK1325" s="7" t="n">
        <v>9</v>
      </c>
      <c r="AL1325" s="7" t="n">
        <v>20</v>
      </c>
      <c r="AM1325" s="7" t="n">
        <v>25</v>
      </c>
      <c r="AN1325" s="7" t="n">
        <v>1</v>
      </c>
      <c r="AO1325" s="7" t="n">
        <v>2</v>
      </c>
      <c r="AP1325" s="7" t="n">
        <v>0</v>
      </c>
      <c r="AQ1325" s="7" t="n">
        <v>0</v>
      </c>
      <c r="AR1325" s="6" t="s">
        <v>63</v>
      </c>
      <c r="AS1325" s="6" t="s">
        <v>57</v>
      </c>
      <c r="AT1325" s="9" t="str">
        <f aca="false">HYPERLINK("http://catalog.hathitrust.org/Record/001384867","HathiTrust Record")</f>
        <v>HathiTrust Record</v>
      </c>
      <c r="AU1325" s="9" t="str">
        <f aca="false">HYPERLINK("https://creighton-primo.hosted.exlibrisgroup.com/primo-explore/search?tab=default_tab&amp;search_scope=EVERYTHING&amp;vid=01CRU&amp;lang=en_US&amp;offset=0&amp;query=any,contains,991003119299702656","Catalog Record")</f>
        <v>Catalog Record</v>
      </c>
      <c r="AV1325" s="9" t="str">
        <f aca="false">HYPERLINK("http://www.worldcat.org/oclc/665111","WorldCat Record")</f>
        <v>WorldCat Record</v>
      </c>
      <c r="AW1325" s="6" t="s">
        <v>10082</v>
      </c>
      <c r="AX1325" s="6" t="s">
        <v>10083</v>
      </c>
      <c r="AY1325" s="6" t="s">
        <v>10084</v>
      </c>
      <c r="AZ1325" s="6" t="s">
        <v>10084</v>
      </c>
      <c r="BA1325" s="6" t="s">
        <v>10085</v>
      </c>
      <c r="BB1325" s="28"/>
      <c r="BC1325" s="6" t="s">
        <v>10086</v>
      </c>
      <c r="BE1325" s="15" t="s">
        <v>2145</v>
      </c>
      <c r="BF1325" s="6" t="s">
        <v>10087</v>
      </c>
    </row>
    <row r="1326" customFormat="false" ht="117" hidden="false" customHeight="false" outlineLevel="0" collapsed="false">
      <c r="A1326" s="26" t="s">
        <v>57</v>
      </c>
      <c r="B1326" s="27" t="s">
        <v>2129</v>
      </c>
      <c r="C1326" s="27" t="s">
        <v>2130</v>
      </c>
      <c r="D1326" s="27" t="s">
        <v>10088</v>
      </c>
      <c r="E1326" s="27" t="s">
        <v>10089</v>
      </c>
      <c r="F1326" s="27" t="s">
        <v>10090</v>
      </c>
      <c r="G1326" s="28"/>
      <c r="H1326" s="6" t="s">
        <v>63</v>
      </c>
      <c r="I1326" s="6" t="s">
        <v>62</v>
      </c>
      <c r="J1326" s="6" t="s">
        <v>63</v>
      </c>
      <c r="K1326" s="6" t="s">
        <v>63</v>
      </c>
      <c r="L1326" s="6" t="s">
        <v>64</v>
      </c>
      <c r="M1326" s="27" t="s">
        <v>10091</v>
      </c>
      <c r="N1326" s="27" t="s">
        <v>10092</v>
      </c>
      <c r="O1326" s="6" t="s">
        <v>152</v>
      </c>
      <c r="P1326" s="28"/>
      <c r="Q1326" s="6" t="s">
        <v>67</v>
      </c>
      <c r="R1326" s="6" t="s">
        <v>5017</v>
      </c>
      <c r="S1326" s="27" t="s">
        <v>10093</v>
      </c>
      <c r="T1326" s="6" t="s">
        <v>6138</v>
      </c>
      <c r="U1326" s="7" t="n">
        <v>3</v>
      </c>
      <c r="V1326" s="7" t="n">
        <v>3</v>
      </c>
      <c r="W1326" s="8" t="s">
        <v>10094</v>
      </c>
      <c r="X1326" s="8" t="s">
        <v>10094</v>
      </c>
      <c r="Y1326" s="8" t="s">
        <v>9956</v>
      </c>
      <c r="Z1326" s="8" t="s">
        <v>9956</v>
      </c>
      <c r="AA1326" s="7" t="n">
        <v>376</v>
      </c>
      <c r="AB1326" s="7" t="n">
        <v>287</v>
      </c>
      <c r="AC1326" s="7" t="n">
        <v>289</v>
      </c>
      <c r="AD1326" s="7" t="n">
        <v>2</v>
      </c>
      <c r="AE1326" s="7" t="n">
        <v>2</v>
      </c>
      <c r="AF1326" s="7" t="n">
        <v>29</v>
      </c>
      <c r="AG1326" s="7" t="n">
        <v>29</v>
      </c>
      <c r="AH1326" s="7" t="n">
        <v>9</v>
      </c>
      <c r="AI1326" s="7" t="n">
        <v>9</v>
      </c>
      <c r="AJ1326" s="7" t="n">
        <v>9</v>
      </c>
      <c r="AK1326" s="7" t="n">
        <v>9</v>
      </c>
      <c r="AL1326" s="7" t="n">
        <v>22</v>
      </c>
      <c r="AM1326" s="7" t="n">
        <v>22</v>
      </c>
      <c r="AN1326" s="7" t="n">
        <v>1</v>
      </c>
      <c r="AO1326" s="7" t="n">
        <v>1</v>
      </c>
      <c r="AP1326" s="7" t="n">
        <v>0</v>
      </c>
      <c r="AQ1326" s="7" t="n">
        <v>0</v>
      </c>
      <c r="AR1326" s="6" t="s">
        <v>63</v>
      </c>
      <c r="AS1326" s="6" t="s">
        <v>57</v>
      </c>
      <c r="AT1326" s="9" t="str">
        <f aca="false">HYPERLINK("http://catalog.hathitrust.org/Record/000643809","HathiTrust Record")</f>
        <v>HathiTrust Record</v>
      </c>
      <c r="AU1326" s="9" t="str">
        <f aca="false">HYPERLINK("https://creighton-primo.hosted.exlibrisgroup.com/primo-explore/search?tab=default_tab&amp;search_scope=EVERYTHING&amp;vid=01CRU&amp;lang=en_US&amp;offset=0&amp;query=any,contains,991000467859702656","Catalog Record")</f>
        <v>Catalog Record</v>
      </c>
      <c r="AV1326" s="9" t="str">
        <f aca="false">HYPERLINK("http://www.worldcat.org/oclc/10988824","WorldCat Record")</f>
        <v>WorldCat Record</v>
      </c>
      <c r="AW1326" s="6" t="s">
        <v>10095</v>
      </c>
      <c r="AX1326" s="6" t="s">
        <v>10096</v>
      </c>
      <c r="AY1326" s="6" t="s">
        <v>10097</v>
      </c>
      <c r="AZ1326" s="6" t="s">
        <v>10097</v>
      </c>
      <c r="BA1326" s="6" t="s">
        <v>10098</v>
      </c>
      <c r="BB1326" s="6" t="s">
        <v>10099</v>
      </c>
      <c r="BC1326" s="6" t="s">
        <v>10100</v>
      </c>
      <c r="BE1326" s="15" t="s">
        <v>2145</v>
      </c>
      <c r="BF1326" s="6" t="s">
        <v>10101</v>
      </c>
    </row>
    <row r="1327" customFormat="false" ht="151.5" hidden="false" customHeight="false" outlineLevel="0" collapsed="false">
      <c r="A1327" s="26" t="s">
        <v>63</v>
      </c>
      <c r="B1327" s="27" t="s">
        <v>2129</v>
      </c>
      <c r="C1327" s="27" t="s">
        <v>2130</v>
      </c>
      <c r="D1327" s="27" t="s">
        <v>10102</v>
      </c>
      <c r="E1327" s="27" t="s">
        <v>10103</v>
      </c>
      <c r="F1327" s="27" t="s">
        <v>10104</v>
      </c>
      <c r="G1327" s="28"/>
      <c r="H1327" s="6" t="s">
        <v>63</v>
      </c>
      <c r="I1327" s="6" t="s">
        <v>62</v>
      </c>
      <c r="J1327" s="6" t="s">
        <v>63</v>
      </c>
      <c r="K1327" s="6" t="s">
        <v>63</v>
      </c>
      <c r="L1327" s="6" t="s">
        <v>64</v>
      </c>
      <c r="M1327" s="27" t="s">
        <v>10105</v>
      </c>
      <c r="N1327" s="27" t="s">
        <v>10106</v>
      </c>
      <c r="O1327" s="6" t="s">
        <v>2249</v>
      </c>
      <c r="P1327" s="27" t="s">
        <v>10107</v>
      </c>
      <c r="Q1327" s="6" t="s">
        <v>67</v>
      </c>
      <c r="R1327" s="6" t="s">
        <v>1059</v>
      </c>
      <c r="S1327" s="28"/>
      <c r="T1327" s="6" t="s">
        <v>6138</v>
      </c>
      <c r="U1327" s="7" t="n">
        <v>2</v>
      </c>
      <c r="V1327" s="7" t="n">
        <v>2</v>
      </c>
      <c r="W1327" s="8" t="s">
        <v>10108</v>
      </c>
      <c r="X1327" s="8" t="s">
        <v>10108</v>
      </c>
      <c r="Y1327" s="8" t="s">
        <v>3031</v>
      </c>
      <c r="Z1327" s="8" t="s">
        <v>3031</v>
      </c>
      <c r="AA1327" s="7" t="n">
        <v>27</v>
      </c>
      <c r="AB1327" s="7" t="n">
        <v>25</v>
      </c>
      <c r="AC1327" s="7" t="n">
        <v>293</v>
      </c>
      <c r="AD1327" s="7" t="n">
        <v>1</v>
      </c>
      <c r="AE1327" s="7" t="n">
        <v>3</v>
      </c>
      <c r="AF1327" s="7" t="n">
        <v>1</v>
      </c>
      <c r="AG1327" s="7" t="n">
        <v>20</v>
      </c>
      <c r="AH1327" s="7" t="n">
        <v>0</v>
      </c>
      <c r="AI1327" s="7" t="n">
        <v>5</v>
      </c>
      <c r="AJ1327" s="7" t="n">
        <v>1</v>
      </c>
      <c r="AK1327" s="7" t="n">
        <v>7</v>
      </c>
      <c r="AL1327" s="7" t="n">
        <v>0</v>
      </c>
      <c r="AM1327" s="7" t="n">
        <v>12</v>
      </c>
      <c r="AN1327" s="7" t="n">
        <v>0</v>
      </c>
      <c r="AO1327" s="7" t="n">
        <v>2</v>
      </c>
      <c r="AP1327" s="7" t="n">
        <v>0</v>
      </c>
      <c r="AQ1327" s="7" t="n">
        <v>0</v>
      </c>
      <c r="AR1327" s="6" t="s">
        <v>63</v>
      </c>
      <c r="AS1327" s="6" t="s">
        <v>63</v>
      </c>
      <c r="AT1327" s="28"/>
      <c r="AU1327" s="9" t="str">
        <f aca="false">HYPERLINK("https://creighton-primo.hosted.exlibrisgroup.com/primo-explore/search?tab=default_tab&amp;search_scope=EVERYTHING&amp;vid=01CRU&amp;lang=en_US&amp;offset=0&amp;query=any,contains,991004498739702656","Catalog Record")</f>
        <v>Catalog Record</v>
      </c>
      <c r="AV1327" s="9" t="str">
        <f aca="false">HYPERLINK("http://www.worldcat.org/oclc/36837020","WorldCat Record")</f>
        <v>WorldCat Record</v>
      </c>
      <c r="AW1327" s="6" t="s">
        <v>10109</v>
      </c>
      <c r="AX1327" s="6" t="s">
        <v>10110</v>
      </c>
      <c r="AY1327" s="6" t="s">
        <v>10111</v>
      </c>
      <c r="AZ1327" s="6" t="s">
        <v>10111</v>
      </c>
      <c r="BA1327" s="6" t="s">
        <v>10112</v>
      </c>
      <c r="BB1327" s="6" t="s">
        <v>10113</v>
      </c>
      <c r="BC1327" s="6" t="s">
        <v>10114</v>
      </c>
      <c r="BE1327" s="15" t="s">
        <v>2145</v>
      </c>
      <c r="BF1327" s="6" t="s">
        <v>10115</v>
      </c>
    </row>
    <row r="1328" customFormat="false" ht="117" hidden="false" customHeight="false" outlineLevel="0" collapsed="false">
      <c r="A1328" s="26" t="s">
        <v>63</v>
      </c>
      <c r="B1328" s="27" t="s">
        <v>2129</v>
      </c>
      <c r="C1328" s="27" t="s">
        <v>2130</v>
      </c>
      <c r="D1328" s="27" t="s">
        <v>10116</v>
      </c>
      <c r="E1328" s="27" t="s">
        <v>10117</v>
      </c>
      <c r="F1328" s="27" t="s">
        <v>10118</v>
      </c>
      <c r="G1328" s="28"/>
      <c r="H1328" s="6" t="s">
        <v>63</v>
      </c>
      <c r="I1328" s="6" t="s">
        <v>62</v>
      </c>
      <c r="J1328" s="6" t="s">
        <v>63</v>
      </c>
      <c r="K1328" s="6" t="s">
        <v>63</v>
      </c>
      <c r="L1328" s="6" t="s">
        <v>64</v>
      </c>
      <c r="M1328" s="27" t="s">
        <v>10119</v>
      </c>
      <c r="N1328" s="27" t="s">
        <v>10120</v>
      </c>
      <c r="O1328" s="6" t="s">
        <v>2221</v>
      </c>
      <c r="P1328" s="28"/>
      <c r="Q1328" s="6" t="s">
        <v>67</v>
      </c>
      <c r="R1328" s="6" t="s">
        <v>272</v>
      </c>
      <c r="S1328" s="28"/>
      <c r="T1328" s="6" t="s">
        <v>6138</v>
      </c>
      <c r="U1328" s="7" t="n">
        <v>2</v>
      </c>
      <c r="V1328" s="7" t="n">
        <v>2</v>
      </c>
      <c r="W1328" s="8" t="s">
        <v>10121</v>
      </c>
      <c r="X1328" s="8" t="s">
        <v>10121</v>
      </c>
      <c r="Y1328" s="8" t="s">
        <v>10122</v>
      </c>
      <c r="Z1328" s="8" t="s">
        <v>10122</v>
      </c>
      <c r="AA1328" s="7" t="n">
        <v>349</v>
      </c>
      <c r="AB1328" s="7" t="n">
        <v>308</v>
      </c>
      <c r="AC1328" s="7" t="n">
        <v>322</v>
      </c>
      <c r="AD1328" s="7" t="n">
        <v>4</v>
      </c>
      <c r="AE1328" s="7" t="n">
        <v>4</v>
      </c>
      <c r="AF1328" s="7" t="n">
        <v>20</v>
      </c>
      <c r="AG1328" s="7" t="n">
        <v>20</v>
      </c>
      <c r="AH1328" s="7" t="n">
        <v>3</v>
      </c>
      <c r="AI1328" s="7" t="n">
        <v>3</v>
      </c>
      <c r="AJ1328" s="7" t="n">
        <v>7</v>
      </c>
      <c r="AK1328" s="7" t="n">
        <v>7</v>
      </c>
      <c r="AL1328" s="7" t="n">
        <v>11</v>
      </c>
      <c r="AM1328" s="7" t="n">
        <v>11</v>
      </c>
      <c r="AN1328" s="7" t="n">
        <v>3</v>
      </c>
      <c r="AO1328" s="7" t="n">
        <v>3</v>
      </c>
      <c r="AP1328" s="7" t="n">
        <v>0</v>
      </c>
      <c r="AQ1328" s="7" t="n">
        <v>0</v>
      </c>
      <c r="AR1328" s="6" t="s">
        <v>63</v>
      </c>
      <c r="AS1328" s="6" t="s">
        <v>63</v>
      </c>
      <c r="AT1328" s="28"/>
      <c r="AU1328" s="9" t="str">
        <f aca="false">HYPERLINK("https://creighton-primo.hosted.exlibrisgroup.com/primo-explore/search?tab=default_tab&amp;search_scope=EVERYTHING&amp;vid=01CRU&amp;lang=en_US&amp;offset=0&amp;query=any,contains,991001268269702656","Catalog Record")</f>
        <v>Catalog Record</v>
      </c>
      <c r="AV1328" s="9" t="str">
        <f aca="false">HYPERLINK("http://www.worldcat.org/oclc/17834798","WorldCat Record")</f>
        <v>WorldCat Record</v>
      </c>
      <c r="AW1328" s="6" t="s">
        <v>10123</v>
      </c>
      <c r="AX1328" s="6" t="s">
        <v>10124</v>
      </c>
      <c r="AY1328" s="6" t="s">
        <v>10125</v>
      </c>
      <c r="AZ1328" s="6" t="s">
        <v>10125</v>
      </c>
      <c r="BA1328" s="6" t="s">
        <v>10126</v>
      </c>
      <c r="BB1328" s="6" t="s">
        <v>10127</v>
      </c>
      <c r="BC1328" s="6" t="s">
        <v>10128</v>
      </c>
      <c r="BE1328" s="15" t="s">
        <v>2145</v>
      </c>
      <c r="BF1328" s="6" t="s">
        <v>10129</v>
      </c>
    </row>
    <row r="1329" customFormat="false" ht="117" hidden="false" customHeight="false" outlineLevel="0" collapsed="false">
      <c r="A1329" s="26" t="s">
        <v>63</v>
      </c>
      <c r="B1329" s="27" t="s">
        <v>2129</v>
      </c>
      <c r="C1329" s="27" t="s">
        <v>2130</v>
      </c>
      <c r="D1329" s="27" t="s">
        <v>10130</v>
      </c>
      <c r="E1329" s="27" t="s">
        <v>10131</v>
      </c>
      <c r="F1329" s="27" t="s">
        <v>10132</v>
      </c>
      <c r="G1329" s="28"/>
      <c r="H1329" s="6" t="s">
        <v>63</v>
      </c>
      <c r="I1329" s="6" t="s">
        <v>62</v>
      </c>
      <c r="J1329" s="6" t="s">
        <v>63</v>
      </c>
      <c r="K1329" s="6" t="s">
        <v>63</v>
      </c>
      <c r="L1329" s="6" t="s">
        <v>64</v>
      </c>
      <c r="M1329" s="28"/>
      <c r="N1329" s="27" t="s">
        <v>10133</v>
      </c>
      <c r="O1329" s="6" t="s">
        <v>66</v>
      </c>
      <c r="P1329" s="28"/>
      <c r="Q1329" s="6" t="s">
        <v>67</v>
      </c>
      <c r="R1329" s="6" t="s">
        <v>68</v>
      </c>
      <c r="S1329" s="28"/>
      <c r="T1329" s="6" t="s">
        <v>6138</v>
      </c>
      <c r="U1329" s="7" t="n">
        <v>2</v>
      </c>
      <c r="V1329" s="7" t="n">
        <v>2</v>
      </c>
      <c r="W1329" s="8" t="s">
        <v>10134</v>
      </c>
      <c r="X1329" s="8" t="s">
        <v>10134</v>
      </c>
      <c r="Y1329" s="8" t="s">
        <v>4528</v>
      </c>
      <c r="Z1329" s="8" t="s">
        <v>4528</v>
      </c>
      <c r="AA1329" s="7" t="n">
        <v>362</v>
      </c>
      <c r="AB1329" s="7" t="n">
        <v>228</v>
      </c>
      <c r="AC1329" s="7" t="n">
        <v>256</v>
      </c>
      <c r="AD1329" s="7" t="n">
        <v>3</v>
      </c>
      <c r="AE1329" s="7" t="n">
        <v>3</v>
      </c>
      <c r="AF1329" s="7" t="n">
        <v>19</v>
      </c>
      <c r="AG1329" s="7" t="n">
        <v>19</v>
      </c>
      <c r="AH1329" s="7" t="n">
        <v>4</v>
      </c>
      <c r="AI1329" s="7" t="n">
        <v>4</v>
      </c>
      <c r="AJ1329" s="7" t="n">
        <v>6</v>
      </c>
      <c r="AK1329" s="7" t="n">
        <v>6</v>
      </c>
      <c r="AL1329" s="7" t="n">
        <v>11</v>
      </c>
      <c r="AM1329" s="7" t="n">
        <v>11</v>
      </c>
      <c r="AN1329" s="7" t="n">
        <v>2</v>
      </c>
      <c r="AO1329" s="7" t="n">
        <v>2</v>
      </c>
      <c r="AP1329" s="7" t="n">
        <v>0</v>
      </c>
      <c r="AQ1329" s="7" t="n">
        <v>0</v>
      </c>
      <c r="AR1329" s="6" t="s">
        <v>63</v>
      </c>
      <c r="AS1329" s="6" t="s">
        <v>57</v>
      </c>
      <c r="AT1329" s="9" t="str">
        <f aca="false">HYPERLINK("http://catalog.hathitrust.org/Record/002791732","HathiTrust Record")</f>
        <v>HathiTrust Record</v>
      </c>
      <c r="AU1329" s="9" t="str">
        <f aca="false">HYPERLINK("https://creighton-primo.hosted.exlibrisgroup.com/primo-explore/search?tab=default_tab&amp;search_scope=EVERYTHING&amp;vid=01CRU&amp;lang=en_US&amp;offset=0&amp;query=any,contains,991002129249702656","Catalog Record")</f>
        <v>Catalog Record</v>
      </c>
      <c r="AV1329" s="9" t="str">
        <f aca="false">HYPERLINK("http://www.worldcat.org/oclc/27266124","WorldCat Record")</f>
        <v>WorldCat Record</v>
      </c>
      <c r="AW1329" s="6" t="s">
        <v>10135</v>
      </c>
      <c r="AX1329" s="6" t="s">
        <v>10136</v>
      </c>
      <c r="AY1329" s="6" t="s">
        <v>10137</v>
      </c>
      <c r="AZ1329" s="6" t="s">
        <v>10137</v>
      </c>
      <c r="BA1329" s="6" t="s">
        <v>10138</v>
      </c>
      <c r="BB1329" s="6" t="s">
        <v>10139</v>
      </c>
      <c r="BC1329" s="6" t="s">
        <v>10140</v>
      </c>
      <c r="BE1329" s="15" t="s">
        <v>2145</v>
      </c>
      <c r="BF1329" s="6" t="s">
        <v>10141</v>
      </c>
    </row>
    <row r="1330" customFormat="false" ht="82.5" hidden="false" customHeight="false" outlineLevel="0" collapsed="false">
      <c r="A1330" s="26" t="s">
        <v>63</v>
      </c>
      <c r="B1330" s="27" t="s">
        <v>2129</v>
      </c>
      <c r="C1330" s="27" t="s">
        <v>2130</v>
      </c>
      <c r="D1330" s="27" t="s">
        <v>10142</v>
      </c>
      <c r="E1330" s="27" t="s">
        <v>10143</v>
      </c>
      <c r="F1330" s="27" t="s">
        <v>10144</v>
      </c>
      <c r="G1330" s="28"/>
      <c r="H1330" s="6" t="s">
        <v>63</v>
      </c>
      <c r="I1330" s="6" t="s">
        <v>62</v>
      </c>
      <c r="J1330" s="6" t="s">
        <v>63</v>
      </c>
      <c r="K1330" s="6" t="s">
        <v>63</v>
      </c>
      <c r="L1330" s="6" t="s">
        <v>64</v>
      </c>
      <c r="M1330" s="27" t="s">
        <v>10145</v>
      </c>
      <c r="N1330" s="27" t="s">
        <v>10146</v>
      </c>
      <c r="O1330" s="6" t="s">
        <v>2221</v>
      </c>
      <c r="P1330" s="28"/>
      <c r="Q1330" s="6" t="s">
        <v>67</v>
      </c>
      <c r="R1330" s="6" t="s">
        <v>68</v>
      </c>
      <c r="S1330" s="28"/>
      <c r="T1330" s="6" t="s">
        <v>6138</v>
      </c>
      <c r="U1330" s="7" t="n">
        <v>3</v>
      </c>
      <c r="V1330" s="7" t="n">
        <v>3</v>
      </c>
      <c r="W1330" s="8" t="s">
        <v>10147</v>
      </c>
      <c r="X1330" s="8" t="s">
        <v>10147</v>
      </c>
      <c r="Y1330" s="8" t="s">
        <v>10148</v>
      </c>
      <c r="Z1330" s="8" t="s">
        <v>10148</v>
      </c>
      <c r="AA1330" s="7" t="n">
        <v>260</v>
      </c>
      <c r="AB1330" s="7" t="n">
        <v>220</v>
      </c>
      <c r="AC1330" s="7" t="n">
        <v>258</v>
      </c>
      <c r="AD1330" s="7" t="n">
        <v>2</v>
      </c>
      <c r="AE1330" s="7" t="n">
        <v>3</v>
      </c>
      <c r="AF1330" s="7" t="n">
        <v>18</v>
      </c>
      <c r="AG1330" s="7" t="n">
        <v>21</v>
      </c>
      <c r="AH1330" s="7" t="n">
        <v>5</v>
      </c>
      <c r="AI1330" s="7" t="n">
        <v>5</v>
      </c>
      <c r="AJ1330" s="7" t="n">
        <v>6</v>
      </c>
      <c r="AK1330" s="7" t="n">
        <v>8</v>
      </c>
      <c r="AL1330" s="7" t="n">
        <v>12</v>
      </c>
      <c r="AM1330" s="7" t="n">
        <v>14</v>
      </c>
      <c r="AN1330" s="7" t="n">
        <v>1</v>
      </c>
      <c r="AO1330" s="7" t="n">
        <v>2</v>
      </c>
      <c r="AP1330" s="7" t="n">
        <v>0</v>
      </c>
      <c r="AQ1330" s="7" t="n">
        <v>0</v>
      </c>
      <c r="AR1330" s="6" t="s">
        <v>63</v>
      </c>
      <c r="AS1330" s="6" t="s">
        <v>63</v>
      </c>
      <c r="AT1330" s="28"/>
      <c r="AU1330" s="9" t="str">
        <f aca="false">HYPERLINK("https://creighton-primo.hosted.exlibrisgroup.com/primo-explore/search?tab=default_tab&amp;search_scope=EVERYTHING&amp;vid=01CRU&amp;lang=en_US&amp;offset=0&amp;query=any,contains,991001172529702656","Catalog Record")</f>
        <v>Catalog Record</v>
      </c>
      <c r="AV1330" s="9" t="str">
        <f aca="false">HYPERLINK("http://www.worldcat.org/oclc/16980873","WorldCat Record")</f>
        <v>WorldCat Record</v>
      </c>
      <c r="AW1330" s="6" t="s">
        <v>10149</v>
      </c>
      <c r="AX1330" s="6" t="s">
        <v>10150</v>
      </c>
      <c r="AY1330" s="6" t="s">
        <v>10151</v>
      </c>
      <c r="AZ1330" s="6" t="s">
        <v>10151</v>
      </c>
      <c r="BA1330" s="6" t="s">
        <v>10152</v>
      </c>
      <c r="BB1330" s="6" t="s">
        <v>10153</v>
      </c>
      <c r="BC1330" s="6" t="s">
        <v>10154</v>
      </c>
      <c r="BE1330" s="15" t="s">
        <v>2145</v>
      </c>
      <c r="BF1330" s="6" t="s">
        <v>10155</v>
      </c>
    </row>
    <row r="1331" customFormat="false" ht="82.5" hidden="false" customHeight="false" outlineLevel="0" collapsed="false">
      <c r="A1331" s="26" t="s">
        <v>63</v>
      </c>
      <c r="B1331" s="27" t="s">
        <v>2129</v>
      </c>
      <c r="C1331" s="27" t="s">
        <v>2130</v>
      </c>
      <c r="D1331" s="27" t="s">
        <v>10156</v>
      </c>
      <c r="E1331" s="27" t="s">
        <v>10157</v>
      </c>
      <c r="F1331" s="27" t="s">
        <v>9951</v>
      </c>
      <c r="G1331" s="28"/>
      <c r="H1331" s="6" t="s">
        <v>63</v>
      </c>
      <c r="I1331" s="6" t="s">
        <v>62</v>
      </c>
      <c r="J1331" s="6" t="s">
        <v>57</v>
      </c>
      <c r="K1331" s="6" t="s">
        <v>63</v>
      </c>
      <c r="L1331" s="6" t="s">
        <v>64</v>
      </c>
      <c r="M1331" s="27" t="s">
        <v>9952</v>
      </c>
      <c r="N1331" s="27" t="s">
        <v>9953</v>
      </c>
      <c r="O1331" s="6" t="s">
        <v>3513</v>
      </c>
      <c r="P1331" s="28"/>
      <c r="Q1331" s="6" t="s">
        <v>4501</v>
      </c>
      <c r="R1331" s="6" t="s">
        <v>671</v>
      </c>
      <c r="S1331" s="27" t="s">
        <v>9954</v>
      </c>
      <c r="T1331" s="6" t="s">
        <v>6138</v>
      </c>
      <c r="U1331" s="7" t="n">
        <v>0</v>
      </c>
      <c r="V1331" s="7" t="n">
        <v>0</v>
      </c>
      <c r="W1331" s="28"/>
      <c r="X1331" s="8" t="s">
        <v>9955</v>
      </c>
      <c r="Y1331" s="8" t="s">
        <v>9956</v>
      </c>
      <c r="Z1331" s="8" t="s">
        <v>9956</v>
      </c>
      <c r="AA1331" s="7" t="n">
        <v>52</v>
      </c>
      <c r="AB1331" s="7" t="n">
        <v>38</v>
      </c>
      <c r="AC1331" s="7" t="n">
        <v>48</v>
      </c>
      <c r="AD1331" s="7" t="n">
        <v>1</v>
      </c>
      <c r="AE1331" s="7" t="n">
        <v>1</v>
      </c>
      <c r="AF1331" s="7" t="n">
        <v>15</v>
      </c>
      <c r="AG1331" s="7" t="n">
        <v>16</v>
      </c>
      <c r="AH1331" s="7" t="n">
        <v>3</v>
      </c>
      <c r="AI1331" s="7" t="n">
        <v>3</v>
      </c>
      <c r="AJ1331" s="7" t="n">
        <v>2</v>
      </c>
      <c r="AK1331" s="7" t="n">
        <v>2</v>
      </c>
      <c r="AL1331" s="7" t="n">
        <v>14</v>
      </c>
      <c r="AM1331" s="7" t="n">
        <v>15</v>
      </c>
      <c r="AN1331" s="7" t="n">
        <v>0</v>
      </c>
      <c r="AO1331" s="7" t="n">
        <v>0</v>
      </c>
      <c r="AP1331" s="7" t="n">
        <v>0</v>
      </c>
      <c r="AQ1331" s="7" t="n">
        <v>0</v>
      </c>
      <c r="AR1331" s="6" t="s">
        <v>63</v>
      </c>
      <c r="AS1331" s="6" t="s">
        <v>57</v>
      </c>
      <c r="AT1331" s="9" t="str">
        <f aca="false">HYPERLINK("http://catalog.hathitrust.org/Record/006752878","HathiTrust Record")</f>
        <v>HathiTrust Record</v>
      </c>
      <c r="AU1331" s="9" t="str">
        <f aca="false">HYPERLINK("https://creighton-primo.hosted.exlibrisgroup.com/primo-explore/search?tab=default_tab&amp;search_scope=EVERYTHING&amp;vid=01CRU&amp;lang=en_US&amp;offset=0&amp;query=any,contains,991004095049702656","Catalog Record")</f>
        <v>Catalog Record</v>
      </c>
      <c r="AV1331" s="9" t="str">
        <f aca="false">HYPERLINK("http://www.worldcat.org/oclc/2357413","WorldCat Record")</f>
        <v>WorldCat Record</v>
      </c>
      <c r="AW1331" s="6" t="s">
        <v>9957</v>
      </c>
      <c r="AX1331" s="6" t="s">
        <v>9958</v>
      </c>
      <c r="AY1331" s="6" t="s">
        <v>9959</v>
      </c>
      <c r="AZ1331" s="6" t="s">
        <v>9959</v>
      </c>
      <c r="BA1331" s="6" t="s">
        <v>9960</v>
      </c>
      <c r="BB1331" s="28"/>
      <c r="BC1331" s="6" t="s">
        <v>10158</v>
      </c>
      <c r="BE1331" s="15" t="s">
        <v>2145</v>
      </c>
      <c r="BF1331" s="6" t="s">
        <v>10159</v>
      </c>
    </row>
    <row r="1332" customFormat="false" ht="59.5" hidden="false" customHeight="false" outlineLevel="0" collapsed="false">
      <c r="A1332" s="26" t="s">
        <v>63</v>
      </c>
      <c r="B1332" s="27" t="s">
        <v>2129</v>
      </c>
      <c r="C1332" s="27" t="s">
        <v>2130</v>
      </c>
      <c r="D1332" s="27" t="s">
        <v>10160</v>
      </c>
      <c r="E1332" s="27" t="s">
        <v>10161</v>
      </c>
      <c r="F1332" s="27" t="s">
        <v>10162</v>
      </c>
      <c r="G1332" s="28"/>
      <c r="H1332" s="6" t="s">
        <v>63</v>
      </c>
      <c r="I1332" s="6" t="s">
        <v>62</v>
      </c>
      <c r="J1332" s="6" t="s">
        <v>63</v>
      </c>
      <c r="K1332" s="6" t="s">
        <v>63</v>
      </c>
      <c r="L1332" s="6" t="s">
        <v>64</v>
      </c>
      <c r="M1332" s="27" t="s">
        <v>9966</v>
      </c>
      <c r="N1332" s="27" t="s">
        <v>10163</v>
      </c>
      <c r="O1332" s="6" t="s">
        <v>2467</v>
      </c>
      <c r="P1332" s="28"/>
      <c r="Q1332" s="6" t="s">
        <v>67</v>
      </c>
      <c r="R1332" s="6" t="s">
        <v>68</v>
      </c>
      <c r="S1332" s="28"/>
      <c r="T1332" s="6" t="s">
        <v>6138</v>
      </c>
      <c r="U1332" s="7" t="n">
        <v>1</v>
      </c>
      <c r="V1332" s="7" t="n">
        <v>1</v>
      </c>
      <c r="W1332" s="8" t="s">
        <v>10164</v>
      </c>
      <c r="X1332" s="8" t="s">
        <v>10164</v>
      </c>
      <c r="Y1332" s="8" t="s">
        <v>9956</v>
      </c>
      <c r="Z1332" s="8" t="s">
        <v>9956</v>
      </c>
      <c r="AA1332" s="7" t="n">
        <v>555</v>
      </c>
      <c r="AB1332" s="7" t="n">
        <v>505</v>
      </c>
      <c r="AC1332" s="7" t="n">
        <v>520</v>
      </c>
      <c r="AD1332" s="7" t="n">
        <v>3</v>
      </c>
      <c r="AE1332" s="7" t="n">
        <v>3</v>
      </c>
      <c r="AF1332" s="7" t="n">
        <v>33</v>
      </c>
      <c r="AG1332" s="7" t="n">
        <v>34</v>
      </c>
      <c r="AH1332" s="7" t="n">
        <v>12</v>
      </c>
      <c r="AI1332" s="7" t="n">
        <v>13</v>
      </c>
      <c r="AJ1332" s="7" t="n">
        <v>9</v>
      </c>
      <c r="AK1332" s="7" t="n">
        <v>9</v>
      </c>
      <c r="AL1332" s="7" t="n">
        <v>21</v>
      </c>
      <c r="AM1332" s="7" t="n">
        <v>21</v>
      </c>
      <c r="AN1332" s="7" t="n">
        <v>2</v>
      </c>
      <c r="AO1332" s="7" t="n">
        <v>2</v>
      </c>
      <c r="AP1332" s="7" t="n">
        <v>0</v>
      </c>
      <c r="AQ1332" s="7" t="n">
        <v>0</v>
      </c>
      <c r="AR1332" s="6" t="s">
        <v>63</v>
      </c>
      <c r="AS1332" s="6" t="s">
        <v>57</v>
      </c>
      <c r="AT1332" s="9" t="str">
        <f aca="false">HYPERLINK("http://catalog.hathitrust.org/Record/000183959","HathiTrust Record")</f>
        <v>HathiTrust Record</v>
      </c>
      <c r="AU1332" s="9" t="str">
        <f aca="false">HYPERLINK("https://creighton-primo.hosted.exlibrisgroup.com/primo-explore/search?tab=default_tab&amp;search_scope=EVERYTHING&amp;vid=01CRU&amp;lang=en_US&amp;offset=0&amp;query=any,contains,991002991999702656","Catalog Record")</f>
        <v>Catalog Record</v>
      </c>
      <c r="AV1332" s="9" t="str">
        <f aca="false">HYPERLINK("http://www.worldcat.org/oclc/561248","WorldCat Record")</f>
        <v>WorldCat Record</v>
      </c>
      <c r="AW1332" s="6" t="s">
        <v>10165</v>
      </c>
      <c r="AX1332" s="6" t="s">
        <v>10166</v>
      </c>
      <c r="AY1332" s="6" t="s">
        <v>10167</v>
      </c>
      <c r="AZ1332" s="6" t="s">
        <v>10167</v>
      </c>
      <c r="BA1332" s="6" t="s">
        <v>10168</v>
      </c>
      <c r="BB1332" s="28"/>
      <c r="BC1332" s="6" t="s">
        <v>10169</v>
      </c>
      <c r="BE1332" s="15" t="s">
        <v>2145</v>
      </c>
      <c r="BF1332" s="6" t="s">
        <v>10170</v>
      </c>
    </row>
    <row r="1333" customFormat="false" ht="48" hidden="false" customHeight="false" outlineLevel="0" collapsed="false">
      <c r="A1333" s="26" t="s">
        <v>63</v>
      </c>
      <c r="B1333" s="27" t="s">
        <v>2129</v>
      </c>
      <c r="C1333" s="27" t="s">
        <v>2130</v>
      </c>
      <c r="D1333" s="27" t="s">
        <v>10171</v>
      </c>
      <c r="E1333" s="27" t="s">
        <v>10172</v>
      </c>
      <c r="F1333" s="27" t="s">
        <v>9965</v>
      </c>
      <c r="G1333" s="28"/>
      <c r="H1333" s="6" t="s">
        <v>57</v>
      </c>
      <c r="I1333" s="6" t="s">
        <v>62</v>
      </c>
      <c r="J1333" s="6" t="s">
        <v>57</v>
      </c>
      <c r="K1333" s="6" t="s">
        <v>63</v>
      </c>
      <c r="L1333" s="6" t="s">
        <v>64</v>
      </c>
      <c r="M1333" s="27" t="s">
        <v>9966</v>
      </c>
      <c r="N1333" s="27" t="s">
        <v>9967</v>
      </c>
      <c r="O1333" s="6" t="s">
        <v>2693</v>
      </c>
      <c r="P1333" s="28"/>
      <c r="Q1333" s="6" t="s">
        <v>4501</v>
      </c>
      <c r="R1333" s="6" t="s">
        <v>671</v>
      </c>
      <c r="S1333" s="27" t="s">
        <v>9968</v>
      </c>
      <c r="T1333" s="6" t="s">
        <v>6138</v>
      </c>
      <c r="U1333" s="7" t="n">
        <v>1</v>
      </c>
      <c r="V1333" s="7" t="n">
        <v>2</v>
      </c>
      <c r="W1333" s="8" t="s">
        <v>9969</v>
      </c>
      <c r="X1333" s="8" t="s">
        <v>9969</v>
      </c>
      <c r="Y1333" s="8" t="s">
        <v>10173</v>
      </c>
      <c r="Z1333" s="8" t="s">
        <v>4159</v>
      </c>
      <c r="AA1333" s="7" t="n">
        <v>64</v>
      </c>
      <c r="AB1333" s="7" t="n">
        <v>36</v>
      </c>
      <c r="AC1333" s="7" t="n">
        <v>160</v>
      </c>
      <c r="AD1333" s="7" t="n">
        <v>1</v>
      </c>
      <c r="AE1333" s="7" t="n">
        <v>2</v>
      </c>
      <c r="AF1333" s="7" t="n">
        <v>5</v>
      </c>
      <c r="AG1333" s="7" t="n">
        <v>19</v>
      </c>
      <c r="AH1333" s="7" t="n">
        <v>0</v>
      </c>
      <c r="AI1333" s="7" t="n">
        <v>3</v>
      </c>
      <c r="AJ1333" s="7" t="n">
        <v>3</v>
      </c>
      <c r="AK1333" s="7" t="n">
        <v>7</v>
      </c>
      <c r="AL1333" s="7" t="n">
        <v>3</v>
      </c>
      <c r="AM1333" s="7" t="n">
        <v>13</v>
      </c>
      <c r="AN1333" s="7" t="n">
        <v>0</v>
      </c>
      <c r="AO1333" s="7" t="n">
        <v>1</v>
      </c>
      <c r="AP1333" s="7" t="n">
        <v>0</v>
      </c>
      <c r="AQ1333" s="7" t="n">
        <v>0</v>
      </c>
      <c r="AR1333" s="6" t="s">
        <v>63</v>
      </c>
      <c r="AS1333" s="6" t="s">
        <v>63</v>
      </c>
      <c r="AT1333" s="28"/>
      <c r="AU1333" s="9" t="str">
        <f aca="false">HYPERLINK("https://creighton-primo.hosted.exlibrisgroup.com/primo-explore/search?tab=default_tab&amp;search_scope=EVERYTHING&amp;vid=01CRU&amp;lang=en_US&amp;offset=0&amp;query=any,contains,991004109469702656","Catalog Record")</f>
        <v>Catalog Record</v>
      </c>
      <c r="AV1333" s="9" t="str">
        <f aca="false">HYPERLINK("http://www.worldcat.org/oclc/2392087","WorldCat Record")</f>
        <v>WorldCat Record</v>
      </c>
      <c r="AW1333" s="6" t="s">
        <v>9970</v>
      </c>
      <c r="AX1333" s="6" t="s">
        <v>9971</v>
      </c>
      <c r="AY1333" s="6" t="s">
        <v>9972</v>
      </c>
      <c r="AZ1333" s="6" t="s">
        <v>9972</v>
      </c>
      <c r="BA1333" s="6" t="s">
        <v>9973</v>
      </c>
      <c r="BB1333" s="28"/>
      <c r="BC1333" s="6" t="s">
        <v>10174</v>
      </c>
      <c r="BE1333" s="15" t="s">
        <v>2145</v>
      </c>
      <c r="BF1333" s="6" t="s">
        <v>10175</v>
      </c>
    </row>
    <row r="1334" customFormat="false" ht="140" hidden="false" customHeight="false" outlineLevel="0" collapsed="false">
      <c r="A1334" s="26" t="s">
        <v>63</v>
      </c>
      <c r="B1334" s="27" t="s">
        <v>2129</v>
      </c>
      <c r="C1334" s="27" t="s">
        <v>2130</v>
      </c>
      <c r="D1334" s="27" t="s">
        <v>10176</v>
      </c>
      <c r="E1334" s="27" t="s">
        <v>10177</v>
      </c>
      <c r="F1334" s="27" t="s">
        <v>10178</v>
      </c>
      <c r="G1334" s="28"/>
      <c r="H1334" s="6" t="s">
        <v>63</v>
      </c>
      <c r="I1334" s="6" t="s">
        <v>62</v>
      </c>
      <c r="J1334" s="6" t="s">
        <v>63</v>
      </c>
      <c r="K1334" s="6" t="s">
        <v>63</v>
      </c>
      <c r="L1334" s="6" t="s">
        <v>64</v>
      </c>
      <c r="M1334" s="28"/>
      <c r="N1334" s="27" t="s">
        <v>10179</v>
      </c>
      <c r="O1334" s="6" t="s">
        <v>2411</v>
      </c>
      <c r="P1334" s="28"/>
      <c r="Q1334" s="6" t="s">
        <v>67</v>
      </c>
      <c r="R1334" s="6" t="s">
        <v>68</v>
      </c>
      <c r="S1334" s="27" t="s">
        <v>10180</v>
      </c>
      <c r="T1334" s="6" t="s">
        <v>6138</v>
      </c>
      <c r="U1334" s="7" t="n">
        <v>3</v>
      </c>
      <c r="V1334" s="7" t="n">
        <v>3</v>
      </c>
      <c r="W1334" s="8" t="s">
        <v>10181</v>
      </c>
      <c r="X1334" s="8" t="s">
        <v>10181</v>
      </c>
      <c r="Y1334" s="8" t="s">
        <v>10182</v>
      </c>
      <c r="Z1334" s="8" t="s">
        <v>10182</v>
      </c>
      <c r="AA1334" s="7" t="n">
        <v>129</v>
      </c>
      <c r="AB1334" s="7" t="n">
        <v>94</v>
      </c>
      <c r="AC1334" s="7" t="n">
        <v>95</v>
      </c>
      <c r="AD1334" s="7" t="n">
        <v>1</v>
      </c>
      <c r="AE1334" s="7" t="n">
        <v>1</v>
      </c>
      <c r="AF1334" s="7" t="n">
        <v>11</v>
      </c>
      <c r="AG1334" s="7" t="n">
        <v>11</v>
      </c>
      <c r="AH1334" s="7" t="n">
        <v>2</v>
      </c>
      <c r="AI1334" s="7" t="n">
        <v>2</v>
      </c>
      <c r="AJ1334" s="7" t="n">
        <v>3</v>
      </c>
      <c r="AK1334" s="7" t="n">
        <v>3</v>
      </c>
      <c r="AL1334" s="7" t="n">
        <v>10</v>
      </c>
      <c r="AM1334" s="7" t="n">
        <v>10</v>
      </c>
      <c r="AN1334" s="7" t="n">
        <v>0</v>
      </c>
      <c r="AO1334" s="7" t="n">
        <v>0</v>
      </c>
      <c r="AP1334" s="7" t="n">
        <v>0</v>
      </c>
      <c r="AQ1334" s="7" t="n">
        <v>0</v>
      </c>
      <c r="AR1334" s="6" t="s">
        <v>63</v>
      </c>
      <c r="AS1334" s="6" t="s">
        <v>57</v>
      </c>
      <c r="AT1334" s="9" t="str">
        <f aca="false">HYPERLINK("http://catalog.hathitrust.org/Record/001830566","HathiTrust Record")</f>
        <v>HathiTrust Record</v>
      </c>
      <c r="AU1334" s="9" t="str">
        <f aca="false">HYPERLINK("https://creighton-primo.hosted.exlibrisgroup.com/primo-explore/search?tab=default_tab&amp;search_scope=EVERYTHING&amp;vid=01CRU&amp;lang=en_US&amp;offset=0&amp;query=any,contains,991001526589702656","Catalog Record")</f>
        <v>Catalog Record</v>
      </c>
      <c r="AV1334" s="9" t="str">
        <f aca="false">HYPERLINK("http://www.worldcat.org/oclc/20013223","WorldCat Record")</f>
        <v>WorldCat Record</v>
      </c>
      <c r="AW1334" s="6" t="s">
        <v>10183</v>
      </c>
      <c r="AX1334" s="6" t="s">
        <v>10184</v>
      </c>
      <c r="AY1334" s="6" t="s">
        <v>10185</v>
      </c>
      <c r="AZ1334" s="6" t="s">
        <v>10185</v>
      </c>
      <c r="BA1334" s="6" t="s">
        <v>10186</v>
      </c>
      <c r="BB1334" s="6" t="s">
        <v>10187</v>
      </c>
      <c r="BC1334" s="6" t="s">
        <v>10188</v>
      </c>
      <c r="BE1334" s="15" t="s">
        <v>2145</v>
      </c>
      <c r="BF1334" s="6" t="s">
        <v>10189</v>
      </c>
    </row>
    <row r="1335" customFormat="false" ht="151.5" hidden="false" customHeight="false" outlineLevel="0" collapsed="false">
      <c r="A1335" s="26" t="s">
        <v>63</v>
      </c>
      <c r="B1335" s="27" t="s">
        <v>2129</v>
      </c>
      <c r="C1335" s="27" t="s">
        <v>2130</v>
      </c>
      <c r="D1335" s="27" t="s">
        <v>10190</v>
      </c>
      <c r="E1335" s="27" t="s">
        <v>10191</v>
      </c>
      <c r="F1335" s="27" t="s">
        <v>10192</v>
      </c>
      <c r="G1335" s="28"/>
      <c r="H1335" s="6" t="s">
        <v>57</v>
      </c>
      <c r="I1335" s="6" t="s">
        <v>62</v>
      </c>
      <c r="J1335" s="6" t="s">
        <v>57</v>
      </c>
      <c r="K1335" s="6" t="s">
        <v>63</v>
      </c>
      <c r="L1335" s="6" t="s">
        <v>64</v>
      </c>
      <c r="M1335" s="27" t="s">
        <v>10193</v>
      </c>
      <c r="N1335" s="28"/>
      <c r="O1335" s="6" t="s">
        <v>3068</v>
      </c>
      <c r="P1335" s="28"/>
      <c r="Q1335" s="6" t="s">
        <v>4501</v>
      </c>
      <c r="R1335" s="6" t="s">
        <v>748</v>
      </c>
      <c r="S1335" s="27" t="s">
        <v>10194</v>
      </c>
      <c r="T1335" s="6" t="s">
        <v>6138</v>
      </c>
      <c r="U1335" s="7" t="n">
        <v>2</v>
      </c>
      <c r="V1335" s="7" t="n">
        <v>2</v>
      </c>
      <c r="W1335" s="8" t="s">
        <v>8656</v>
      </c>
      <c r="X1335" s="8" t="s">
        <v>8656</v>
      </c>
      <c r="Y1335" s="8" t="s">
        <v>4639</v>
      </c>
      <c r="Z1335" s="8" t="s">
        <v>4639</v>
      </c>
      <c r="AA1335" s="7" t="n">
        <v>123</v>
      </c>
      <c r="AB1335" s="7" t="n">
        <v>101</v>
      </c>
      <c r="AC1335" s="7" t="n">
        <v>154</v>
      </c>
      <c r="AD1335" s="7" t="n">
        <v>1</v>
      </c>
      <c r="AE1335" s="7" t="n">
        <v>1</v>
      </c>
      <c r="AF1335" s="7" t="n">
        <v>16</v>
      </c>
      <c r="AG1335" s="7" t="n">
        <v>21</v>
      </c>
      <c r="AH1335" s="7" t="n">
        <v>4</v>
      </c>
      <c r="AI1335" s="7" t="n">
        <v>4</v>
      </c>
      <c r="AJ1335" s="7" t="n">
        <v>3</v>
      </c>
      <c r="AK1335" s="7" t="n">
        <v>7</v>
      </c>
      <c r="AL1335" s="7" t="n">
        <v>15</v>
      </c>
      <c r="AM1335" s="7" t="n">
        <v>18</v>
      </c>
      <c r="AN1335" s="7" t="n">
        <v>0</v>
      </c>
      <c r="AO1335" s="7" t="n">
        <v>0</v>
      </c>
      <c r="AP1335" s="7" t="n">
        <v>0</v>
      </c>
      <c r="AQ1335" s="7" t="n">
        <v>0</v>
      </c>
      <c r="AR1335" s="6" t="s">
        <v>63</v>
      </c>
      <c r="AS1335" s="6" t="s">
        <v>57</v>
      </c>
      <c r="AT1335" s="9" t="str">
        <f aca="false">HYPERLINK("http://catalog.hathitrust.org/Record/009946952","HathiTrust Record")</f>
        <v>HathiTrust Record</v>
      </c>
      <c r="AU1335" s="9" t="str">
        <f aca="false">HYPERLINK("https://creighton-primo.hosted.exlibrisgroup.com/primo-explore/search?tab=default_tab&amp;search_scope=EVERYTHING&amp;vid=01CRU&amp;lang=en_US&amp;offset=0&amp;query=any,contains,991004890629702656","Catalog Record")</f>
        <v>Catalog Record</v>
      </c>
      <c r="AV1335" s="9" t="str">
        <f aca="false">HYPERLINK("http://www.worldcat.org/oclc/2760298","WorldCat Record")</f>
        <v>WorldCat Record</v>
      </c>
      <c r="AW1335" s="6" t="s">
        <v>10195</v>
      </c>
      <c r="AX1335" s="6" t="s">
        <v>10196</v>
      </c>
      <c r="AY1335" s="6" t="s">
        <v>10197</v>
      </c>
      <c r="AZ1335" s="6" t="s">
        <v>10197</v>
      </c>
      <c r="BA1335" s="6" t="s">
        <v>10198</v>
      </c>
      <c r="BB1335" s="28"/>
      <c r="BC1335" s="6" t="s">
        <v>10199</v>
      </c>
      <c r="BE1335" s="15" t="s">
        <v>2145</v>
      </c>
      <c r="BF1335" s="6" t="s">
        <v>10200</v>
      </c>
    </row>
    <row r="1336" customFormat="false" ht="151.5" hidden="false" customHeight="false" outlineLevel="0" collapsed="false">
      <c r="A1336" s="26" t="s">
        <v>63</v>
      </c>
      <c r="B1336" s="27" t="s">
        <v>2129</v>
      </c>
      <c r="C1336" s="27" t="s">
        <v>2130</v>
      </c>
      <c r="D1336" s="27" t="s">
        <v>10201</v>
      </c>
      <c r="E1336" s="27" t="s">
        <v>10202</v>
      </c>
      <c r="F1336" s="27" t="s">
        <v>10203</v>
      </c>
      <c r="G1336" s="28"/>
      <c r="H1336" s="6" t="s">
        <v>63</v>
      </c>
      <c r="I1336" s="6" t="s">
        <v>62</v>
      </c>
      <c r="J1336" s="6" t="s">
        <v>57</v>
      </c>
      <c r="K1336" s="6" t="s">
        <v>63</v>
      </c>
      <c r="L1336" s="6" t="s">
        <v>64</v>
      </c>
      <c r="M1336" s="27" t="s">
        <v>10204</v>
      </c>
      <c r="N1336" s="27" t="s">
        <v>10205</v>
      </c>
      <c r="O1336" s="6" t="s">
        <v>3029</v>
      </c>
      <c r="P1336" s="28"/>
      <c r="Q1336" s="6" t="s">
        <v>67</v>
      </c>
      <c r="R1336" s="6" t="s">
        <v>68</v>
      </c>
      <c r="S1336" s="28"/>
      <c r="T1336" s="6" t="s">
        <v>6138</v>
      </c>
      <c r="U1336" s="7" t="n">
        <v>3</v>
      </c>
      <c r="V1336" s="7" t="n">
        <v>3</v>
      </c>
      <c r="W1336" s="8" t="s">
        <v>10206</v>
      </c>
      <c r="X1336" s="8" t="s">
        <v>10206</v>
      </c>
      <c r="Y1336" s="8" t="s">
        <v>10207</v>
      </c>
      <c r="Z1336" s="8" t="s">
        <v>10208</v>
      </c>
      <c r="AA1336" s="7" t="n">
        <v>562</v>
      </c>
      <c r="AB1336" s="7" t="n">
        <v>510</v>
      </c>
      <c r="AC1336" s="7" t="n">
        <v>517</v>
      </c>
      <c r="AD1336" s="7" t="n">
        <v>3</v>
      </c>
      <c r="AE1336" s="7" t="n">
        <v>3</v>
      </c>
      <c r="AF1336" s="7" t="n">
        <v>35</v>
      </c>
      <c r="AG1336" s="7" t="n">
        <v>35</v>
      </c>
      <c r="AH1336" s="7" t="n">
        <v>12</v>
      </c>
      <c r="AI1336" s="7" t="n">
        <v>12</v>
      </c>
      <c r="AJ1336" s="7" t="n">
        <v>8</v>
      </c>
      <c r="AK1336" s="7" t="n">
        <v>8</v>
      </c>
      <c r="AL1336" s="7" t="n">
        <v>24</v>
      </c>
      <c r="AM1336" s="7" t="n">
        <v>24</v>
      </c>
      <c r="AN1336" s="7" t="n">
        <v>2</v>
      </c>
      <c r="AO1336" s="7" t="n">
        <v>2</v>
      </c>
      <c r="AP1336" s="7" t="n">
        <v>0</v>
      </c>
      <c r="AQ1336" s="7" t="n">
        <v>0</v>
      </c>
      <c r="AR1336" s="6" t="s">
        <v>63</v>
      </c>
      <c r="AS1336" s="6" t="s">
        <v>63</v>
      </c>
      <c r="AT1336" s="9" t="str">
        <f aca="false">HYPERLINK("http://catalog.hathitrust.org/Record/001396121","HathiTrust Record")</f>
        <v>HathiTrust Record</v>
      </c>
      <c r="AU1336" s="9" t="str">
        <f aca="false">HYPERLINK("https://creighton-primo.hosted.exlibrisgroup.com/primo-explore/search?tab=default_tab&amp;search_scope=EVERYTHING&amp;vid=01CRU&amp;lang=en_US&amp;offset=0&amp;query=any,contains,991001069839702656","Catalog Record")</f>
        <v>Catalog Record</v>
      </c>
      <c r="AV1336" s="9" t="str">
        <f aca="false">HYPERLINK("http://www.worldcat.org/oclc/178581","WorldCat Record")</f>
        <v>WorldCat Record</v>
      </c>
      <c r="AW1336" s="6" t="s">
        <v>10209</v>
      </c>
      <c r="AX1336" s="6" t="s">
        <v>10210</v>
      </c>
      <c r="AY1336" s="6" t="s">
        <v>10211</v>
      </c>
      <c r="AZ1336" s="6" t="s">
        <v>10211</v>
      </c>
      <c r="BA1336" s="6" t="s">
        <v>10212</v>
      </c>
      <c r="BB1336" s="28"/>
      <c r="BC1336" s="6" t="s">
        <v>10213</v>
      </c>
      <c r="BE1336" s="15" t="s">
        <v>2145</v>
      </c>
      <c r="BF1336" s="6" t="s">
        <v>10214</v>
      </c>
    </row>
    <row r="1337" customFormat="false" ht="197.5" hidden="false" customHeight="false" outlineLevel="0" collapsed="false">
      <c r="A1337" s="26" t="s">
        <v>63</v>
      </c>
      <c r="B1337" s="27" t="s">
        <v>2129</v>
      </c>
      <c r="C1337" s="27" t="s">
        <v>2130</v>
      </c>
      <c r="D1337" s="27" t="s">
        <v>10215</v>
      </c>
      <c r="E1337" s="27" t="s">
        <v>10216</v>
      </c>
      <c r="F1337" s="27" t="s">
        <v>10217</v>
      </c>
      <c r="G1337" s="28"/>
      <c r="H1337" s="6" t="s">
        <v>63</v>
      </c>
      <c r="I1337" s="6" t="s">
        <v>62</v>
      </c>
      <c r="J1337" s="6" t="s">
        <v>63</v>
      </c>
      <c r="K1337" s="6" t="s">
        <v>63</v>
      </c>
      <c r="L1337" s="6" t="s">
        <v>64</v>
      </c>
      <c r="M1337" s="27" t="s">
        <v>10218</v>
      </c>
      <c r="N1337" s="27" t="s">
        <v>10219</v>
      </c>
      <c r="O1337" s="6" t="s">
        <v>2329</v>
      </c>
      <c r="P1337" s="27" t="s">
        <v>255</v>
      </c>
      <c r="Q1337" s="6" t="s">
        <v>67</v>
      </c>
      <c r="R1337" s="6" t="s">
        <v>123</v>
      </c>
      <c r="S1337" s="28"/>
      <c r="T1337" s="6" t="s">
        <v>6138</v>
      </c>
      <c r="U1337" s="7" t="n">
        <v>2</v>
      </c>
      <c r="V1337" s="7" t="n">
        <v>2</v>
      </c>
      <c r="W1337" s="8" t="s">
        <v>10220</v>
      </c>
      <c r="X1337" s="8" t="s">
        <v>10220</v>
      </c>
      <c r="Y1337" s="8" t="s">
        <v>10207</v>
      </c>
      <c r="Z1337" s="8" t="s">
        <v>10207</v>
      </c>
      <c r="AA1337" s="7" t="n">
        <v>295</v>
      </c>
      <c r="AB1337" s="7" t="n">
        <v>253</v>
      </c>
      <c r="AC1337" s="7" t="n">
        <v>259</v>
      </c>
      <c r="AD1337" s="7" t="n">
        <v>3</v>
      </c>
      <c r="AE1337" s="7" t="n">
        <v>3</v>
      </c>
      <c r="AF1337" s="7" t="n">
        <v>27</v>
      </c>
      <c r="AG1337" s="7" t="n">
        <v>27</v>
      </c>
      <c r="AH1337" s="7" t="n">
        <v>8</v>
      </c>
      <c r="AI1337" s="7" t="n">
        <v>8</v>
      </c>
      <c r="AJ1337" s="7" t="n">
        <v>6</v>
      </c>
      <c r="AK1337" s="7" t="n">
        <v>6</v>
      </c>
      <c r="AL1337" s="7" t="n">
        <v>21</v>
      </c>
      <c r="AM1337" s="7" t="n">
        <v>21</v>
      </c>
      <c r="AN1337" s="7" t="n">
        <v>1</v>
      </c>
      <c r="AO1337" s="7" t="n">
        <v>1</v>
      </c>
      <c r="AP1337" s="7" t="n">
        <v>0</v>
      </c>
      <c r="AQ1337" s="7" t="n">
        <v>0</v>
      </c>
      <c r="AR1337" s="6" t="s">
        <v>57</v>
      </c>
      <c r="AS1337" s="6" t="s">
        <v>63</v>
      </c>
      <c r="AT1337" s="9" t="str">
        <f aca="false">HYPERLINK("http://catalog.hathitrust.org/Record/001180454","HathiTrust Record")</f>
        <v>HathiTrust Record</v>
      </c>
      <c r="AU1337" s="9" t="str">
        <f aca="false">HYPERLINK("https://creighton-primo.hosted.exlibrisgroup.com/primo-explore/search?tab=default_tab&amp;search_scope=EVERYTHING&amp;vid=01CRU&amp;lang=en_US&amp;offset=0&amp;query=any,contains,991003479969702656","Catalog Record")</f>
        <v>Catalog Record</v>
      </c>
      <c r="AV1337" s="9" t="str">
        <f aca="false">HYPERLINK("http://www.worldcat.org/oclc/1026735","WorldCat Record")</f>
        <v>WorldCat Record</v>
      </c>
      <c r="AW1337" s="6" t="s">
        <v>10221</v>
      </c>
      <c r="AX1337" s="6" t="s">
        <v>10222</v>
      </c>
      <c r="AY1337" s="6" t="s">
        <v>10223</v>
      </c>
      <c r="AZ1337" s="6" t="s">
        <v>10223</v>
      </c>
      <c r="BA1337" s="6" t="s">
        <v>10224</v>
      </c>
      <c r="BB1337" s="28"/>
      <c r="BC1337" s="6" t="s">
        <v>10225</v>
      </c>
      <c r="BE1337" s="15" t="s">
        <v>2145</v>
      </c>
      <c r="BF1337" s="6" t="s">
        <v>10226</v>
      </c>
    </row>
    <row r="1338" customFormat="false" ht="71" hidden="false" customHeight="false" outlineLevel="0" collapsed="false">
      <c r="A1338" s="26" t="s">
        <v>63</v>
      </c>
      <c r="B1338" s="27" t="s">
        <v>2129</v>
      </c>
      <c r="C1338" s="27" t="s">
        <v>2130</v>
      </c>
      <c r="D1338" s="27" t="s">
        <v>10227</v>
      </c>
      <c r="E1338" s="27" t="s">
        <v>10228</v>
      </c>
      <c r="F1338" s="27" t="s">
        <v>10229</v>
      </c>
      <c r="G1338" s="28"/>
      <c r="H1338" s="6" t="s">
        <v>63</v>
      </c>
      <c r="I1338" s="6" t="s">
        <v>62</v>
      </c>
      <c r="J1338" s="6" t="s">
        <v>63</v>
      </c>
      <c r="K1338" s="6" t="s">
        <v>63</v>
      </c>
      <c r="L1338" s="6" t="s">
        <v>64</v>
      </c>
      <c r="M1338" s="27" t="s">
        <v>10230</v>
      </c>
      <c r="N1338" s="27" t="s">
        <v>10231</v>
      </c>
      <c r="O1338" s="6" t="s">
        <v>4025</v>
      </c>
      <c r="P1338" s="28"/>
      <c r="Q1338" s="6" t="s">
        <v>67</v>
      </c>
      <c r="R1338" s="6" t="s">
        <v>1108</v>
      </c>
      <c r="S1338" s="28"/>
      <c r="T1338" s="6" t="s">
        <v>6138</v>
      </c>
      <c r="U1338" s="7" t="n">
        <v>5</v>
      </c>
      <c r="V1338" s="7" t="n">
        <v>5</v>
      </c>
      <c r="W1338" s="8" t="s">
        <v>10232</v>
      </c>
      <c r="X1338" s="8" t="s">
        <v>10232</v>
      </c>
      <c r="Y1338" s="8" t="s">
        <v>10233</v>
      </c>
      <c r="Z1338" s="8" t="s">
        <v>10233</v>
      </c>
      <c r="AA1338" s="7" t="n">
        <v>215</v>
      </c>
      <c r="AB1338" s="7" t="n">
        <v>161</v>
      </c>
      <c r="AC1338" s="7" t="n">
        <v>168</v>
      </c>
      <c r="AD1338" s="7" t="n">
        <v>3</v>
      </c>
      <c r="AE1338" s="7" t="n">
        <v>3</v>
      </c>
      <c r="AF1338" s="7" t="n">
        <v>15</v>
      </c>
      <c r="AG1338" s="7" t="n">
        <v>15</v>
      </c>
      <c r="AH1338" s="7" t="n">
        <v>3</v>
      </c>
      <c r="AI1338" s="7" t="n">
        <v>3</v>
      </c>
      <c r="AJ1338" s="7" t="n">
        <v>5</v>
      </c>
      <c r="AK1338" s="7" t="n">
        <v>5</v>
      </c>
      <c r="AL1338" s="7" t="n">
        <v>9</v>
      </c>
      <c r="AM1338" s="7" t="n">
        <v>9</v>
      </c>
      <c r="AN1338" s="7" t="n">
        <v>2</v>
      </c>
      <c r="AO1338" s="7" t="n">
        <v>2</v>
      </c>
      <c r="AP1338" s="7" t="n">
        <v>0</v>
      </c>
      <c r="AQ1338" s="7" t="n">
        <v>0</v>
      </c>
      <c r="AR1338" s="6" t="s">
        <v>63</v>
      </c>
      <c r="AS1338" s="6" t="s">
        <v>57</v>
      </c>
      <c r="AT1338" s="9" t="str">
        <f aca="false">HYPERLINK("http://catalog.hathitrust.org/Record/002508501","HathiTrust Record")</f>
        <v>HathiTrust Record</v>
      </c>
      <c r="AU1338" s="9" t="str">
        <f aca="false">HYPERLINK("https://creighton-primo.hosted.exlibrisgroup.com/primo-explore/search?tab=default_tab&amp;search_scope=EVERYTHING&amp;vid=01CRU&amp;lang=en_US&amp;offset=0&amp;query=any,contains,991001804989702656","Catalog Record")</f>
        <v>Catalog Record</v>
      </c>
      <c r="AV1338" s="9" t="str">
        <f aca="false">HYPERLINK("http://www.worldcat.org/oclc/22703239","WorldCat Record")</f>
        <v>WorldCat Record</v>
      </c>
      <c r="AW1338" s="6" t="s">
        <v>10234</v>
      </c>
      <c r="AX1338" s="6" t="s">
        <v>10235</v>
      </c>
      <c r="AY1338" s="6" t="s">
        <v>10236</v>
      </c>
      <c r="AZ1338" s="6" t="s">
        <v>10236</v>
      </c>
      <c r="BA1338" s="6" t="s">
        <v>10237</v>
      </c>
      <c r="BB1338" s="6" t="s">
        <v>10238</v>
      </c>
      <c r="BC1338" s="6" t="s">
        <v>10239</v>
      </c>
      <c r="BE1338" s="15" t="s">
        <v>2145</v>
      </c>
      <c r="BF1338" s="6" t="s">
        <v>10240</v>
      </c>
    </row>
    <row r="1339" customFormat="false" ht="266.5" hidden="false" customHeight="false" outlineLevel="0" collapsed="false">
      <c r="A1339" s="26" t="s">
        <v>63</v>
      </c>
      <c r="B1339" s="27" t="s">
        <v>2129</v>
      </c>
      <c r="C1339" s="27" t="s">
        <v>2130</v>
      </c>
      <c r="D1339" s="27" t="s">
        <v>10241</v>
      </c>
      <c r="E1339" s="27" t="s">
        <v>10242</v>
      </c>
      <c r="F1339" s="27" t="s">
        <v>10243</v>
      </c>
      <c r="G1339" s="28"/>
      <c r="H1339" s="6" t="s">
        <v>63</v>
      </c>
      <c r="I1339" s="6" t="s">
        <v>62</v>
      </c>
      <c r="J1339" s="6" t="s">
        <v>63</v>
      </c>
      <c r="K1339" s="6" t="s">
        <v>63</v>
      </c>
      <c r="L1339" s="6" t="s">
        <v>64</v>
      </c>
      <c r="M1339" s="27" t="s">
        <v>10244</v>
      </c>
      <c r="N1339" s="27" t="s">
        <v>10245</v>
      </c>
      <c r="O1339" s="6" t="s">
        <v>2343</v>
      </c>
      <c r="P1339" s="28"/>
      <c r="Q1339" s="6" t="s">
        <v>67</v>
      </c>
      <c r="R1339" s="6" t="s">
        <v>2894</v>
      </c>
      <c r="S1339" s="27" t="s">
        <v>10246</v>
      </c>
      <c r="T1339" s="6" t="s">
        <v>6138</v>
      </c>
      <c r="U1339" s="7" t="n">
        <v>2</v>
      </c>
      <c r="V1339" s="7" t="n">
        <v>2</v>
      </c>
      <c r="W1339" s="8" t="s">
        <v>10247</v>
      </c>
      <c r="X1339" s="8" t="s">
        <v>10247</v>
      </c>
      <c r="Y1339" s="8" t="s">
        <v>10207</v>
      </c>
      <c r="Z1339" s="8" t="s">
        <v>10207</v>
      </c>
      <c r="AA1339" s="7" t="n">
        <v>511</v>
      </c>
      <c r="AB1339" s="7" t="n">
        <v>427</v>
      </c>
      <c r="AC1339" s="7" t="n">
        <v>435</v>
      </c>
      <c r="AD1339" s="7" t="n">
        <v>3</v>
      </c>
      <c r="AE1339" s="7" t="n">
        <v>3</v>
      </c>
      <c r="AF1339" s="7" t="n">
        <v>28</v>
      </c>
      <c r="AG1339" s="7" t="n">
        <v>28</v>
      </c>
      <c r="AH1339" s="7" t="n">
        <v>9</v>
      </c>
      <c r="AI1339" s="7" t="n">
        <v>9</v>
      </c>
      <c r="AJ1339" s="7" t="n">
        <v>8</v>
      </c>
      <c r="AK1339" s="7" t="n">
        <v>8</v>
      </c>
      <c r="AL1339" s="7" t="n">
        <v>20</v>
      </c>
      <c r="AM1339" s="7" t="n">
        <v>20</v>
      </c>
      <c r="AN1339" s="7" t="n">
        <v>2</v>
      </c>
      <c r="AO1339" s="7" t="n">
        <v>2</v>
      </c>
      <c r="AP1339" s="7" t="n">
        <v>0</v>
      </c>
      <c r="AQ1339" s="7" t="n">
        <v>0</v>
      </c>
      <c r="AR1339" s="6" t="s">
        <v>63</v>
      </c>
      <c r="AS1339" s="6" t="s">
        <v>57</v>
      </c>
      <c r="AT1339" s="9" t="str">
        <f aca="false">HYPERLINK("http://catalog.hathitrust.org/Record/000271555","HathiTrust Record")</f>
        <v>HathiTrust Record</v>
      </c>
      <c r="AU1339" s="9" t="str">
        <f aca="false">HYPERLINK("https://creighton-primo.hosted.exlibrisgroup.com/primo-explore/search?tab=default_tab&amp;search_scope=EVERYTHING&amp;vid=01CRU&amp;lang=en_US&amp;offset=0&amp;query=any,contains,991005125849702656","Catalog Record")</f>
        <v>Catalog Record</v>
      </c>
      <c r="AV1339" s="9" t="str">
        <f aca="false">HYPERLINK("http://www.worldcat.org/oclc/7553501","WorldCat Record")</f>
        <v>WorldCat Record</v>
      </c>
      <c r="AW1339" s="6" t="s">
        <v>10248</v>
      </c>
      <c r="AX1339" s="6" t="s">
        <v>10249</v>
      </c>
      <c r="AY1339" s="6" t="s">
        <v>10250</v>
      </c>
      <c r="AZ1339" s="6" t="s">
        <v>10250</v>
      </c>
      <c r="BA1339" s="6" t="s">
        <v>10251</v>
      </c>
      <c r="BB1339" s="6" t="s">
        <v>10252</v>
      </c>
      <c r="BC1339" s="6" t="s">
        <v>10253</v>
      </c>
      <c r="BE1339" s="15" t="s">
        <v>2145</v>
      </c>
      <c r="BF1339" s="6" t="s">
        <v>10254</v>
      </c>
    </row>
    <row r="1340" customFormat="false" ht="151.5" hidden="false" customHeight="false" outlineLevel="0" collapsed="false">
      <c r="A1340" s="26" t="s">
        <v>63</v>
      </c>
      <c r="B1340" s="27" t="s">
        <v>2129</v>
      </c>
      <c r="C1340" s="27" t="s">
        <v>2130</v>
      </c>
      <c r="D1340" s="27" t="s">
        <v>10255</v>
      </c>
      <c r="E1340" s="27" t="s">
        <v>10256</v>
      </c>
      <c r="F1340" s="27" t="s">
        <v>10257</v>
      </c>
      <c r="G1340" s="28"/>
      <c r="H1340" s="6" t="s">
        <v>63</v>
      </c>
      <c r="I1340" s="6" t="s">
        <v>62</v>
      </c>
      <c r="J1340" s="6" t="s">
        <v>63</v>
      </c>
      <c r="K1340" s="6" t="s">
        <v>63</v>
      </c>
      <c r="L1340" s="6" t="s">
        <v>64</v>
      </c>
      <c r="M1340" s="28"/>
      <c r="N1340" s="27" t="s">
        <v>10258</v>
      </c>
      <c r="O1340" s="6" t="s">
        <v>2343</v>
      </c>
      <c r="P1340" s="28"/>
      <c r="Q1340" s="6" t="s">
        <v>67</v>
      </c>
      <c r="R1340" s="6" t="s">
        <v>1108</v>
      </c>
      <c r="S1340" s="28"/>
      <c r="T1340" s="6" t="s">
        <v>6138</v>
      </c>
      <c r="U1340" s="7" t="n">
        <v>4</v>
      </c>
      <c r="V1340" s="7" t="n">
        <v>4</v>
      </c>
      <c r="W1340" s="8" t="s">
        <v>10232</v>
      </c>
      <c r="X1340" s="8" t="s">
        <v>10232</v>
      </c>
      <c r="Y1340" s="8" t="s">
        <v>10207</v>
      </c>
      <c r="Z1340" s="8" t="s">
        <v>10207</v>
      </c>
      <c r="AA1340" s="7" t="n">
        <v>168</v>
      </c>
      <c r="AB1340" s="7" t="n">
        <v>114</v>
      </c>
      <c r="AC1340" s="7" t="n">
        <v>114</v>
      </c>
      <c r="AD1340" s="7" t="n">
        <v>1</v>
      </c>
      <c r="AE1340" s="7" t="n">
        <v>1</v>
      </c>
      <c r="AF1340" s="7" t="n">
        <v>11</v>
      </c>
      <c r="AG1340" s="7" t="n">
        <v>11</v>
      </c>
      <c r="AH1340" s="7" t="n">
        <v>3</v>
      </c>
      <c r="AI1340" s="7" t="n">
        <v>3</v>
      </c>
      <c r="AJ1340" s="7" t="n">
        <v>5</v>
      </c>
      <c r="AK1340" s="7" t="n">
        <v>5</v>
      </c>
      <c r="AL1340" s="7" t="n">
        <v>7</v>
      </c>
      <c r="AM1340" s="7" t="n">
        <v>7</v>
      </c>
      <c r="AN1340" s="7" t="n">
        <v>0</v>
      </c>
      <c r="AO1340" s="7" t="n">
        <v>0</v>
      </c>
      <c r="AP1340" s="7" t="n">
        <v>0</v>
      </c>
      <c r="AQ1340" s="7" t="n">
        <v>0</v>
      </c>
      <c r="AR1340" s="6" t="s">
        <v>63</v>
      </c>
      <c r="AS1340" s="6" t="s">
        <v>63</v>
      </c>
      <c r="AT1340" s="28"/>
      <c r="AU1340" s="9" t="str">
        <f aca="false">HYPERLINK("https://creighton-primo.hosted.exlibrisgroup.com/primo-explore/search?tab=default_tab&amp;search_scope=EVERYTHING&amp;vid=01CRU&amp;lang=en_US&amp;offset=0&amp;query=any,contains,991005138539702656","Catalog Record")</f>
        <v>Catalog Record</v>
      </c>
      <c r="AV1340" s="9" t="str">
        <f aca="false">HYPERLINK("http://www.worldcat.org/oclc/7596250","WorldCat Record")</f>
        <v>WorldCat Record</v>
      </c>
      <c r="AW1340" s="6" t="s">
        <v>10259</v>
      </c>
      <c r="AX1340" s="6" t="s">
        <v>10260</v>
      </c>
      <c r="AY1340" s="6" t="s">
        <v>10261</v>
      </c>
      <c r="AZ1340" s="6" t="s">
        <v>10261</v>
      </c>
      <c r="BA1340" s="6" t="s">
        <v>10262</v>
      </c>
      <c r="BB1340" s="6" t="s">
        <v>10263</v>
      </c>
      <c r="BC1340" s="6" t="s">
        <v>10264</v>
      </c>
      <c r="BE1340" s="15" t="s">
        <v>2145</v>
      </c>
      <c r="BF1340" s="6" t="s">
        <v>10265</v>
      </c>
    </row>
    <row r="1341" customFormat="false" ht="105.5" hidden="false" customHeight="false" outlineLevel="0" collapsed="false">
      <c r="A1341" s="26" t="s">
        <v>63</v>
      </c>
      <c r="B1341" s="27" t="s">
        <v>2129</v>
      </c>
      <c r="C1341" s="27" t="s">
        <v>2130</v>
      </c>
      <c r="D1341" s="27" t="s">
        <v>10266</v>
      </c>
      <c r="E1341" s="27" t="s">
        <v>10267</v>
      </c>
      <c r="F1341" s="27" t="s">
        <v>10268</v>
      </c>
      <c r="G1341" s="28"/>
      <c r="H1341" s="6" t="s">
        <v>63</v>
      </c>
      <c r="I1341" s="6" t="s">
        <v>62</v>
      </c>
      <c r="J1341" s="6" t="s">
        <v>63</v>
      </c>
      <c r="K1341" s="6" t="s">
        <v>63</v>
      </c>
      <c r="L1341" s="6" t="s">
        <v>64</v>
      </c>
      <c r="M1341" s="27" t="s">
        <v>10269</v>
      </c>
      <c r="N1341" s="27" t="s">
        <v>10270</v>
      </c>
      <c r="O1341" s="6" t="s">
        <v>2975</v>
      </c>
      <c r="P1341" s="28"/>
      <c r="Q1341" s="6" t="s">
        <v>67</v>
      </c>
      <c r="R1341" s="6" t="s">
        <v>68</v>
      </c>
      <c r="S1341" s="28"/>
      <c r="T1341" s="6" t="s">
        <v>6138</v>
      </c>
      <c r="U1341" s="7" t="n">
        <v>5</v>
      </c>
      <c r="V1341" s="7" t="n">
        <v>5</v>
      </c>
      <c r="W1341" s="8" t="s">
        <v>10271</v>
      </c>
      <c r="X1341" s="8" t="s">
        <v>10271</v>
      </c>
      <c r="Y1341" s="8" t="s">
        <v>10207</v>
      </c>
      <c r="Z1341" s="8" t="s">
        <v>10207</v>
      </c>
      <c r="AA1341" s="7" t="n">
        <v>482</v>
      </c>
      <c r="AB1341" s="7" t="n">
        <v>429</v>
      </c>
      <c r="AC1341" s="7" t="n">
        <v>433</v>
      </c>
      <c r="AD1341" s="7" t="n">
        <v>2</v>
      </c>
      <c r="AE1341" s="7" t="n">
        <v>2</v>
      </c>
      <c r="AF1341" s="7" t="n">
        <v>29</v>
      </c>
      <c r="AG1341" s="7" t="n">
        <v>29</v>
      </c>
      <c r="AH1341" s="7" t="n">
        <v>13</v>
      </c>
      <c r="AI1341" s="7" t="n">
        <v>13</v>
      </c>
      <c r="AJ1341" s="7" t="n">
        <v>5</v>
      </c>
      <c r="AK1341" s="7" t="n">
        <v>5</v>
      </c>
      <c r="AL1341" s="7" t="n">
        <v>16</v>
      </c>
      <c r="AM1341" s="7" t="n">
        <v>16</v>
      </c>
      <c r="AN1341" s="7" t="n">
        <v>1</v>
      </c>
      <c r="AO1341" s="7" t="n">
        <v>1</v>
      </c>
      <c r="AP1341" s="7" t="n">
        <v>0</v>
      </c>
      <c r="AQ1341" s="7" t="n">
        <v>0</v>
      </c>
      <c r="AR1341" s="6" t="s">
        <v>63</v>
      </c>
      <c r="AS1341" s="6" t="s">
        <v>63</v>
      </c>
      <c r="AT1341" s="28"/>
      <c r="AU1341" s="9" t="str">
        <f aca="false">HYPERLINK("https://creighton-primo.hosted.exlibrisgroup.com/primo-explore/search?tab=default_tab&amp;search_scope=EVERYTHING&amp;vid=01CRU&amp;lang=en_US&amp;offset=0&amp;query=any,contains,991000004769702656","Catalog Record")</f>
        <v>Catalog Record</v>
      </c>
      <c r="AV1341" s="9" t="str">
        <f aca="false">HYPERLINK("http://www.worldcat.org/oclc/12773","WorldCat Record")</f>
        <v>WorldCat Record</v>
      </c>
      <c r="AW1341" s="6" t="s">
        <v>10272</v>
      </c>
      <c r="AX1341" s="6" t="s">
        <v>10273</v>
      </c>
      <c r="AY1341" s="6" t="s">
        <v>10274</v>
      </c>
      <c r="AZ1341" s="6" t="s">
        <v>10274</v>
      </c>
      <c r="BA1341" s="6" t="s">
        <v>10275</v>
      </c>
      <c r="BB1341" s="28"/>
      <c r="BC1341" s="6" t="s">
        <v>10276</v>
      </c>
      <c r="BE1341" s="15" t="s">
        <v>2145</v>
      </c>
      <c r="BF1341" s="6" t="s">
        <v>10277</v>
      </c>
    </row>
    <row r="1342" customFormat="false" ht="71" hidden="false" customHeight="false" outlineLevel="0" collapsed="false">
      <c r="A1342" s="26" t="s">
        <v>63</v>
      </c>
      <c r="B1342" s="27" t="s">
        <v>2129</v>
      </c>
      <c r="C1342" s="27" t="s">
        <v>2130</v>
      </c>
      <c r="D1342" s="27" t="s">
        <v>10278</v>
      </c>
      <c r="E1342" s="27" t="s">
        <v>10279</v>
      </c>
      <c r="F1342" s="27" t="s">
        <v>10280</v>
      </c>
      <c r="G1342" s="28"/>
      <c r="H1342" s="6" t="s">
        <v>63</v>
      </c>
      <c r="I1342" s="6" t="s">
        <v>62</v>
      </c>
      <c r="J1342" s="6" t="s">
        <v>63</v>
      </c>
      <c r="K1342" s="6" t="s">
        <v>63</v>
      </c>
      <c r="L1342" s="6" t="s">
        <v>64</v>
      </c>
      <c r="M1342" s="27" t="s">
        <v>10281</v>
      </c>
      <c r="N1342" s="27" t="s">
        <v>10282</v>
      </c>
      <c r="O1342" s="6" t="s">
        <v>246</v>
      </c>
      <c r="P1342" s="28"/>
      <c r="Q1342" s="6" t="s">
        <v>67</v>
      </c>
      <c r="R1342" s="6" t="s">
        <v>181</v>
      </c>
      <c r="S1342" s="28"/>
      <c r="T1342" s="6" t="s">
        <v>6138</v>
      </c>
      <c r="U1342" s="7" t="n">
        <v>2</v>
      </c>
      <c r="V1342" s="7" t="n">
        <v>2</v>
      </c>
      <c r="W1342" s="8" t="s">
        <v>10283</v>
      </c>
      <c r="X1342" s="8" t="s">
        <v>10283</v>
      </c>
      <c r="Y1342" s="8" t="s">
        <v>10207</v>
      </c>
      <c r="Z1342" s="8" t="s">
        <v>10207</v>
      </c>
      <c r="AA1342" s="7" t="n">
        <v>656</v>
      </c>
      <c r="AB1342" s="7" t="n">
        <v>527</v>
      </c>
      <c r="AC1342" s="7" t="n">
        <v>527</v>
      </c>
      <c r="AD1342" s="7" t="n">
        <v>4</v>
      </c>
      <c r="AE1342" s="7" t="n">
        <v>4</v>
      </c>
      <c r="AF1342" s="7" t="n">
        <v>29</v>
      </c>
      <c r="AG1342" s="7" t="n">
        <v>29</v>
      </c>
      <c r="AH1342" s="7" t="n">
        <v>13</v>
      </c>
      <c r="AI1342" s="7" t="n">
        <v>13</v>
      </c>
      <c r="AJ1342" s="7" t="n">
        <v>8</v>
      </c>
      <c r="AK1342" s="7" t="n">
        <v>8</v>
      </c>
      <c r="AL1342" s="7" t="n">
        <v>18</v>
      </c>
      <c r="AM1342" s="7" t="n">
        <v>18</v>
      </c>
      <c r="AN1342" s="7" t="n">
        <v>2</v>
      </c>
      <c r="AO1342" s="7" t="n">
        <v>2</v>
      </c>
      <c r="AP1342" s="7" t="n">
        <v>0</v>
      </c>
      <c r="AQ1342" s="7" t="n">
        <v>0</v>
      </c>
      <c r="AR1342" s="6" t="s">
        <v>63</v>
      </c>
      <c r="AS1342" s="6" t="s">
        <v>63</v>
      </c>
      <c r="AT1342" s="28"/>
      <c r="AU1342" s="9" t="str">
        <f aca="false">HYPERLINK("https://creighton-primo.hosted.exlibrisgroup.com/primo-explore/search?tab=default_tab&amp;search_scope=EVERYTHING&amp;vid=01CRU&amp;lang=en_US&amp;offset=0&amp;query=any,contains,991004762559702656","Catalog Record")</f>
        <v>Catalog Record</v>
      </c>
      <c r="AV1342" s="9" t="str">
        <f aca="false">HYPERLINK("http://www.worldcat.org/oclc/5008003","WorldCat Record")</f>
        <v>WorldCat Record</v>
      </c>
      <c r="AW1342" s="6" t="s">
        <v>10284</v>
      </c>
      <c r="AX1342" s="6" t="s">
        <v>10285</v>
      </c>
      <c r="AY1342" s="6" t="s">
        <v>10286</v>
      </c>
      <c r="AZ1342" s="6" t="s">
        <v>10286</v>
      </c>
      <c r="BA1342" s="6" t="s">
        <v>10287</v>
      </c>
      <c r="BB1342" s="6" t="s">
        <v>10288</v>
      </c>
      <c r="BC1342" s="6" t="s">
        <v>10289</v>
      </c>
      <c r="BE1342" s="15" t="s">
        <v>2145</v>
      </c>
      <c r="BF1342" s="6" t="s">
        <v>10290</v>
      </c>
    </row>
    <row r="1343" customFormat="false" ht="71" hidden="false" customHeight="false" outlineLevel="0" collapsed="false">
      <c r="A1343" s="26" t="s">
        <v>63</v>
      </c>
      <c r="B1343" s="27" t="s">
        <v>2129</v>
      </c>
      <c r="C1343" s="27" t="s">
        <v>2130</v>
      </c>
      <c r="D1343" s="27" t="s">
        <v>10291</v>
      </c>
      <c r="E1343" s="27" t="s">
        <v>10292</v>
      </c>
      <c r="F1343" s="27" t="s">
        <v>10293</v>
      </c>
      <c r="G1343" s="28"/>
      <c r="H1343" s="6" t="s">
        <v>63</v>
      </c>
      <c r="I1343" s="6" t="s">
        <v>62</v>
      </c>
      <c r="J1343" s="6" t="s">
        <v>63</v>
      </c>
      <c r="K1343" s="6" t="s">
        <v>63</v>
      </c>
      <c r="L1343" s="6" t="s">
        <v>64</v>
      </c>
      <c r="M1343" s="27" t="s">
        <v>10294</v>
      </c>
      <c r="N1343" s="27" t="s">
        <v>7035</v>
      </c>
      <c r="O1343" s="6" t="s">
        <v>2467</v>
      </c>
      <c r="P1343" s="28"/>
      <c r="Q1343" s="6" t="s">
        <v>67</v>
      </c>
      <c r="R1343" s="6" t="s">
        <v>68</v>
      </c>
      <c r="S1343" s="28"/>
      <c r="T1343" s="6" t="s">
        <v>6138</v>
      </c>
      <c r="U1343" s="7" t="n">
        <v>3</v>
      </c>
      <c r="V1343" s="7" t="n">
        <v>3</v>
      </c>
      <c r="W1343" s="8" t="s">
        <v>10295</v>
      </c>
      <c r="X1343" s="8" t="s">
        <v>10295</v>
      </c>
      <c r="Y1343" s="8" t="s">
        <v>10207</v>
      </c>
      <c r="Z1343" s="8" t="s">
        <v>10207</v>
      </c>
      <c r="AA1343" s="7" t="n">
        <v>760</v>
      </c>
      <c r="AB1343" s="7" t="n">
        <v>631</v>
      </c>
      <c r="AC1343" s="7" t="n">
        <v>644</v>
      </c>
      <c r="AD1343" s="7" t="n">
        <v>4</v>
      </c>
      <c r="AE1343" s="7" t="n">
        <v>4</v>
      </c>
      <c r="AF1343" s="7" t="n">
        <v>37</v>
      </c>
      <c r="AG1343" s="7" t="n">
        <v>37</v>
      </c>
      <c r="AH1343" s="7" t="n">
        <v>15</v>
      </c>
      <c r="AI1343" s="7" t="n">
        <v>15</v>
      </c>
      <c r="AJ1343" s="7" t="n">
        <v>9</v>
      </c>
      <c r="AK1343" s="7" t="n">
        <v>9</v>
      </c>
      <c r="AL1343" s="7" t="n">
        <v>21</v>
      </c>
      <c r="AM1343" s="7" t="n">
        <v>21</v>
      </c>
      <c r="AN1343" s="7" t="n">
        <v>3</v>
      </c>
      <c r="AO1343" s="7" t="n">
        <v>3</v>
      </c>
      <c r="AP1343" s="7" t="n">
        <v>0</v>
      </c>
      <c r="AQ1343" s="7" t="n">
        <v>0</v>
      </c>
      <c r="AR1343" s="6" t="s">
        <v>63</v>
      </c>
      <c r="AS1343" s="6" t="s">
        <v>57</v>
      </c>
      <c r="AT1343" s="9" t="str">
        <f aca="false">HYPERLINK("http://catalog.hathitrust.org/Record/009906200","HathiTrust Record")</f>
        <v>HathiTrust Record</v>
      </c>
      <c r="AU1343" s="9" t="str">
        <f aca="false">HYPERLINK("https://creighton-primo.hosted.exlibrisgroup.com/primo-explore/search?tab=default_tab&amp;search_scope=EVERYTHING&amp;vid=01CRU&amp;lang=en_US&amp;offset=0&amp;query=any,contains,991002566879702656","Catalog Record")</f>
        <v>Catalog Record</v>
      </c>
      <c r="AV1343" s="9" t="str">
        <f aca="false">HYPERLINK("http://www.worldcat.org/oclc/372774","WorldCat Record")</f>
        <v>WorldCat Record</v>
      </c>
      <c r="AW1343" s="6" t="s">
        <v>10296</v>
      </c>
      <c r="AX1343" s="6" t="s">
        <v>10297</v>
      </c>
      <c r="AY1343" s="6" t="s">
        <v>10298</v>
      </c>
      <c r="AZ1343" s="6" t="s">
        <v>10298</v>
      </c>
      <c r="BA1343" s="6" t="s">
        <v>10299</v>
      </c>
      <c r="BB1343" s="28"/>
      <c r="BC1343" s="6" t="s">
        <v>10300</v>
      </c>
      <c r="BE1343" s="15" t="s">
        <v>2145</v>
      </c>
      <c r="BF1343" s="6" t="s">
        <v>10301</v>
      </c>
    </row>
    <row r="1344" customFormat="false" ht="105.5" hidden="false" customHeight="false" outlineLevel="0" collapsed="false">
      <c r="A1344" s="26" t="s">
        <v>63</v>
      </c>
      <c r="B1344" s="27" t="s">
        <v>2129</v>
      </c>
      <c r="C1344" s="27" t="s">
        <v>2130</v>
      </c>
      <c r="D1344" s="27" t="s">
        <v>10302</v>
      </c>
      <c r="E1344" s="27" t="s">
        <v>10303</v>
      </c>
      <c r="F1344" s="27" t="s">
        <v>10304</v>
      </c>
      <c r="G1344" s="28"/>
      <c r="H1344" s="6" t="s">
        <v>63</v>
      </c>
      <c r="I1344" s="6" t="s">
        <v>62</v>
      </c>
      <c r="J1344" s="6" t="s">
        <v>63</v>
      </c>
      <c r="K1344" s="6" t="s">
        <v>63</v>
      </c>
      <c r="L1344" s="6" t="s">
        <v>64</v>
      </c>
      <c r="M1344" s="27" t="s">
        <v>10305</v>
      </c>
      <c r="N1344" s="27" t="s">
        <v>10306</v>
      </c>
      <c r="O1344" s="6" t="s">
        <v>264</v>
      </c>
      <c r="P1344" s="28"/>
      <c r="Q1344" s="6" t="s">
        <v>67</v>
      </c>
      <c r="R1344" s="6" t="s">
        <v>2288</v>
      </c>
      <c r="S1344" s="27" t="s">
        <v>10307</v>
      </c>
      <c r="T1344" s="6" t="s">
        <v>6138</v>
      </c>
      <c r="U1344" s="7" t="n">
        <v>4</v>
      </c>
      <c r="V1344" s="7" t="n">
        <v>4</v>
      </c>
      <c r="W1344" s="8" t="s">
        <v>10308</v>
      </c>
      <c r="X1344" s="8" t="s">
        <v>10308</v>
      </c>
      <c r="Y1344" s="8" t="s">
        <v>10207</v>
      </c>
      <c r="Z1344" s="8" t="s">
        <v>10207</v>
      </c>
      <c r="AA1344" s="7" t="n">
        <v>102</v>
      </c>
      <c r="AB1344" s="7" t="n">
        <v>79</v>
      </c>
      <c r="AC1344" s="7" t="n">
        <v>79</v>
      </c>
      <c r="AD1344" s="7" t="n">
        <v>3</v>
      </c>
      <c r="AE1344" s="7" t="n">
        <v>3</v>
      </c>
      <c r="AF1344" s="7" t="n">
        <v>15</v>
      </c>
      <c r="AG1344" s="7" t="n">
        <v>15</v>
      </c>
      <c r="AH1344" s="7" t="n">
        <v>2</v>
      </c>
      <c r="AI1344" s="7" t="n">
        <v>2</v>
      </c>
      <c r="AJ1344" s="7" t="n">
        <v>4</v>
      </c>
      <c r="AK1344" s="7" t="n">
        <v>4</v>
      </c>
      <c r="AL1344" s="7" t="n">
        <v>11</v>
      </c>
      <c r="AM1344" s="7" t="n">
        <v>11</v>
      </c>
      <c r="AN1344" s="7" t="n">
        <v>1</v>
      </c>
      <c r="AO1344" s="7" t="n">
        <v>1</v>
      </c>
      <c r="AP1344" s="7" t="n">
        <v>0</v>
      </c>
      <c r="AQ1344" s="7" t="n">
        <v>0</v>
      </c>
      <c r="AR1344" s="6" t="s">
        <v>63</v>
      </c>
      <c r="AS1344" s="6" t="s">
        <v>63</v>
      </c>
      <c r="AT1344" s="28"/>
      <c r="AU1344" s="9" t="str">
        <f aca="false">HYPERLINK("https://creighton-primo.hosted.exlibrisgroup.com/primo-explore/search?tab=default_tab&amp;search_scope=EVERYTHING&amp;vid=01CRU&amp;lang=en_US&amp;offset=0&amp;query=any,contains,991002760609702656","Catalog Record")</f>
        <v>Catalog Record</v>
      </c>
      <c r="AV1344" s="9" t="str">
        <f aca="false">HYPERLINK("http://www.worldcat.org/oclc/428529","WorldCat Record")</f>
        <v>WorldCat Record</v>
      </c>
      <c r="AW1344" s="6" t="s">
        <v>10309</v>
      </c>
      <c r="AX1344" s="6" t="s">
        <v>10310</v>
      </c>
      <c r="AY1344" s="6" t="s">
        <v>10311</v>
      </c>
      <c r="AZ1344" s="6" t="s">
        <v>10311</v>
      </c>
      <c r="BA1344" s="6" t="s">
        <v>10312</v>
      </c>
      <c r="BB1344" s="28"/>
      <c r="BC1344" s="6" t="s">
        <v>10313</v>
      </c>
      <c r="BE1344" s="15" t="s">
        <v>2145</v>
      </c>
      <c r="BF1344" s="6" t="s">
        <v>10314</v>
      </c>
    </row>
    <row r="1345" customFormat="false" ht="94" hidden="false" customHeight="false" outlineLevel="0" collapsed="false">
      <c r="A1345" s="26" t="s">
        <v>63</v>
      </c>
      <c r="B1345" s="27" t="s">
        <v>2129</v>
      </c>
      <c r="C1345" s="27" t="s">
        <v>2130</v>
      </c>
      <c r="D1345" s="27" t="s">
        <v>10315</v>
      </c>
      <c r="E1345" s="27" t="s">
        <v>10316</v>
      </c>
      <c r="F1345" s="27" t="s">
        <v>10317</v>
      </c>
      <c r="G1345" s="28"/>
      <c r="H1345" s="6" t="s">
        <v>63</v>
      </c>
      <c r="I1345" s="6" t="s">
        <v>62</v>
      </c>
      <c r="J1345" s="6" t="s">
        <v>63</v>
      </c>
      <c r="K1345" s="6" t="s">
        <v>63</v>
      </c>
      <c r="L1345" s="6" t="s">
        <v>64</v>
      </c>
      <c r="M1345" s="27" t="s">
        <v>10318</v>
      </c>
      <c r="N1345" s="27" t="s">
        <v>10319</v>
      </c>
      <c r="O1345" s="6" t="s">
        <v>2893</v>
      </c>
      <c r="P1345" s="28"/>
      <c r="Q1345" s="6" t="s">
        <v>67</v>
      </c>
      <c r="R1345" s="6" t="s">
        <v>802</v>
      </c>
      <c r="S1345" s="28"/>
      <c r="T1345" s="6" t="s">
        <v>6138</v>
      </c>
      <c r="U1345" s="7" t="n">
        <v>1</v>
      </c>
      <c r="V1345" s="7" t="n">
        <v>1</v>
      </c>
      <c r="W1345" s="8" t="s">
        <v>5118</v>
      </c>
      <c r="X1345" s="8" t="s">
        <v>5118</v>
      </c>
      <c r="Y1345" s="8" t="s">
        <v>10207</v>
      </c>
      <c r="Z1345" s="8" t="s">
        <v>10207</v>
      </c>
      <c r="AA1345" s="7" t="n">
        <v>235</v>
      </c>
      <c r="AB1345" s="7" t="n">
        <v>166</v>
      </c>
      <c r="AC1345" s="7" t="n">
        <v>172</v>
      </c>
      <c r="AD1345" s="7" t="n">
        <v>2</v>
      </c>
      <c r="AE1345" s="7" t="n">
        <v>2</v>
      </c>
      <c r="AF1345" s="7" t="n">
        <v>13</v>
      </c>
      <c r="AG1345" s="7" t="n">
        <v>13</v>
      </c>
      <c r="AH1345" s="7" t="n">
        <v>4</v>
      </c>
      <c r="AI1345" s="7" t="n">
        <v>4</v>
      </c>
      <c r="AJ1345" s="7" t="n">
        <v>4</v>
      </c>
      <c r="AK1345" s="7" t="n">
        <v>4</v>
      </c>
      <c r="AL1345" s="7" t="n">
        <v>10</v>
      </c>
      <c r="AM1345" s="7" t="n">
        <v>10</v>
      </c>
      <c r="AN1345" s="7" t="n">
        <v>1</v>
      </c>
      <c r="AO1345" s="7" t="n">
        <v>1</v>
      </c>
      <c r="AP1345" s="7" t="n">
        <v>0</v>
      </c>
      <c r="AQ1345" s="7" t="n">
        <v>0</v>
      </c>
      <c r="AR1345" s="6" t="s">
        <v>63</v>
      </c>
      <c r="AS1345" s="6" t="s">
        <v>63</v>
      </c>
      <c r="AT1345" s="28"/>
      <c r="AU1345" s="9" t="str">
        <f aca="false">HYPERLINK("https://creighton-primo.hosted.exlibrisgroup.com/primo-explore/search?tab=default_tab&amp;search_scope=EVERYTHING&amp;vid=01CRU&amp;lang=en_US&amp;offset=0&amp;query=any,contains,991003843949702656","Catalog Record")</f>
        <v>Catalog Record</v>
      </c>
      <c r="AV1345" s="9" t="str">
        <f aca="false">HYPERLINK("http://www.worldcat.org/oclc/1622681","WorldCat Record")</f>
        <v>WorldCat Record</v>
      </c>
      <c r="AW1345" s="6" t="s">
        <v>10320</v>
      </c>
      <c r="AX1345" s="6" t="s">
        <v>10321</v>
      </c>
      <c r="AY1345" s="6" t="s">
        <v>10322</v>
      </c>
      <c r="AZ1345" s="6" t="s">
        <v>10322</v>
      </c>
      <c r="BA1345" s="6" t="s">
        <v>10323</v>
      </c>
      <c r="BB1345" s="6" t="s">
        <v>10324</v>
      </c>
      <c r="BC1345" s="6" t="s">
        <v>10325</v>
      </c>
      <c r="BE1345" s="15" t="s">
        <v>2145</v>
      </c>
      <c r="BF1345" s="6" t="s">
        <v>10326</v>
      </c>
    </row>
    <row r="1346" customFormat="false" ht="140" hidden="false" customHeight="false" outlineLevel="0" collapsed="false">
      <c r="A1346" s="26" t="s">
        <v>63</v>
      </c>
      <c r="B1346" s="27" t="s">
        <v>2129</v>
      </c>
      <c r="C1346" s="27" t="s">
        <v>2130</v>
      </c>
      <c r="D1346" s="27" t="s">
        <v>10327</v>
      </c>
      <c r="E1346" s="27" t="s">
        <v>10328</v>
      </c>
      <c r="F1346" s="27" t="s">
        <v>10329</v>
      </c>
      <c r="G1346" s="28"/>
      <c r="H1346" s="6" t="s">
        <v>63</v>
      </c>
      <c r="I1346" s="6" t="s">
        <v>62</v>
      </c>
      <c r="J1346" s="6" t="s">
        <v>63</v>
      </c>
      <c r="K1346" s="6" t="s">
        <v>63</v>
      </c>
      <c r="L1346" s="6" t="s">
        <v>64</v>
      </c>
      <c r="M1346" s="27" t="s">
        <v>10330</v>
      </c>
      <c r="N1346" s="27" t="s">
        <v>10331</v>
      </c>
      <c r="O1346" s="6" t="s">
        <v>221</v>
      </c>
      <c r="P1346" s="28"/>
      <c r="Q1346" s="6" t="s">
        <v>67</v>
      </c>
      <c r="R1346" s="6" t="s">
        <v>401</v>
      </c>
      <c r="S1346" s="28"/>
      <c r="T1346" s="6" t="s">
        <v>6138</v>
      </c>
      <c r="U1346" s="7" t="n">
        <v>4</v>
      </c>
      <c r="V1346" s="7" t="n">
        <v>4</v>
      </c>
      <c r="W1346" s="8" t="s">
        <v>10332</v>
      </c>
      <c r="X1346" s="8" t="s">
        <v>10332</v>
      </c>
      <c r="Y1346" s="8" t="s">
        <v>10333</v>
      </c>
      <c r="Z1346" s="8" t="s">
        <v>10333</v>
      </c>
      <c r="AA1346" s="7" t="n">
        <v>343</v>
      </c>
      <c r="AB1346" s="7" t="n">
        <v>269</v>
      </c>
      <c r="AC1346" s="7" t="n">
        <v>272</v>
      </c>
      <c r="AD1346" s="7" t="n">
        <v>2</v>
      </c>
      <c r="AE1346" s="7" t="n">
        <v>2</v>
      </c>
      <c r="AF1346" s="7" t="n">
        <v>14</v>
      </c>
      <c r="AG1346" s="7" t="n">
        <v>14</v>
      </c>
      <c r="AH1346" s="7" t="n">
        <v>2</v>
      </c>
      <c r="AI1346" s="7" t="n">
        <v>2</v>
      </c>
      <c r="AJ1346" s="7" t="n">
        <v>5</v>
      </c>
      <c r="AK1346" s="7" t="n">
        <v>5</v>
      </c>
      <c r="AL1346" s="7" t="n">
        <v>10</v>
      </c>
      <c r="AM1346" s="7" t="n">
        <v>10</v>
      </c>
      <c r="AN1346" s="7" t="n">
        <v>1</v>
      </c>
      <c r="AO1346" s="7" t="n">
        <v>1</v>
      </c>
      <c r="AP1346" s="7" t="n">
        <v>0</v>
      </c>
      <c r="AQ1346" s="7" t="n">
        <v>0</v>
      </c>
      <c r="AR1346" s="6" t="s">
        <v>63</v>
      </c>
      <c r="AS1346" s="6" t="s">
        <v>57</v>
      </c>
      <c r="AT1346" s="9" t="str">
        <f aca="false">HYPERLINK("http://catalog.hathitrust.org/Record/000275144","HathiTrust Record")</f>
        <v>HathiTrust Record</v>
      </c>
      <c r="AU1346" s="9" t="str">
        <f aca="false">HYPERLINK("https://creighton-primo.hosted.exlibrisgroup.com/primo-explore/search?tab=default_tab&amp;search_scope=EVERYTHING&amp;vid=01CRU&amp;lang=en_US&amp;offset=0&amp;query=any,contains,991000117679702656","Catalog Record")</f>
        <v>Catalog Record</v>
      </c>
      <c r="AV1346" s="9" t="str">
        <f aca="false">HYPERLINK("http://www.worldcat.org/oclc/9043868","WorldCat Record")</f>
        <v>WorldCat Record</v>
      </c>
      <c r="AW1346" s="6" t="s">
        <v>10334</v>
      </c>
      <c r="AX1346" s="6" t="s">
        <v>10335</v>
      </c>
      <c r="AY1346" s="6" t="s">
        <v>10336</v>
      </c>
      <c r="AZ1346" s="6" t="s">
        <v>10336</v>
      </c>
      <c r="BA1346" s="6" t="s">
        <v>10337</v>
      </c>
      <c r="BB1346" s="6" t="s">
        <v>10338</v>
      </c>
      <c r="BC1346" s="6" t="s">
        <v>10339</v>
      </c>
      <c r="BE1346" s="15" t="s">
        <v>2145</v>
      </c>
      <c r="BF1346" s="6" t="s">
        <v>10340</v>
      </c>
    </row>
    <row r="1347" customFormat="false" ht="140" hidden="false" customHeight="false" outlineLevel="0" collapsed="false">
      <c r="A1347" s="26" t="s">
        <v>63</v>
      </c>
      <c r="B1347" s="27" t="s">
        <v>2129</v>
      </c>
      <c r="C1347" s="27" t="s">
        <v>2130</v>
      </c>
      <c r="D1347" s="27" t="s">
        <v>10341</v>
      </c>
      <c r="E1347" s="27" t="s">
        <v>10342</v>
      </c>
      <c r="F1347" s="27" t="s">
        <v>10343</v>
      </c>
      <c r="G1347" s="28"/>
      <c r="H1347" s="6" t="s">
        <v>63</v>
      </c>
      <c r="I1347" s="6" t="s">
        <v>62</v>
      </c>
      <c r="J1347" s="6" t="s">
        <v>63</v>
      </c>
      <c r="K1347" s="6" t="s">
        <v>63</v>
      </c>
      <c r="L1347" s="6" t="s">
        <v>64</v>
      </c>
      <c r="M1347" s="27" t="s">
        <v>10344</v>
      </c>
      <c r="N1347" s="27" t="s">
        <v>10345</v>
      </c>
      <c r="O1347" s="6" t="s">
        <v>3340</v>
      </c>
      <c r="P1347" s="28"/>
      <c r="Q1347" s="6" t="s">
        <v>67</v>
      </c>
      <c r="R1347" s="6" t="s">
        <v>1108</v>
      </c>
      <c r="S1347" s="27" t="s">
        <v>10346</v>
      </c>
      <c r="T1347" s="6" t="s">
        <v>6138</v>
      </c>
      <c r="U1347" s="7" t="n">
        <v>2</v>
      </c>
      <c r="V1347" s="7" t="n">
        <v>2</v>
      </c>
      <c r="W1347" s="8" t="s">
        <v>10347</v>
      </c>
      <c r="X1347" s="8" t="s">
        <v>10347</v>
      </c>
      <c r="Y1347" s="8" t="s">
        <v>10207</v>
      </c>
      <c r="Z1347" s="8" t="s">
        <v>10207</v>
      </c>
      <c r="AA1347" s="7" t="n">
        <v>410</v>
      </c>
      <c r="AB1347" s="7" t="n">
        <v>358</v>
      </c>
      <c r="AC1347" s="7" t="n">
        <v>362</v>
      </c>
      <c r="AD1347" s="7" t="n">
        <v>3</v>
      </c>
      <c r="AE1347" s="7" t="n">
        <v>3</v>
      </c>
      <c r="AF1347" s="7" t="n">
        <v>19</v>
      </c>
      <c r="AG1347" s="7" t="n">
        <v>19</v>
      </c>
      <c r="AH1347" s="7" t="n">
        <v>5</v>
      </c>
      <c r="AI1347" s="7" t="n">
        <v>5</v>
      </c>
      <c r="AJ1347" s="7" t="n">
        <v>8</v>
      </c>
      <c r="AK1347" s="7" t="n">
        <v>8</v>
      </c>
      <c r="AL1347" s="7" t="n">
        <v>11</v>
      </c>
      <c r="AM1347" s="7" t="n">
        <v>11</v>
      </c>
      <c r="AN1347" s="7" t="n">
        <v>2</v>
      </c>
      <c r="AO1347" s="7" t="n">
        <v>2</v>
      </c>
      <c r="AP1347" s="7" t="n">
        <v>0</v>
      </c>
      <c r="AQ1347" s="7" t="n">
        <v>0</v>
      </c>
      <c r="AR1347" s="6" t="s">
        <v>63</v>
      </c>
      <c r="AS1347" s="6" t="s">
        <v>57</v>
      </c>
      <c r="AT1347" s="9" t="str">
        <f aca="false">HYPERLINK("http://catalog.hathitrust.org/Record/000082974","HathiTrust Record")</f>
        <v>HathiTrust Record</v>
      </c>
      <c r="AU1347" s="9" t="str">
        <f aca="false">HYPERLINK("https://creighton-primo.hosted.exlibrisgroup.com/primo-explore/search?tab=default_tab&amp;search_scope=EVERYTHING&amp;vid=01CRU&amp;lang=en_US&amp;offset=0&amp;query=any,contains,991004145099702656","Catalog Record")</f>
        <v>Catalog Record</v>
      </c>
      <c r="AV1347" s="9" t="str">
        <f aca="false">HYPERLINK("http://www.worldcat.org/oclc/2508109","WorldCat Record")</f>
        <v>WorldCat Record</v>
      </c>
      <c r="AW1347" s="6" t="s">
        <v>10348</v>
      </c>
      <c r="AX1347" s="6" t="s">
        <v>10349</v>
      </c>
      <c r="AY1347" s="6" t="s">
        <v>10350</v>
      </c>
      <c r="AZ1347" s="6" t="s">
        <v>10350</v>
      </c>
      <c r="BA1347" s="6" t="s">
        <v>10351</v>
      </c>
      <c r="BB1347" s="6" t="s">
        <v>10352</v>
      </c>
      <c r="BC1347" s="6" t="s">
        <v>10353</v>
      </c>
      <c r="BE1347" s="15" t="s">
        <v>2145</v>
      </c>
      <c r="BF1347" s="6" t="s">
        <v>10354</v>
      </c>
    </row>
    <row r="1348" customFormat="false" ht="94" hidden="false" customHeight="false" outlineLevel="0" collapsed="false">
      <c r="A1348" s="26" t="s">
        <v>63</v>
      </c>
      <c r="B1348" s="27" t="s">
        <v>2129</v>
      </c>
      <c r="C1348" s="27" t="s">
        <v>2130</v>
      </c>
      <c r="D1348" s="27" t="s">
        <v>10355</v>
      </c>
      <c r="E1348" s="27" t="s">
        <v>10356</v>
      </c>
      <c r="F1348" s="27" t="s">
        <v>10357</v>
      </c>
      <c r="G1348" s="28"/>
      <c r="H1348" s="6" t="s">
        <v>63</v>
      </c>
      <c r="I1348" s="6" t="s">
        <v>62</v>
      </c>
      <c r="J1348" s="6" t="s">
        <v>63</v>
      </c>
      <c r="K1348" s="6" t="s">
        <v>63</v>
      </c>
      <c r="L1348" s="6" t="s">
        <v>64</v>
      </c>
      <c r="M1348" s="27" t="s">
        <v>4144</v>
      </c>
      <c r="N1348" s="27" t="s">
        <v>10358</v>
      </c>
      <c r="O1348" s="6" t="s">
        <v>3248</v>
      </c>
      <c r="P1348" s="28"/>
      <c r="Q1348" s="6" t="s">
        <v>67</v>
      </c>
      <c r="R1348" s="6" t="s">
        <v>1059</v>
      </c>
      <c r="S1348" s="28"/>
      <c r="T1348" s="6" t="s">
        <v>6138</v>
      </c>
      <c r="U1348" s="7" t="n">
        <v>3</v>
      </c>
      <c r="V1348" s="7" t="n">
        <v>3</v>
      </c>
      <c r="W1348" s="8" t="s">
        <v>10359</v>
      </c>
      <c r="X1348" s="8" t="s">
        <v>10359</v>
      </c>
      <c r="Y1348" s="8" t="s">
        <v>10360</v>
      </c>
      <c r="Z1348" s="8" t="s">
        <v>10360</v>
      </c>
      <c r="AA1348" s="7" t="n">
        <v>689</v>
      </c>
      <c r="AB1348" s="7" t="n">
        <v>569</v>
      </c>
      <c r="AC1348" s="7" t="n">
        <v>594</v>
      </c>
      <c r="AD1348" s="7" t="n">
        <v>3</v>
      </c>
      <c r="AE1348" s="7" t="n">
        <v>3</v>
      </c>
      <c r="AF1348" s="7" t="n">
        <v>35</v>
      </c>
      <c r="AG1348" s="7" t="n">
        <v>36</v>
      </c>
      <c r="AH1348" s="7" t="n">
        <v>14</v>
      </c>
      <c r="AI1348" s="7" t="n">
        <v>15</v>
      </c>
      <c r="AJ1348" s="7" t="n">
        <v>10</v>
      </c>
      <c r="AK1348" s="7" t="n">
        <v>10</v>
      </c>
      <c r="AL1348" s="7" t="n">
        <v>20</v>
      </c>
      <c r="AM1348" s="7" t="n">
        <v>20</v>
      </c>
      <c r="AN1348" s="7" t="n">
        <v>2</v>
      </c>
      <c r="AO1348" s="7" t="n">
        <v>2</v>
      </c>
      <c r="AP1348" s="7" t="n">
        <v>0</v>
      </c>
      <c r="AQ1348" s="7" t="n">
        <v>0</v>
      </c>
      <c r="AR1348" s="6" t="s">
        <v>63</v>
      </c>
      <c r="AS1348" s="6" t="s">
        <v>63</v>
      </c>
      <c r="AT1348" s="28"/>
      <c r="AU1348" s="9" t="str">
        <f aca="false">HYPERLINK("https://creighton-primo.hosted.exlibrisgroup.com/primo-explore/search?tab=default_tab&amp;search_scope=EVERYTHING&amp;vid=01CRU&amp;lang=en_US&amp;offset=0&amp;query=any,contains,991002595379702656","Catalog Record")</f>
        <v>Catalog Record</v>
      </c>
      <c r="AV1348" s="9" t="str">
        <f aca="false">HYPERLINK("http://www.worldcat.org/oclc/33983812","WorldCat Record")</f>
        <v>WorldCat Record</v>
      </c>
      <c r="AW1348" s="6" t="s">
        <v>10361</v>
      </c>
      <c r="AX1348" s="6" t="s">
        <v>10362</v>
      </c>
      <c r="AY1348" s="6" t="s">
        <v>10363</v>
      </c>
      <c r="AZ1348" s="6" t="s">
        <v>10363</v>
      </c>
      <c r="BA1348" s="6" t="s">
        <v>10364</v>
      </c>
      <c r="BB1348" s="6" t="s">
        <v>10365</v>
      </c>
      <c r="BC1348" s="6" t="s">
        <v>10366</v>
      </c>
      <c r="BE1348" s="15" t="s">
        <v>2145</v>
      </c>
      <c r="BF1348" s="6" t="s">
        <v>10367</v>
      </c>
    </row>
    <row r="1349" customFormat="false" ht="117" hidden="false" customHeight="false" outlineLevel="0" collapsed="false">
      <c r="A1349" s="26" t="s">
        <v>63</v>
      </c>
      <c r="B1349" s="27" t="s">
        <v>2129</v>
      </c>
      <c r="C1349" s="27" t="s">
        <v>2130</v>
      </c>
      <c r="D1349" s="27" t="s">
        <v>10368</v>
      </c>
      <c r="E1349" s="27" t="s">
        <v>10369</v>
      </c>
      <c r="F1349" s="27" t="s">
        <v>10370</v>
      </c>
      <c r="G1349" s="28"/>
      <c r="H1349" s="6" t="s">
        <v>63</v>
      </c>
      <c r="I1349" s="6" t="s">
        <v>62</v>
      </c>
      <c r="J1349" s="6" t="s">
        <v>63</v>
      </c>
      <c r="K1349" s="6" t="s">
        <v>63</v>
      </c>
      <c r="L1349" s="6" t="s">
        <v>64</v>
      </c>
      <c r="M1349" s="28"/>
      <c r="N1349" s="27" t="s">
        <v>10371</v>
      </c>
      <c r="O1349" s="6" t="s">
        <v>246</v>
      </c>
      <c r="P1349" s="28"/>
      <c r="Q1349" s="6" t="s">
        <v>67</v>
      </c>
      <c r="R1349" s="6" t="s">
        <v>2894</v>
      </c>
      <c r="S1349" s="28"/>
      <c r="T1349" s="6" t="s">
        <v>6138</v>
      </c>
      <c r="U1349" s="7" t="n">
        <v>2</v>
      </c>
      <c r="V1349" s="7" t="n">
        <v>2</v>
      </c>
      <c r="W1349" s="8" t="s">
        <v>5118</v>
      </c>
      <c r="X1349" s="8" t="s">
        <v>5118</v>
      </c>
      <c r="Y1349" s="8" t="s">
        <v>10333</v>
      </c>
      <c r="Z1349" s="8" t="s">
        <v>10333</v>
      </c>
      <c r="AA1349" s="7" t="n">
        <v>620</v>
      </c>
      <c r="AB1349" s="7" t="n">
        <v>531</v>
      </c>
      <c r="AC1349" s="7" t="n">
        <v>538</v>
      </c>
      <c r="AD1349" s="7" t="n">
        <v>5</v>
      </c>
      <c r="AE1349" s="7" t="n">
        <v>5</v>
      </c>
      <c r="AF1349" s="7" t="n">
        <v>31</v>
      </c>
      <c r="AG1349" s="7" t="n">
        <v>31</v>
      </c>
      <c r="AH1349" s="7" t="n">
        <v>12</v>
      </c>
      <c r="AI1349" s="7" t="n">
        <v>12</v>
      </c>
      <c r="AJ1349" s="7" t="n">
        <v>8</v>
      </c>
      <c r="AK1349" s="7" t="n">
        <v>8</v>
      </c>
      <c r="AL1349" s="7" t="n">
        <v>19</v>
      </c>
      <c r="AM1349" s="7" t="n">
        <v>19</v>
      </c>
      <c r="AN1349" s="7" t="n">
        <v>3</v>
      </c>
      <c r="AO1349" s="7" t="n">
        <v>3</v>
      </c>
      <c r="AP1349" s="7" t="n">
        <v>0</v>
      </c>
      <c r="AQ1349" s="7" t="n">
        <v>0</v>
      </c>
      <c r="AR1349" s="6" t="s">
        <v>63</v>
      </c>
      <c r="AS1349" s="6" t="s">
        <v>57</v>
      </c>
      <c r="AT1349" s="9" t="str">
        <f aca="false">HYPERLINK("http://catalog.hathitrust.org/Record/000693068","HathiTrust Record")</f>
        <v>HathiTrust Record</v>
      </c>
      <c r="AU1349" s="9" t="str">
        <f aca="false">HYPERLINK("https://creighton-primo.hosted.exlibrisgroup.com/primo-explore/search?tab=default_tab&amp;search_scope=EVERYTHING&amp;vid=01CRU&amp;lang=en_US&amp;offset=0&amp;query=any,contains,991004713389702656","Catalog Record")</f>
        <v>Catalog Record</v>
      </c>
      <c r="AV1349" s="9" t="str">
        <f aca="false">HYPERLINK("http://www.worldcat.org/oclc/4775203","WorldCat Record")</f>
        <v>WorldCat Record</v>
      </c>
      <c r="AW1349" s="6" t="s">
        <v>10372</v>
      </c>
      <c r="AX1349" s="6" t="s">
        <v>10373</v>
      </c>
      <c r="AY1349" s="6" t="s">
        <v>10374</v>
      </c>
      <c r="AZ1349" s="6" t="s">
        <v>10374</v>
      </c>
      <c r="BA1349" s="6" t="s">
        <v>10375</v>
      </c>
      <c r="BB1349" s="6" t="s">
        <v>10376</v>
      </c>
      <c r="BC1349" s="6" t="s">
        <v>10377</v>
      </c>
      <c r="BE1349" s="15" t="s">
        <v>2145</v>
      </c>
      <c r="BF1349" s="6" t="s">
        <v>10378</v>
      </c>
    </row>
    <row r="1350" customFormat="false" ht="151.5" hidden="false" customHeight="false" outlineLevel="0" collapsed="false">
      <c r="A1350" s="26" t="s">
        <v>63</v>
      </c>
      <c r="B1350" s="27" t="s">
        <v>2129</v>
      </c>
      <c r="C1350" s="27" t="s">
        <v>2130</v>
      </c>
      <c r="D1350" s="27" t="s">
        <v>10379</v>
      </c>
      <c r="E1350" s="27" t="s">
        <v>10380</v>
      </c>
      <c r="F1350" s="27" t="s">
        <v>10381</v>
      </c>
      <c r="G1350" s="28"/>
      <c r="H1350" s="6" t="s">
        <v>63</v>
      </c>
      <c r="I1350" s="6" t="s">
        <v>62</v>
      </c>
      <c r="J1350" s="6" t="s">
        <v>63</v>
      </c>
      <c r="K1350" s="6" t="s">
        <v>63</v>
      </c>
      <c r="L1350" s="6" t="s">
        <v>64</v>
      </c>
      <c r="M1350" s="27" t="s">
        <v>10382</v>
      </c>
      <c r="N1350" s="27" t="s">
        <v>10383</v>
      </c>
      <c r="O1350" s="6" t="s">
        <v>3301</v>
      </c>
      <c r="P1350" s="28"/>
      <c r="Q1350" s="6" t="s">
        <v>67</v>
      </c>
      <c r="R1350" s="6" t="s">
        <v>2288</v>
      </c>
      <c r="S1350" s="28"/>
      <c r="T1350" s="6" t="s">
        <v>6138</v>
      </c>
      <c r="U1350" s="7" t="n">
        <v>2</v>
      </c>
      <c r="V1350" s="7" t="n">
        <v>2</v>
      </c>
      <c r="W1350" s="8" t="s">
        <v>10384</v>
      </c>
      <c r="X1350" s="8" t="s">
        <v>10384</v>
      </c>
      <c r="Y1350" s="8" t="s">
        <v>10333</v>
      </c>
      <c r="Z1350" s="8" t="s">
        <v>10333</v>
      </c>
      <c r="AA1350" s="7" t="n">
        <v>226</v>
      </c>
      <c r="AB1350" s="7" t="n">
        <v>177</v>
      </c>
      <c r="AC1350" s="7" t="n">
        <v>178</v>
      </c>
      <c r="AD1350" s="7" t="n">
        <v>2</v>
      </c>
      <c r="AE1350" s="7" t="n">
        <v>2</v>
      </c>
      <c r="AF1350" s="7" t="n">
        <v>18</v>
      </c>
      <c r="AG1350" s="7" t="n">
        <v>18</v>
      </c>
      <c r="AH1350" s="7" t="n">
        <v>5</v>
      </c>
      <c r="AI1350" s="7" t="n">
        <v>5</v>
      </c>
      <c r="AJ1350" s="7" t="n">
        <v>8</v>
      </c>
      <c r="AK1350" s="7" t="n">
        <v>8</v>
      </c>
      <c r="AL1350" s="7" t="n">
        <v>12</v>
      </c>
      <c r="AM1350" s="7" t="n">
        <v>12</v>
      </c>
      <c r="AN1350" s="7" t="n">
        <v>1</v>
      </c>
      <c r="AO1350" s="7" t="n">
        <v>1</v>
      </c>
      <c r="AP1350" s="7" t="n">
        <v>0</v>
      </c>
      <c r="AQ1350" s="7" t="n">
        <v>0</v>
      </c>
      <c r="AR1350" s="6" t="s">
        <v>63</v>
      </c>
      <c r="AS1350" s="6" t="s">
        <v>63</v>
      </c>
      <c r="AT1350" s="28"/>
      <c r="AU1350" s="9" t="str">
        <f aca="false">HYPERLINK("https://creighton-primo.hosted.exlibrisgroup.com/primo-explore/search?tab=default_tab&amp;search_scope=EVERYTHING&amp;vid=01CRU&amp;lang=en_US&amp;offset=0&amp;query=any,contains,991000019189702656","Catalog Record")</f>
        <v>Catalog Record</v>
      </c>
      <c r="AV1350" s="9" t="str">
        <f aca="false">HYPERLINK("http://www.worldcat.org/oclc/8554257","WorldCat Record")</f>
        <v>WorldCat Record</v>
      </c>
      <c r="AW1350" s="6" t="s">
        <v>10385</v>
      </c>
      <c r="AX1350" s="6" t="s">
        <v>10386</v>
      </c>
      <c r="AY1350" s="6" t="s">
        <v>10387</v>
      </c>
      <c r="AZ1350" s="6" t="s">
        <v>10387</v>
      </c>
      <c r="BA1350" s="6" t="s">
        <v>10388</v>
      </c>
      <c r="BB1350" s="6" t="s">
        <v>10389</v>
      </c>
      <c r="BC1350" s="6" t="s">
        <v>10390</v>
      </c>
      <c r="BE1350" s="15" t="s">
        <v>2145</v>
      </c>
      <c r="BF1350" s="6" t="s">
        <v>10391</v>
      </c>
    </row>
    <row r="1351" customFormat="false" ht="163" hidden="false" customHeight="false" outlineLevel="0" collapsed="false">
      <c r="A1351" s="26" t="s">
        <v>57</v>
      </c>
      <c r="B1351" s="27" t="s">
        <v>2129</v>
      </c>
      <c r="C1351" s="27" t="s">
        <v>2130</v>
      </c>
      <c r="D1351" s="27" t="s">
        <v>10392</v>
      </c>
      <c r="E1351" s="27" t="s">
        <v>10393</v>
      </c>
      <c r="F1351" s="27" t="s">
        <v>10394</v>
      </c>
      <c r="G1351" s="28"/>
      <c r="H1351" s="6" t="s">
        <v>63</v>
      </c>
      <c r="I1351" s="6" t="s">
        <v>62</v>
      </c>
      <c r="J1351" s="6" t="s">
        <v>63</v>
      </c>
      <c r="K1351" s="6" t="s">
        <v>63</v>
      </c>
      <c r="L1351" s="6" t="s">
        <v>64</v>
      </c>
      <c r="M1351" s="27" t="s">
        <v>10395</v>
      </c>
      <c r="N1351" s="27" t="s">
        <v>10396</v>
      </c>
      <c r="O1351" s="6" t="s">
        <v>2893</v>
      </c>
      <c r="P1351" s="27" t="s">
        <v>561</v>
      </c>
      <c r="Q1351" s="6" t="s">
        <v>67</v>
      </c>
      <c r="R1351" s="6" t="s">
        <v>68</v>
      </c>
      <c r="S1351" s="28"/>
      <c r="T1351" s="6" t="s">
        <v>6138</v>
      </c>
      <c r="U1351" s="7" t="n">
        <v>2</v>
      </c>
      <c r="V1351" s="7" t="n">
        <v>2</v>
      </c>
      <c r="W1351" s="8" t="s">
        <v>9915</v>
      </c>
      <c r="X1351" s="8" t="s">
        <v>9915</v>
      </c>
      <c r="Y1351" s="8" t="s">
        <v>10207</v>
      </c>
      <c r="Z1351" s="8" t="s">
        <v>10207</v>
      </c>
      <c r="AA1351" s="7" t="n">
        <v>955</v>
      </c>
      <c r="AB1351" s="7" t="n">
        <v>907</v>
      </c>
      <c r="AC1351" s="7" t="n">
        <v>1218</v>
      </c>
      <c r="AD1351" s="7" t="n">
        <v>8</v>
      </c>
      <c r="AE1351" s="7" t="n">
        <v>10</v>
      </c>
      <c r="AF1351" s="7" t="n">
        <v>33</v>
      </c>
      <c r="AG1351" s="7" t="n">
        <v>47</v>
      </c>
      <c r="AH1351" s="7" t="n">
        <v>16</v>
      </c>
      <c r="AI1351" s="7" t="n">
        <v>22</v>
      </c>
      <c r="AJ1351" s="7" t="n">
        <v>5</v>
      </c>
      <c r="AK1351" s="7" t="n">
        <v>9</v>
      </c>
      <c r="AL1351" s="7" t="n">
        <v>18</v>
      </c>
      <c r="AM1351" s="7" t="n">
        <v>23</v>
      </c>
      <c r="AN1351" s="7" t="n">
        <v>4</v>
      </c>
      <c r="AO1351" s="7" t="n">
        <v>5</v>
      </c>
      <c r="AP1351" s="7" t="n">
        <v>0</v>
      </c>
      <c r="AQ1351" s="7" t="n">
        <v>0</v>
      </c>
      <c r="AR1351" s="6" t="s">
        <v>63</v>
      </c>
      <c r="AS1351" s="6" t="s">
        <v>57</v>
      </c>
      <c r="AT1351" s="9" t="str">
        <f aca="false">HYPERLINK("http://catalog.hathitrust.org/Record/000023581","HathiTrust Record")</f>
        <v>HathiTrust Record</v>
      </c>
      <c r="AU1351" s="9" t="str">
        <f aca="false">HYPERLINK("https://creighton-primo.hosted.exlibrisgroup.com/primo-explore/search?tab=default_tab&amp;search_scope=EVERYTHING&amp;vid=01CRU&amp;lang=en_US&amp;offset=0&amp;query=any,contains,991003539069702656","Catalog Record")</f>
        <v>Catalog Record</v>
      </c>
      <c r="AV1351" s="9" t="str">
        <f aca="false">HYPERLINK("http://www.worldcat.org/oclc/1104038","WorldCat Record")</f>
        <v>WorldCat Record</v>
      </c>
      <c r="AW1351" s="6" t="s">
        <v>10397</v>
      </c>
      <c r="AX1351" s="6" t="s">
        <v>10398</v>
      </c>
      <c r="AY1351" s="6" t="s">
        <v>10399</v>
      </c>
      <c r="AZ1351" s="6" t="s">
        <v>10399</v>
      </c>
      <c r="BA1351" s="6" t="s">
        <v>10400</v>
      </c>
      <c r="BB1351" s="6" t="s">
        <v>10401</v>
      </c>
      <c r="BC1351" s="6" t="s">
        <v>10402</v>
      </c>
      <c r="BE1351" s="15" t="s">
        <v>2145</v>
      </c>
      <c r="BF1351" s="6" t="s">
        <v>10403</v>
      </c>
    </row>
    <row r="1352" customFormat="false" ht="128.5" hidden="false" customHeight="false" outlineLevel="0" collapsed="false">
      <c r="A1352" s="26" t="s">
        <v>57</v>
      </c>
      <c r="B1352" s="27" t="s">
        <v>2129</v>
      </c>
      <c r="C1352" s="27" t="s">
        <v>2130</v>
      </c>
      <c r="D1352" s="27" t="s">
        <v>10404</v>
      </c>
      <c r="E1352" s="27" t="s">
        <v>10405</v>
      </c>
      <c r="F1352" s="27" t="s">
        <v>10406</v>
      </c>
      <c r="G1352" s="28"/>
      <c r="H1352" s="6" t="s">
        <v>63</v>
      </c>
      <c r="I1352" s="6" t="s">
        <v>62</v>
      </c>
      <c r="J1352" s="6" t="s">
        <v>63</v>
      </c>
      <c r="K1352" s="6" t="s">
        <v>63</v>
      </c>
      <c r="L1352" s="6" t="s">
        <v>64</v>
      </c>
      <c r="M1352" s="27" t="s">
        <v>9913</v>
      </c>
      <c r="N1352" s="27" t="s">
        <v>10407</v>
      </c>
      <c r="O1352" s="6" t="s">
        <v>3301</v>
      </c>
      <c r="P1352" s="28"/>
      <c r="Q1352" s="6" t="s">
        <v>67</v>
      </c>
      <c r="R1352" s="6" t="s">
        <v>384</v>
      </c>
      <c r="S1352" s="28"/>
      <c r="T1352" s="6" t="s">
        <v>6138</v>
      </c>
      <c r="U1352" s="7" t="n">
        <v>1</v>
      </c>
      <c r="V1352" s="7" t="n">
        <v>1</v>
      </c>
      <c r="W1352" s="8" t="s">
        <v>9915</v>
      </c>
      <c r="X1352" s="8" t="s">
        <v>9915</v>
      </c>
      <c r="Y1352" s="8" t="s">
        <v>10207</v>
      </c>
      <c r="Z1352" s="8" t="s">
        <v>10207</v>
      </c>
      <c r="AA1352" s="7" t="n">
        <v>263</v>
      </c>
      <c r="AB1352" s="7" t="n">
        <v>225</v>
      </c>
      <c r="AC1352" s="7" t="n">
        <v>274</v>
      </c>
      <c r="AD1352" s="7" t="n">
        <v>2</v>
      </c>
      <c r="AE1352" s="7" t="n">
        <v>4</v>
      </c>
      <c r="AF1352" s="7" t="n">
        <v>15</v>
      </c>
      <c r="AG1352" s="7" t="n">
        <v>18</v>
      </c>
      <c r="AH1352" s="7" t="n">
        <v>5</v>
      </c>
      <c r="AI1352" s="7" t="n">
        <v>5</v>
      </c>
      <c r="AJ1352" s="7" t="n">
        <v>6</v>
      </c>
      <c r="AK1352" s="7" t="n">
        <v>7</v>
      </c>
      <c r="AL1352" s="7" t="n">
        <v>11</v>
      </c>
      <c r="AM1352" s="7" t="n">
        <v>11</v>
      </c>
      <c r="AN1352" s="7" t="n">
        <v>0</v>
      </c>
      <c r="AO1352" s="7" t="n">
        <v>2</v>
      </c>
      <c r="AP1352" s="7" t="n">
        <v>0</v>
      </c>
      <c r="AQ1352" s="7" t="n">
        <v>0</v>
      </c>
      <c r="AR1352" s="6" t="s">
        <v>63</v>
      </c>
      <c r="AS1352" s="6" t="s">
        <v>63</v>
      </c>
      <c r="AT1352" s="28"/>
      <c r="AU1352" s="9" t="str">
        <f aca="false">HYPERLINK("https://creighton-primo.hosted.exlibrisgroup.com/primo-explore/search?tab=default_tab&amp;search_scope=EVERYTHING&amp;vid=01CRU&amp;lang=en_US&amp;offset=0&amp;query=any,contains,991005183569702656","Catalog Record")</f>
        <v>Catalog Record</v>
      </c>
      <c r="AV1352" s="9" t="str">
        <f aca="false">HYPERLINK("http://www.worldcat.org/oclc/7948047","WorldCat Record")</f>
        <v>WorldCat Record</v>
      </c>
      <c r="AW1352" s="6" t="s">
        <v>10408</v>
      </c>
      <c r="AX1352" s="6" t="s">
        <v>10409</v>
      </c>
      <c r="AY1352" s="6" t="s">
        <v>10410</v>
      </c>
      <c r="AZ1352" s="6" t="s">
        <v>10410</v>
      </c>
      <c r="BA1352" s="6" t="s">
        <v>10411</v>
      </c>
      <c r="BB1352" s="6" t="s">
        <v>10412</v>
      </c>
      <c r="BC1352" s="6" t="s">
        <v>10413</v>
      </c>
      <c r="BE1352" s="15" t="s">
        <v>2145</v>
      </c>
      <c r="BF1352" s="6" t="s">
        <v>10414</v>
      </c>
    </row>
    <row r="1353" customFormat="false" ht="128.5" hidden="false" customHeight="false" outlineLevel="0" collapsed="false">
      <c r="A1353" s="26" t="s">
        <v>63</v>
      </c>
      <c r="B1353" s="27" t="s">
        <v>2129</v>
      </c>
      <c r="C1353" s="27" t="s">
        <v>2130</v>
      </c>
      <c r="D1353" s="27" t="s">
        <v>10415</v>
      </c>
      <c r="E1353" s="27" t="s">
        <v>10416</v>
      </c>
      <c r="F1353" s="27" t="s">
        <v>10417</v>
      </c>
      <c r="G1353" s="28"/>
      <c r="H1353" s="6" t="s">
        <v>63</v>
      </c>
      <c r="I1353" s="6" t="s">
        <v>62</v>
      </c>
      <c r="J1353" s="6" t="s">
        <v>63</v>
      </c>
      <c r="K1353" s="6" t="s">
        <v>63</v>
      </c>
      <c r="L1353" s="6" t="s">
        <v>64</v>
      </c>
      <c r="M1353" s="27" t="s">
        <v>10418</v>
      </c>
      <c r="N1353" s="27" t="s">
        <v>10419</v>
      </c>
      <c r="O1353" s="6" t="s">
        <v>246</v>
      </c>
      <c r="P1353" s="28"/>
      <c r="Q1353" s="6" t="s">
        <v>67</v>
      </c>
      <c r="R1353" s="6" t="s">
        <v>10420</v>
      </c>
      <c r="S1353" s="28"/>
      <c r="T1353" s="6" t="s">
        <v>6138</v>
      </c>
      <c r="U1353" s="7" t="n">
        <v>2</v>
      </c>
      <c r="V1353" s="7" t="n">
        <v>2</v>
      </c>
      <c r="W1353" s="8" t="s">
        <v>10421</v>
      </c>
      <c r="X1353" s="8" t="s">
        <v>10421</v>
      </c>
      <c r="Y1353" s="8" t="s">
        <v>10207</v>
      </c>
      <c r="Z1353" s="8" t="s">
        <v>10207</v>
      </c>
      <c r="AA1353" s="7" t="n">
        <v>800</v>
      </c>
      <c r="AB1353" s="7" t="n">
        <v>699</v>
      </c>
      <c r="AC1353" s="7" t="n">
        <v>701</v>
      </c>
      <c r="AD1353" s="7" t="n">
        <v>6</v>
      </c>
      <c r="AE1353" s="7" t="n">
        <v>6</v>
      </c>
      <c r="AF1353" s="7" t="n">
        <v>37</v>
      </c>
      <c r="AG1353" s="7" t="n">
        <v>37</v>
      </c>
      <c r="AH1353" s="7" t="n">
        <v>13</v>
      </c>
      <c r="AI1353" s="7" t="n">
        <v>13</v>
      </c>
      <c r="AJ1353" s="7" t="n">
        <v>9</v>
      </c>
      <c r="AK1353" s="7" t="n">
        <v>9</v>
      </c>
      <c r="AL1353" s="7" t="n">
        <v>23</v>
      </c>
      <c r="AM1353" s="7" t="n">
        <v>23</v>
      </c>
      <c r="AN1353" s="7" t="n">
        <v>4</v>
      </c>
      <c r="AO1353" s="7" t="n">
        <v>4</v>
      </c>
      <c r="AP1353" s="7" t="n">
        <v>0</v>
      </c>
      <c r="AQ1353" s="7" t="n">
        <v>0</v>
      </c>
      <c r="AR1353" s="6" t="s">
        <v>63</v>
      </c>
      <c r="AS1353" s="6" t="s">
        <v>57</v>
      </c>
      <c r="AT1353" s="9" t="str">
        <f aca="false">HYPERLINK("http://catalog.hathitrust.org/Record/000027566","HathiTrust Record")</f>
        <v>HathiTrust Record</v>
      </c>
      <c r="AU1353" s="9" t="str">
        <f aca="false">HYPERLINK("https://creighton-primo.hosted.exlibrisgroup.com/primo-explore/search?tab=default_tab&amp;search_scope=EVERYTHING&amp;vid=01CRU&amp;lang=en_US&amp;offset=0&amp;query=any,contains,991004729089702656","Catalog Record")</f>
        <v>Catalog Record</v>
      </c>
      <c r="AV1353" s="9" t="str">
        <f aca="false">HYPERLINK("http://www.worldcat.org/oclc/4832350","WorldCat Record")</f>
        <v>WorldCat Record</v>
      </c>
      <c r="AW1353" s="6" t="s">
        <v>10422</v>
      </c>
      <c r="AX1353" s="6" t="s">
        <v>10423</v>
      </c>
      <c r="AY1353" s="6" t="s">
        <v>10424</v>
      </c>
      <c r="AZ1353" s="6" t="s">
        <v>10424</v>
      </c>
      <c r="BA1353" s="6" t="s">
        <v>10425</v>
      </c>
      <c r="BB1353" s="6" t="s">
        <v>10426</v>
      </c>
      <c r="BC1353" s="6" t="s">
        <v>10427</v>
      </c>
      <c r="BE1353" s="15" t="s">
        <v>2145</v>
      </c>
      <c r="BF1353" s="6" t="s">
        <v>10428</v>
      </c>
    </row>
    <row r="1354" customFormat="false" ht="140" hidden="false" customHeight="false" outlineLevel="0" collapsed="false">
      <c r="A1354" s="26" t="s">
        <v>57</v>
      </c>
      <c r="B1354" s="27" t="s">
        <v>2129</v>
      </c>
      <c r="C1354" s="27" t="s">
        <v>2130</v>
      </c>
      <c r="D1354" s="27" t="s">
        <v>10429</v>
      </c>
      <c r="E1354" s="27" t="s">
        <v>10430</v>
      </c>
      <c r="F1354" s="27" t="s">
        <v>10431</v>
      </c>
      <c r="G1354" s="28"/>
      <c r="H1354" s="6" t="s">
        <v>63</v>
      </c>
      <c r="I1354" s="6" t="s">
        <v>62</v>
      </c>
      <c r="J1354" s="6" t="s">
        <v>63</v>
      </c>
      <c r="K1354" s="6" t="s">
        <v>63</v>
      </c>
      <c r="L1354" s="6" t="s">
        <v>64</v>
      </c>
      <c r="M1354" s="27" t="s">
        <v>10418</v>
      </c>
      <c r="N1354" s="27" t="s">
        <v>10432</v>
      </c>
      <c r="O1354" s="6" t="s">
        <v>66</v>
      </c>
      <c r="P1354" s="28"/>
      <c r="Q1354" s="6" t="s">
        <v>67</v>
      </c>
      <c r="R1354" s="6" t="s">
        <v>1059</v>
      </c>
      <c r="S1354" s="28"/>
      <c r="T1354" s="6" t="s">
        <v>6138</v>
      </c>
      <c r="U1354" s="7" t="n">
        <v>0</v>
      </c>
      <c r="V1354" s="7" t="n">
        <v>0</v>
      </c>
      <c r="W1354" s="8" t="s">
        <v>10433</v>
      </c>
      <c r="X1354" s="8" t="s">
        <v>10433</v>
      </c>
      <c r="Y1354" s="8" t="s">
        <v>10434</v>
      </c>
      <c r="Z1354" s="8" t="s">
        <v>10434</v>
      </c>
      <c r="AA1354" s="7" t="n">
        <v>596</v>
      </c>
      <c r="AB1354" s="7" t="n">
        <v>490</v>
      </c>
      <c r="AC1354" s="7" t="n">
        <v>492</v>
      </c>
      <c r="AD1354" s="7" t="n">
        <v>5</v>
      </c>
      <c r="AE1354" s="7" t="n">
        <v>5</v>
      </c>
      <c r="AF1354" s="7" t="n">
        <v>34</v>
      </c>
      <c r="AG1354" s="7" t="n">
        <v>34</v>
      </c>
      <c r="AH1354" s="7" t="n">
        <v>14</v>
      </c>
      <c r="AI1354" s="7" t="n">
        <v>14</v>
      </c>
      <c r="AJ1354" s="7" t="n">
        <v>8</v>
      </c>
      <c r="AK1354" s="7" t="n">
        <v>8</v>
      </c>
      <c r="AL1354" s="7" t="n">
        <v>19</v>
      </c>
      <c r="AM1354" s="7" t="n">
        <v>19</v>
      </c>
      <c r="AN1354" s="7" t="n">
        <v>3</v>
      </c>
      <c r="AO1354" s="7" t="n">
        <v>3</v>
      </c>
      <c r="AP1354" s="7" t="n">
        <v>0</v>
      </c>
      <c r="AQ1354" s="7" t="n">
        <v>0</v>
      </c>
      <c r="AR1354" s="6" t="s">
        <v>63</v>
      </c>
      <c r="AS1354" s="6" t="s">
        <v>57</v>
      </c>
      <c r="AT1354" s="9" t="str">
        <f aca="false">HYPERLINK("http://catalog.hathitrust.org/Record/002798059","HathiTrust Record")</f>
        <v>HathiTrust Record</v>
      </c>
      <c r="AU1354" s="9" t="str">
        <f aca="false">HYPERLINK("https://creighton-primo.hosted.exlibrisgroup.com/primo-explore/search?tab=default_tab&amp;search_scope=EVERYTHING&amp;vid=01CRU&amp;lang=en_US&amp;offset=0&amp;query=any,contains,991002229459702656","Catalog Record")</f>
        <v>Catalog Record</v>
      </c>
      <c r="AV1354" s="9" t="str">
        <f aca="false">HYPERLINK("http://www.worldcat.org/oclc/28711591","WorldCat Record")</f>
        <v>WorldCat Record</v>
      </c>
      <c r="AW1354" s="6" t="s">
        <v>10435</v>
      </c>
      <c r="AX1354" s="6" t="s">
        <v>10436</v>
      </c>
      <c r="AY1354" s="6" t="s">
        <v>10437</v>
      </c>
      <c r="AZ1354" s="6" t="s">
        <v>10437</v>
      </c>
      <c r="BA1354" s="6" t="s">
        <v>10438</v>
      </c>
      <c r="BB1354" s="6" t="s">
        <v>10439</v>
      </c>
      <c r="BC1354" s="6" t="s">
        <v>10440</v>
      </c>
      <c r="BE1354" s="15" t="s">
        <v>2145</v>
      </c>
      <c r="BF1354" s="6" t="s">
        <v>10441</v>
      </c>
    </row>
    <row r="1355" customFormat="false" ht="94" hidden="false" customHeight="false" outlineLevel="0" collapsed="false">
      <c r="A1355" s="26" t="s">
        <v>63</v>
      </c>
      <c r="B1355" s="27" t="s">
        <v>2129</v>
      </c>
      <c r="C1355" s="27" t="s">
        <v>2130</v>
      </c>
      <c r="D1355" s="27" t="s">
        <v>10442</v>
      </c>
      <c r="E1355" s="27" t="s">
        <v>10443</v>
      </c>
      <c r="F1355" s="27" t="s">
        <v>10444</v>
      </c>
      <c r="G1355" s="28"/>
      <c r="H1355" s="6" t="s">
        <v>63</v>
      </c>
      <c r="I1355" s="6" t="s">
        <v>62</v>
      </c>
      <c r="J1355" s="6" t="s">
        <v>63</v>
      </c>
      <c r="K1355" s="6" t="s">
        <v>63</v>
      </c>
      <c r="L1355" s="6" t="s">
        <v>64</v>
      </c>
      <c r="M1355" s="27" t="s">
        <v>10445</v>
      </c>
      <c r="N1355" s="27" t="s">
        <v>10446</v>
      </c>
      <c r="O1355" s="6" t="s">
        <v>2623</v>
      </c>
      <c r="P1355" s="28"/>
      <c r="Q1355" s="6" t="s">
        <v>67</v>
      </c>
      <c r="R1355" s="6" t="s">
        <v>384</v>
      </c>
      <c r="S1355" s="28"/>
      <c r="T1355" s="6" t="s">
        <v>6138</v>
      </c>
      <c r="U1355" s="7" t="n">
        <v>4</v>
      </c>
      <c r="V1355" s="7" t="n">
        <v>4</v>
      </c>
      <c r="W1355" s="8" t="s">
        <v>10447</v>
      </c>
      <c r="X1355" s="8" t="s">
        <v>10447</v>
      </c>
      <c r="Y1355" s="8" t="s">
        <v>10207</v>
      </c>
      <c r="Z1355" s="8" t="s">
        <v>10207</v>
      </c>
      <c r="AA1355" s="7" t="n">
        <v>524</v>
      </c>
      <c r="AB1355" s="7" t="n">
        <v>406</v>
      </c>
      <c r="AC1355" s="7" t="n">
        <v>573</v>
      </c>
      <c r="AD1355" s="7" t="n">
        <v>2</v>
      </c>
      <c r="AE1355" s="7" t="n">
        <v>4</v>
      </c>
      <c r="AF1355" s="7" t="n">
        <v>23</v>
      </c>
      <c r="AG1355" s="7" t="n">
        <v>32</v>
      </c>
      <c r="AH1355" s="7" t="n">
        <v>9</v>
      </c>
      <c r="AI1355" s="7" t="n">
        <v>14</v>
      </c>
      <c r="AJ1355" s="7" t="n">
        <v>6</v>
      </c>
      <c r="AK1355" s="7" t="n">
        <v>8</v>
      </c>
      <c r="AL1355" s="7" t="n">
        <v>15</v>
      </c>
      <c r="AM1355" s="7" t="n">
        <v>17</v>
      </c>
      <c r="AN1355" s="7" t="n">
        <v>1</v>
      </c>
      <c r="AO1355" s="7" t="n">
        <v>3</v>
      </c>
      <c r="AP1355" s="7" t="n">
        <v>0</v>
      </c>
      <c r="AQ1355" s="7" t="n">
        <v>0</v>
      </c>
      <c r="AR1355" s="6" t="s">
        <v>63</v>
      </c>
      <c r="AS1355" s="6" t="s">
        <v>57</v>
      </c>
      <c r="AT1355" s="9" t="str">
        <f aca="false">HYPERLINK("http://catalog.hathitrust.org/Record/000740758","HathiTrust Record")</f>
        <v>HathiTrust Record</v>
      </c>
      <c r="AU1355" s="9" t="str">
        <f aca="false">HYPERLINK("https://creighton-primo.hosted.exlibrisgroup.com/primo-explore/search?tab=default_tab&amp;search_scope=EVERYTHING&amp;vid=01CRU&amp;lang=en_US&amp;offset=0&amp;query=any,contains,991005074119702656","Catalog Record")</f>
        <v>Catalog Record</v>
      </c>
      <c r="AV1355" s="9" t="str">
        <f aca="false">HYPERLINK("http://www.worldcat.org/oclc/7081540","WorldCat Record")</f>
        <v>WorldCat Record</v>
      </c>
      <c r="AW1355" s="6" t="s">
        <v>10448</v>
      </c>
      <c r="AX1355" s="6" t="s">
        <v>10449</v>
      </c>
      <c r="AY1355" s="6" t="s">
        <v>10450</v>
      </c>
      <c r="AZ1355" s="6" t="s">
        <v>10450</v>
      </c>
      <c r="BA1355" s="6" t="s">
        <v>10451</v>
      </c>
      <c r="BB1355" s="28"/>
      <c r="BC1355" s="6" t="s">
        <v>10452</v>
      </c>
      <c r="BE1355" s="15" t="s">
        <v>2145</v>
      </c>
      <c r="BF1355" s="6" t="s">
        <v>10453</v>
      </c>
    </row>
    <row r="1356" customFormat="false" ht="48" hidden="false" customHeight="false" outlineLevel="0" collapsed="false">
      <c r="A1356" s="26" t="s">
        <v>63</v>
      </c>
      <c r="B1356" s="27" t="s">
        <v>2129</v>
      </c>
      <c r="C1356" s="27" t="s">
        <v>2130</v>
      </c>
      <c r="D1356" s="27" t="s">
        <v>10454</v>
      </c>
      <c r="E1356" s="27" t="s">
        <v>10455</v>
      </c>
      <c r="F1356" s="27" t="s">
        <v>10456</v>
      </c>
      <c r="G1356" s="28"/>
      <c r="H1356" s="6" t="s">
        <v>63</v>
      </c>
      <c r="I1356" s="6" t="s">
        <v>62</v>
      </c>
      <c r="J1356" s="6" t="s">
        <v>63</v>
      </c>
      <c r="K1356" s="6" t="s">
        <v>63</v>
      </c>
      <c r="L1356" s="6" t="s">
        <v>64</v>
      </c>
      <c r="M1356" s="27" t="s">
        <v>10457</v>
      </c>
      <c r="N1356" s="27" t="s">
        <v>10458</v>
      </c>
      <c r="O1356" s="6" t="s">
        <v>2975</v>
      </c>
      <c r="P1356" s="27" t="s">
        <v>255</v>
      </c>
      <c r="Q1356" s="6" t="s">
        <v>67</v>
      </c>
      <c r="R1356" s="6" t="s">
        <v>68</v>
      </c>
      <c r="S1356" s="27" t="s">
        <v>10459</v>
      </c>
      <c r="T1356" s="6" t="s">
        <v>6138</v>
      </c>
      <c r="U1356" s="7" t="n">
        <v>3</v>
      </c>
      <c r="V1356" s="7" t="n">
        <v>3</v>
      </c>
      <c r="W1356" s="8" t="s">
        <v>7148</v>
      </c>
      <c r="X1356" s="8" t="s">
        <v>7148</v>
      </c>
      <c r="Y1356" s="8" t="s">
        <v>10207</v>
      </c>
      <c r="Z1356" s="8" t="s">
        <v>10207</v>
      </c>
      <c r="AA1356" s="7" t="n">
        <v>874</v>
      </c>
      <c r="AB1356" s="7" t="n">
        <v>769</v>
      </c>
      <c r="AC1356" s="7" t="n">
        <v>863</v>
      </c>
      <c r="AD1356" s="7" t="n">
        <v>6</v>
      </c>
      <c r="AE1356" s="7" t="n">
        <v>6</v>
      </c>
      <c r="AF1356" s="7" t="n">
        <v>41</v>
      </c>
      <c r="AG1356" s="7" t="n">
        <v>44</v>
      </c>
      <c r="AH1356" s="7" t="n">
        <v>17</v>
      </c>
      <c r="AI1356" s="7" t="n">
        <v>18</v>
      </c>
      <c r="AJ1356" s="7" t="n">
        <v>9</v>
      </c>
      <c r="AK1356" s="7" t="n">
        <v>10</v>
      </c>
      <c r="AL1356" s="7" t="n">
        <v>21</v>
      </c>
      <c r="AM1356" s="7" t="n">
        <v>23</v>
      </c>
      <c r="AN1356" s="7" t="n">
        <v>5</v>
      </c>
      <c r="AO1356" s="7" t="n">
        <v>5</v>
      </c>
      <c r="AP1356" s="7" t="n">
        <v>0</v>
      </c>
      <c r="AQ1356" s="7" t="n">
        <v>0</v>
      </c>
      <c r="AR1356" s="6" t="s">
        <v>63</v>
      </c>
      <c r="AS1356" s="6" t="s">
        <v>57</v>
      </c>
      <c r="AT1356" s="9" t="str">
        <f aca="false">HYPERLINK("http://catalog.hathitrust.org/Record/001384958","HathiTrust Record")</f>
        <v>HathiTrust Record</v>
      </c>
      <c r="AU1356" s="9" t="str">
        <f aca="false">HYPERLINK("https://creighton-primo.hosted.exlibrisgroup.com/primo-explore/search?tab=default_tab&amp;search_scope=EVERYTHING&amp;vid=01CRU&amp;lang=en_US&amp;offset=0&amp;query=any,contains,991000003769702656","Catalog Record")</f>
        <v>Catalog Record</v>
      </c>
      <c r="AV1356" s="9" t="str">
        <f aca="false">HYPERLINK("http://www.worldcat.org/oclc/12333","WorldCat Record")</f>
        <v>WorldCat Record</v>
      </c>
      <c r="AW1356" s="6" t="s">
        <v>10460</v>
      </c>
      <c r="AX1356" s="6" t="s">
        <v>10461</v>
      </c>
      <c r="AY1356" s="6" t="s">
        <v>10462</v>
      </c>
      <c r="AZ1356" s="6" t="s">
        <v>10462</v>
      </c>
      <c r="BA1356" s="6" t="s">
        <v>10463</v>
      </c>
      <c r="BB1356" s="28"/>
      <c r="BC1356" s="6" t="s">
        <v>10464</v>
      </c>
      <c r="BE1356" s="15" t="s">
        <v>2145</v>
      </c>
      <c r="BF1356" s="6" t="s">
        <v>10465</v>
      </c>
    </row>
    <row r="1357" customFormat="false" ht="255" hidden="false" customHeight="false" outlineLevel="0" collapsed="false">
      <c r="A1357" s="26" t="s">
        <v>63</v>
      </c>
      <c r="B1357" s="27" t="s">
        <v>2129</v>
      </c>
      <c r="C1357" s="27" t="s">
        <v>2130</v>
      </c>
      <c r="D1357" s="27" t="s">
        <v>10466</v>
      </c>
      <c r="E1357" s="27" t="s">
        <v>10467</v>
      </c>
      <c r="F1357" s="27" t="s">
        <v>10468</v>
      </c>
      <c r="G1357" s="28"/>
      <c r="H1357" s="6" t="s">
        <v>63</v>
      </c>
      <c r="I1357" s="6" t="s">
        <v>62</v>
      </c>
      <c r="J1357" s="6" t="s">
        <v>63</v>
      </c>
      <c r="K1357" s="6" t="s">
        <v>63</v>
      </c>
      <c r="L1357" s="6" t="s">
        <v>64</v>
      </c>
      <c r="M1357" s="27" t="s">
        <v>10469</v>
      </c>
      <c r="N1357" s="27" t="s">
        <v>10470</v>
      </c>
      <c r="O1357" s="6" t="s">
        <v>264</v>
      </c>
      <c r="P1357" s="27" t="s">
        <v>10471</v>
      </c>
      <c r="Q1357" s="6" t="s">
        <v>67</v>
      </c>
      <c r="R1357" s="6" t="s">
        <v>2894</v>
      </c>
      <c r="S1357" s="27" t="s">
        <v>10472</v>
      </c>
      <c r="T1357" s="6" t="s">
        <v>6138</v>
      </c>
      <c r="U1357" s="7" t="n">
        <v>1</v>
      </c>
      <c r="V1357" s="7" t="n">
        <v>1</v>
      </c>
      <c r="W1357" s="8" t="s">
        <v>10473</v>
      </c>
      <c r="X1357" s="8" t="s">
        <v>10473</v>
      </c>
      <c r="Y1357" s="8" t="s">
        <v>10207</v>
      </c>
      <c r="Z1357" s="8" t="s">
        <v>10207</v>
      </c>
      <c r="AA1357" s="7" t="n">
        <v>662</v>
      </c>
      <c r="AB1357" s="7" t="n">
        <v>564</v>
      </c>
      <c r="AC1357" s="7" t="n">
        <v>573</v>
      </c>
      <c r="AD1357" s="7" t="n">
        <v>5</v>
      </c>
      <c r="AE1357" s="7" t="n">
        <v>5</v>
      </c>
      <c r="AF1357" s="7" t="n">
        <v>31</v>
      </c>
      <c r="AG1357" s="7" t="n">
        <v>31</v>
      </c>
      <c r="AH1357" s="7" t="n">
        <v>12</v>
      </c>
      <c r="AI1357" s="7" t="n">
        <v>12</v>
      </c>
      <c r="AJ1357" s="7" t="n">
        <v>6</v>
      </c>
      <c r="AK1357" s="7" t="n">
        <v>6</v>
      </c>
      <c r="AL1357" s="7" t="n">
        <v>17</v>
      </c>
      <c r="AM1357" s="7" t="n">
        <v>17</v>
      </c>
      <c r="AN1357" s="7" t="n">
        <v>4</v>
      </c>
      <c r="AO1357" s="7" t="n">
        <v>4</v>
      </c>
      <c r="AP1357" s="7" t="n">
        <v>0</v>
      </c>
      <c r="AQ1357" s="7" t="n">
        <v>0</v>
      </c>
      <c r="AR1357" s="6" t="s">
        <v>63</v>
      </c>
      <c r="AS1357" s="6" t="s">
        <v>57</v>
      </c>
      <c r="AT1357" s="9" t="str">
        <f aca="false">HYPERLINK("http://catalog.hathitrust.org/Record/001216228","HathiTrust Record")</f>
        <v>HathiTrust Record</v>
      </c>
      <c r="AU1357" s="9" t="str">
        <f aca="false">HYPERLINK("https://creighton-primo.hosted.exlibrisgroup.com/primo-explore/search?tab=default_tab&amp;search_scope=EVERYTHING&amp;vid=01CRU&amp;lang=en_US&amp;offset=0&amp;query=any,contains,991000206759702656","Catalog Record")</f>
        <v>Catalog Record</v>
      </c>
      <c r="AV1357" s="9" t="str">
        <f aca="false">HYPERLINK("http://www.worldcat.org/oclc/65425","WorldCat Record")</f>
        <v>WorldCat Record</v>
      </c>
      <c r="AW1357" s="6" t="s">
        <v>10474</v>
      </c>
      <c r="AX1357" s="6" t="s">
        <v>10475</v>
      </c>
      <c r="AY1357" s="6" t="s">
        <v>10476</v>
      </c>
      <c r="AZ1357" s="6" t="s">
        <v>10476</v>
      </c>
      <c r="BA1357" s="6" t="s">
        <v>10477</v>
      </c>
      <c r="BB1357" s="6" t="s">
        <v>10478</v>
      </c>
      <c r="BC1357" s="6" t="s">
        <v>10479</v>
      </c>
      <c r="BE1357" s="15" t="s">
        <v>2145</v>
      </c>
      <c r="BF1357" s="6" t="s">
        <v>10480</v>
      </c>
    </row>
    <row r="1358" customFormat="false" ht="128.5" hidden="false" customHeight="false" outlineLevel="0" collapsed="false">
      <c r="A1358" s="26" t="s">
        <v>63</v>
      </c>
      <c r="B1358" s="27" t="s">
        <v>2129</v>
      </c>
      <c r="C1358" s="27" t="s">
        <v>2130</v>
      </c>
      <c r="D1358" s="27" t="s">
        <v>10481</v>
      </c>
      <c r="E1358" s="27" t="s">
        <v>10482</v>
      </c>
      <c r="F1358" s="27" t="s">
        <v>10483</v>
      </c>
      <c r="G1358" s="28"/>
      <c r="H1358" s="6" t="s">
        <v>63</v>
      </c>
      <c r="I1358" s="6" t="s">
        <v>62</v>
      </c>
      <c r="J1358" s="6" t="s">
        <v>63</v>
      </c>
      <c r="K1358" s="6" t="s">
        <v>63</v>
      </c>
      <c r="L1358" s="6" t="s">
        <v>64</v>
      </c>
      <c r="M1358" s="27" t="s">
        <v>10484</v>
      </c>
      <c r="N1358" s="27" t="s">
        <v>10383</v>
      </c>
      <c r="O1358" s="6" t="s">
        <v>3301</v>
      </c>
      <c r="P1358" s="28"/>
      <c r="Q1358" s="6" t="s">
        <v>67</v>
      </c>
      <c r="R1358" s="6" t="s">
        <v>2288</v>
      </c>
      <c r="S1358" s="28"/>
      <c r="T1358" s="6" t="s">
        <v>6138</v>
      </c>
      <c r="U1358" s="7" t="n">
        <v>3</v>
      </c>
      <c r="V1358" s="7" t="n">
        <v>3</v>
      </c>
      <c r="W1358" s="8" t="s">
        <v>10485</v>
      </c>
      <c r="X1358" s="8" t="s">
        <v>10485</v>
      </c>
      <c r="Y1358" s="8" t="s">
        <v>10486</v>
      </c>
      <c r="Z1358" s="8" t="s">
        <v>10486</v>
      </c>
      <c r="AA1358" s="7" t="n">
        <v>150</v>
      </c>
      <c r="AB1358" s="7" t="n">
        <v>127</v>
      </c>
      <c r="AC1358" s="7" t="n">
        <v>129</v>
      </c>
      <c r="AD1358" s="7" t="n">
        <v>2</v>
      </c>
      <c r="AE1358" s="7" t="n">
        <v>2</v>
      </c>
      <c r="AF1358" s="7" t="n">
        <v>15</v>
      </c>
      <c r="AG1358" s="7" t="n">
        <v>15</v>
      </c>
      <c r="AH1358" s="7" t="n">
        <v>2</v>
      </c>
      <c r="AI1358" s="7" t="n">
        <v>2</v>
      </c>
      <c r="AJ1358" s="7" t="n">
        <v>8</v>
      </c>
      <c r="AK1358" s="7" t="n">
        <v>8</v>
      </c>
      <c r="AL1358" s="7" t="n">
        <v>10</v>
      </c>
      <c r="AM1358" s="7" t="n">
        <v>10</v>
      </c>
      <c r="AN1358" s="7" t="n">
        <v>1</v>
      </c>
      <c r="AO1358" s="7" t="n">
        <v>1</v>
      </c>
      <c r="AP1358" s="7" t="n">
        <v>0</v>
      </c>
      <c r="AQ1358" s="7" t="n">
        <v>0</v>
      </c>
      <c r="AR1358" s="6" t="s">
        <v>63</v>
      </c>
      <c r="AS1358" s="6" t="s">
        <v>57</v>
      </c>
      <c r="AT1358" s="9" t="str">
        <f aca="false">HYPERLINK("http://catalog.hathitrust.org/Record/000428119","HathiTrust Record")</f>
        <v>HathiTrust Record</v>
      </c>
      <c r="AU1358" s="9" t="str">
        <f aca="false">HYPERLINK("https://creighton-primo.hosted.exlibrisgroup.com/primo-explore/search?tab=default_tab&amp;search_scope=EVERYTHING&amp;vid=01CRU&amp;lang=en_US&amp;offset=0&amp;query=any,contains,991000094189702656","Catalog Record")</f>
        <v>Catalog Record</v>
      </c>
      <c r="AV1358" s="9" t="str">
        <f aca="false">HYPERLINK("http://www.worldcat.org/oclc/8927742","WorldCat Record")</f>
        <v>WorldCat Record</v>
      </c>
      <c r="AW1358" s="6" t="s">
        <v>10487</v>
      </c>
      <c r="AX1358" s="6" t="s">
        <v>10488</v>
      </c>
      <c r="AY1358" s="6" t="s">
        <v>10489</v>
      </c>
      <c r="AZ1358" s="6" t="s">
        <v>10489</v>
      </c>
      <c r="BA1358" s="6" t="s">
        <v>10490</v>
      </c>
      <c r="BB1358" s="6" t="s">
        <v>10491</v>
      </c>
      <c r="BC1358" s="6" t="s">
        <v>10492</v>
      </c>
      <c r="BE1358" s="15" t="s">
        <v>2145</v>
      </c>
      <c r="BF1358" s="6" t="s">
        <v>10493</v>
      </c>
    </row>
    <row r="1359" customFormat="false" ht="117" hidden="false" customHeight="false" outlineLevel="0" collapsed="false">
      <c r="A1359" s="26" t="s">
        <v>57</v>
      </c>
      <c r="B1359" s="27" t="s">
        <v>2129</v>
      </c>
      <c r="C1359" s="27" t="s">
        <v>2130</v>
      </c>
      <c r="D1359" s="27" t="s">
        <v>10494</v>
      </c>
      <c r="E1359" s="27" t="s">
        <v>10495</v>
      </c>
      <c r="F1359" s="27" t="s">
        <v>10496</v>
      </c>
      <c r="G1359" s="28"/>
      <c r="H1359" s="6" t="s">
        <v>63</v>
      </c>
      <c r="I1359" s="6" t="s">
        <v>62</v>
      </c>
      <c r="J1359" s="6" t="s">
        <v>63</v>
      </c>
      <c r="K1359" s="6" t="s">
        <v>63</v>
      </c>
      <c r="L1359" s="6" t="s">
        <v>64</v>
      </c>
      <c r="M1359" s="27" t="s">
        <v>10497</v>
      </c>
      <c r="N1359" s="27" t="s">
        <v>10498</v>
      </c>
      <c r="O1359" s="6" t="s">
        <v>2665</v>
      </c>
      <c r="P1359" s="28"/>
      <c r="Q1359" s="6" t="s">
        <v>67</v>
      </c>
      <c r="R1359" s="6" t="s">
        <v>802</v>
      </c>
      <c r="S1359" s="27" t="s">
        <v>10499</v>
      </c>
      <c r="T1359" s="6" t="s">
        <v>6138</v>
      </c>
      <c r="U1359" s="7" t="n">
        <v>1</v>
      </c>
      <c r="V1359" s="7" t="n">
        <v>1</v>
      </c>
      <c r="W1359" s="8" t="s">
        <v>10485</v>
      </c>
      <c r="X1359" s="8" t="s">
        <v>10485</v>
      </c>
      <c r="Y1359" s="8" t="s">
        <v>10500</v>
      </c>
      <c r="Z1359" s="8" t="s">
        <v>10500</v>
      </c>
      <c r="AA1359" s="7" t="n">
        <v>247</v>
      </c>
      <c r="AB1359" s="7" t="n">
        <v>176</v>
      </c>
      <c r="AC1359" s="7" t="n">
        <v>193</v>
      </c>
      <c r="AD1359" s="7" t="n">
        <v>3</v>
      </c>
      <c r="AE1359" s="7" t="n">
        <v>3</v>
      </c>
      <c r="AF1359" s="7" t="n">
        <v>12</v>
      </c>
      <c r="AG1359" s="7" t="n">
        <v>12</v>
      </c>
      <c r="AH1359" s="7" t="n">
        <v>2</v>
      </c>
      <c r="AI1359" s="7" t="n">
        <v>2</v>
      </c>
      <c r="AJ1359" s="7" t="n">
        <v>5</v>
      </c>
      <c r="AK1359" s="7" t="n">
        <v>5</v>
      </c>
      <c r="AL1359" s="7" t="n">
        <v>6</v>
      </c>
      <c r="AM1359" s="7" t="n">
        <v>6</v>
      </c>
      <c r="AN1359" s="7" t="n">
        <v>2</v>
      </c>
      <c r="AO1359" s="7" t="n">
        <v>2</v>
      </c>
      <c r="AP1359" s="7" t="n">
        <v>0</v>
      </c>
      <c r="AQ1359" s="7" t="n">
        <v>0</v>
      </c>
      <c r="AR1359" s="6" t="s">
        <v>63</v>
      </c>
      <c r="AS1359" s="6" t="s">
        <v>57</v>
      </c>
      <c r="AT1359" s="9" t="str">
        <f aca="false">HYPERLINK("http://catalog.hathitrust.org/Record/001384960","HathiTrust Record")</f>
        <v>HathiTrust Record</v>
      </c>
      <c r="AU1359" s="9" t="str">
        <f aca="false">HYPERLINK("https://creighton-primo.hosted.exlibrisgroup.com/primo-explore/search?tab=default_tab&amp;search_scope=EVERYTHING&amp;vid=01CRU&amp;lang=en_US&amp;offset=0&amp;query=any,contains,991003136659702656","Catalog Record")</f>
        <v>Catalog Record</v>
      </c>
      <c r="AV1359" s="9" t="str">
        <f aca="false">HYPERLINK("http://www.worldcat.org/oclc/678491","WorldCat Record")</f>
        <v>WorldCat Record</v>
      </c>
      <c r="AW1359" s="6" t="s">
        <v>10501</v>
      </c>
      <c r="AX1359" s="6" t="s">
        <v>10502</v>
      </c>
      <c r="AY1359" s="6" t="s">
        <v>10503</v>
      </c>
      <c r="AZ1359" s="6" t="s">
        <v>10503</v>
      </c>
      <c r="BA1359" s="6" t="s">
        <v>10504</v>
      </c>
      <c r="BB1359" s="28"/>
      <c r="BC1359" s="6" t="s">
        <v>10505</v>
      </c>
      <c r="BE1359" s="15" t="s">
        <v>2145</v>
      </c>
      <c r="BF1359" s="6" t="s">
        <v>10506</v>
      </c>
    </row>
    <row r="1360" customFormat="false" ht="151.5" hidden="false" customHeight="false" outlineLevel="0" collapsed="false">
      <c r="A1360" s="26" t="s">
        <v>63</v>
      </c>
      <c r="B1360" s="27" t="s">
        <v>2129</v>
      </c>
      <c r="C1360" s="27" t="s">
        <v>2130</v>
      </c>
      <c r="D1360" s="27" t="s">
        <v>10507</v>
      </c>
      <c r="E1360" s="27" t="s">
        <v>10508</v>
      </c>
      <c r="F1360" s="27" t="s">
        <v>10509</v>
      </c>
      <c r="G1360" s="28"/>
      <c r="H1360" s="6" t="s">
        <v>63</v>
      </c>
      <c r="I1360" s="6" t="s">
        <v>62</v>
      </c>
      <c r="J1360" s="6" t="s">
        <v>63</v>
      </c>
      <c r="K1360" s="6" t="s">
        <v>63</v>
      </c>
      <c r="L1360" s="6" t="s">
        <v>64</v>
      </c>
      <c r="M1360" s="27" t="s">
        <v>10510</v>
      </c>
      <c r="N1360" s="27" t="s">
        <v>10511</v>
      </c>
      <c r="O1360" s="6" t="s">
        <v>208</v>
      </c>
      <c r="P1360" s="27" t="s">
        <v>561</v>
      </c>
      <c r="Q1360" s="6" t="s">
        <v>67</v>
      </c>
      <c r="R1360" s="6" t="s">
        <v>68</v>
      </c>
      <c r="S1360" s="28"/>
      <c r="T1360" s="6" t="s">
        <v>6138</v>
      </c>
      <c r="U1360" s="7" t="n">
        <v>5</v>
      </c>
      <c r="V1360" s="7" t="n">
        <v>5</v>
      </c>
      <c r="W1360" s="8" t="s">
        <v>10447</v>
      </c>
      <c r="X1360" s="8" t="s">
        <v>10447</v>
      </c>
      <c r="Y1360" s="8" t="s">
        <v>10486</v>
      </c>
      <c r="Z1360" s="8" t="s">
        <v>10486</v>
      </c>
      <c r="AA1360" s="7" t="n">
        <v>1092</v>
      </c>
      <c r="AB1360" s="7" t="n">
        <v>955</v>
      </c>
      <c r="AC1360" s="7" t="n">
        <v>995</v>
      </c>
      <c r="AD1360" s="7" t="n">
        <v>6</v>
      </c>
      <c r="AE1360" s="7" t="n">
        <v>6</v>
      </c>
      <c r="AF1360" s="7" t="n">
        <v>37</v>
      </c>
      <c r="AG1360" s="7" t="n">
        <v>38</v>
      </c>
      <c r="AH1360" s="7" t="n">
        <v>15</v>
      </c>
      <c r="AI1360" s="7" t="n">
        <v>16</v>
      </c>
      <c r="AJ1360" s="7" t="n">
        <v>10</v>
      </c>
      <c r="AK1360" s="7" t="n">
        <v>11</v>
      </c>
      <c r="AL1360" s="7" t="n">
        <v>21</v>
      </c>
      <c r="AM1360" s="7" t="n">
        <v>21</v>
      </c>
      <c r="AN1360" s="7" t="n">
        <v>2</v>
      </c>
      <c r="AO1360" s="7" t="n">
        <v>2</v>
      </c>
      <c r="AP1360" s="7" t="n">
        <v>0</v>
      </c>
      <c r="AQ1360" s="7" t="n">
        <v>0</v>
      </c>
      <c r="AR1360" s="6" t="s">
        <v>63</v>
      </c>
      <c r="AS1360" s="6" t="s">
        <v>57</v>
      </c>
      <c r="AT1360" s="9" t="str">
        <f aca="false">HYPERLINK("http://catalog.hathitrust.org/Record/000827926","HathiTrust Record")</f>
        <v>HathiTrust Record</v>
      </c>
      <c r="AU1360" s="9" t="str">
        <f aca="false">HYPERLINK("https://creighton-primo.hosted.exlibrisgroup.com/primo-explore/search?tab=default_tab&amp;search_scope=EVERYTHING&amp;vid=01CRU&amp;lang=en_US&amp;offset=0&amp;query=any,contains,991000970259702656","Catalog Record")</f>
        <v>Catalog Record</v>
      </c>
      <c r="AV1360" s="9" t="str">
        <f aca="false">HYPERLINK("http://www.worldcat.org/oclc/14933377","WorldCat Record")</f>
        <v>WorldCat Record</v>
      </c>
      <c r="AW1360" s="6" t="s">
        <v>10512</v>
      </c>
      <c r="AX1360" s="6" t="s">
        <v>10513</v>
      </c>
      <c r="AY1360" s="6" t="s">
        <v>10514</v>
      </c>
      <c r="AZ1360" s="6" t="s">
        <v>10514</v>
      </c>
      <c r="BA1360" s="6" t="s">
        <v>10515</v>
      </c>
      <c r="BB1360" s="6" t="s">
        <v>10516</v>
      </c>
      <c r="BC1360" s="6" t="s">
        <v>10517</v>
      </c>
      <c r="BE1360" s="15" t="s">
        <v>2145</v>
      </c>
      <c r="BF1360" s="6" t="s">
        <v>10518</v>
      </c>
    </row>
    <row r="1361" customFormat="false" ht="59.5" hidden="false" customHeight="false" outlineLevel="0" collapsed="false">
      <c r="A1361" s="26" t="s">
        <v>63</v>
      </c>
      <c r="B1361" s="27" t="s">
        <v>2129</v>
      </c>
      <c r="C1361" s="27" t="s">
        <v>2130</v>
      </c>
      <c r="D1361" s="27" t="s">
        <v>10519</v>
      </c>
      <c r="E1361" s="27" t="s">
        <v>10520</v>
      </c>
      <c r="F1361" s="27" t="s">
        <v>10521</v>
      </c>
      <c r="G1361" s="28"/>
      <c r="H1361" s="6" t="s">
        <v>63</v>
      </c>
      <c r="I1361" s="6" t="s">
        <v>62</v>
      </c>
      <c r="J1361" s="6" t="s">
        <v>63</v>
      </c>
      <c r="K1361" s="6" t="s">
        <v>63</v>
      </c>
      <c r="L1361" s="6" t="s">
        <v>64</v>
      </c>
      <c r="M1361" s="27" t="s">
        <v>7262</v>
      </c>
      <c r="N1361" s="27" t="s">
        <v>10522</v>
      </c>
      <c r="O1361" s="6" t="s">
        <v>2811</v>
      </c>
      <c r="P1361" s="28"/>
      <c r="Q1361" s="6" t="s">
        <v>67</v>
      </c>
      <c r="R1361" s="6" t="s">
        <v>123</v>
      </c>
      <c r="S1361" s="27" t="s">
        <v>10523</v>
      </c>
      <c r="T1361" s="6" t="s">
        <v>6138</v>
      </c>
      <c r="U1361" s="7" t="n">
        <v>3</v>
      </c>
      <c r="V1361" s="7" t="n">
        <v>3</v>
      </c>
      <c r="W1361" s="8" t="s">
        <v>10524</v>
      </c>
      <c r="X1361" s="8" t="s">
        <v>10524</v>
      </c>
      <c r="Y1361" s="8" t="s">
        <v>10207</v>
      </c>
      <c r="Z1361" s="8" t="s">
        <v>10207</v>
      </c>
      <c r="AA1361" s="7" t="n">
        <v>142</v>
      </c>
      <c r="AB1361" s="7" t="n">
        <v>127</v>
      </c>
      <c r="AC1361" s="7" t="n">
        <v>699</v>
      </c>
      <c r="AD1361" s="7" t="n">
        <v>3</v>
      </c>
      <c r="AE1361" s="7" t="n">
        <v>12</v>
      </c>
      <c r="AF1361" s="7" t="n">
        <v>5</v>
      </c>
      <c r="AG1361" s="7" t="n">
        <v>29</v>
      </c>
      <c r="AH1361" s="7" t="n">
        <v>1</v>
      </c>
      <c r="AI1361" s="7" t="n">
        <v>8</v>
      </c>
      <c r="AJ1361" s="7" t="n">
        <v>0</v>
      </c>
      <c r="AK1361" s="7" t="n">
        <v>5</v>
      </c>
      <c r="AL1361" s="7" t="n">
        <v>3</v>
      </c>
      <c r="AM1361" s="7" t="n">
        <v>9</v>
      </c>
      <c r="AN1361" s="7" t="n">
        <v>2</v>
      </c>
      <c r="AO1361" s="7" t="n">
        <v>10</v>
      </c>
      <c r="AP1361" s="7" t="n">
        <v>0</v>
      </c>
      <c r="AQ1361" s="7" t="n">
        <v>1</v>
      </c>
      <c r="AR1361" s="6" t="s">
        <v>63</v>
      </c>
      <c r="AS1361" s="6" t="s">
        <v>57</v>
      </c>
      <c r="AT1361" s="9" t="str">
        <f aca="false">HYPERLINK("http://catalog.hathitrust.org/Record/004515185","HathiTrust Record")</f>
        <v>HathiTrust Record</v>
      </c>
      <c r="AU1361" s="9" t="str">
        <f aca="false">HYPERLINK("https://creighton-primo.hosted.exlibrisgroup.com/primo-explore/search?tab=default_tab&amp;search_scope=EVERYTHING&amp;vid=01CRU&amp;lang=en_US&amp;offset=0&amp;query=any,contains,991002382459702656","Catalog Record")</f>
        <v>Catalog Record</v>
      </c>
      <c r="AV1361" s="9" t="str">
        <f aca="false">HYPERLINK("http://www.worldcat.org/oclc/328659","WorldCat Record")</f>
        <v>WorldCat Record</v>
      </c>
      <c r="AW1361" s="6" t="s">
        <v>10525</v>
      </c>
      <c r="AX1361" s="6" t="s">
        <v>10526</v>
      </c>
      <c r="AY1361" s="6" t="s">
        <v>10527</v>
      </c>
      <c r="AZ1361" s="6" t="s">
        <v>10527</v>
      </c>
      <c r="BA1361" s="6" t="s">
        <v>10528</v>
      </c>
      <c r="BB1361" s="28"/>
      <c r="BC1361" s="6" t="s">
        <v>10529</v>
      </c>
      <c r="BE1361" s="15" t="s">
        <v>2145</v>
      </c>
      <c r="BF1361" s="6" t="s">
        <v>10530</v>
      </c>
    </row>
    <row r="1362" customFormat="false" ht="48" hidden="false" customHeight="false" outlineLevel="0" collapsed="false">
      <c r="A1362" s="26" t="s">
        <v>63</v>
      </c>
      <c r="B1362" s="27" t="s">
        <v>2129</v>
      </c>
      <c r="C1362" s="27" t="s">
        <v>2130</v>
      </c>
      <c r="D1362" s="27" t="s">
        <v>10531</v>
      </c>
      <c r="E1362" s="27" t="s">
        <v>10532</v>
      </c>
      <c r="F1362" s="27" t="s">
        <v>10533</v>
      </c>
      <c r="G1362" s="28"/>
      <c r="H1362" s="6" t="s">
        <v>63</v>
      </c>
      <c r="I1362" s="6" t="s">
        <v>62</v>
      </c>
      <c r="J1362" s="6" t="s">
        <v>63</v>
      </c>
      <c r="K1362" s="6" t="s">
        <v>63</v>
      </c>
      <c r="L1362" s="6" t="s">
        <v>64</v>
      </c>
      <c r="M1362" s="27" t="s">
        <v>10534</v>
      </c>
      <c r="N1362" s="27" t="s">
        <v>10535</v>
      </c>
      <c r="O1362" s="6" t="s">
        <v>2893</v>
      </c>
      <c r="P1362" s="28"/>
      <c r="Q1362" s="6" t="s">
        <v>67</v>
      </c>
      <c r="R1362" s="6" t="s">
        <v>68</v>
      </c>
      <c r="S1362" s="27" t="s">
        <v>10536</v>
      </c>
      <c r="T1362" s="6" t="s">
        <v>6138</v>
      </c>
      <c r="U1362" s="7" t="n">
        <v>4</v>
      </c>
      <c r="V1362" s="7" t="n">
        <v>4</v>
      </c>
      <c r="W1362" s="8" t="s">
        <v>10537</v>
      </c>
      <c r="X1362" s="8" t="s">
        <v>10537</v>
      </c>
      <c r="Y1362" s="8" t="s">
        <v>10207</v>
      </c>
      <c r="Z1362" s="8" t="s">
        <v>10207</v>
      </c>
      <c r="AA1362" s="7" t="n">
        <v>815</v>
      </c>
      <c r="AB1362" s="7" t="n">
        <v>748</v>
      </c>
      <c r="AC1362" s="7" t="n">
        <v>777</v>
      </c>
      <c r="AD1362" s="7" t="n">
        <v>5</v>
      </c>
      <c r="AE1362" s="7" t="n">
        <v>5</v>
      </c>
      <c r="AF1362" s="7" t="n">
        <v>33</v>
      </c>
      <c r="AG1362" s="7" t="n">
        <v>34</v>
      </c>
      <c r="AH1362" s="7" t="n">
        <v>15</v>
      </c>
      <c r="AI1362" s="7" t="n">
        <v>15</v>
      </c>
      <c r="AJ1362" s="7" t="n">
        <v>7</v>
      </c>
      <c r="AK1362" s="7" t="n">
        <v>7</v>
      </c>
      <c r="AL1362" s="7" t="n">
        <v>18</v>
      </c>
      <c r="AM1362" s="7" t="n">
        <v>19</v>
      </c>
      <c r="AN1362" s="7" t="n">
        <v>3</v>
      </c>
      <c r="AO1362" s="7" t="n">
        <v>3</v>
      </c>
      <c r="AP1362" s="7" t="n">
        <v>0</v>
      </c>
      <c r="AQ1362" s="7" t="n">
        <v>0</v>
      </c>
      <c r="AR1362" s="6" t="s">
        <v>63</v>
      </c>
      <c r="AS1362" s="6" t="s">
        <v>57</v>
      </c>
      <c r="AT1362" s="9" t="str">
        <f aca="false">HYPERLINK("http://catalog.hathitrust.org/Record/000037525","HathiTrust Record")</f>
        <v>HathiTrust Record</v>
      </c>
      <c r="AU1362" s="9" t="str">
        <f aca="false">HYPERLINK("https://creighton-primo.hosted.exlibrisgroup.com/primo-explore/search?tab=default_tab&amp;search_scope=EVERYTHING&amp;vid=01CRU&amp;lang=en_US&amp;offset=0&amp;query=any,contains,991003788509702656","Catalog Record")</f>
        <v>Catalog Record</v>
      </c>
      <c r="AV1362" s="9" t="str">
        <f aca="false">HYPERLINK("http://www.worldcat.org/oclc/1504877","WorldCat Record")</f>
        <v>WorldCat Record</v>
      </c>
      <c r="AW1362" s="6" t="s">
        <v>10538</v>
      </c>
      <c r="AX1362" s="6" t="s">
        <v>10539</v>
      </c>
      <c r="AY1362" s="6" t="s">
        <v>10540</v>
      </c>
      <c r="AZ1362" s="6" t="s">
        <v>10540</v>
      </c>
      <c r="BA1362" s="6" t="s">
        <v>10541</v>
      </c>
      <c r="BB1362" s="6" t="s">
        <v>10542</v>
      </c>
      <c r="BC1362" s="6" t="s">
        <v>10543</v>
      </c>
      <c r="BE1362" s="15" t="s">
        <v>2145</v>
      </c>
      <c r="BF1362" s="6" t="s">
        <v>10544</v>
      </c>
    </row>
    <row r="1363" customFormat="false" ht="59.5" hidden="false" customHeight="false" outlineLevel="0" collapsed="false">
      <c r="A1363" s="26" t="s">
        <v>63</v>
      </c>
      <c r="B1363" s="27" t="s">
        <v>2129</v>
      </c>
      <c r="C1363" s="27" t="s">
        <v>2130</v>
      </c>
      <c r="D1363" s="27" t="s">
        <v>10545</v>
      </c>
      <c r="E1363" s="27" t="s">
        <v>10546</v>
      </c>
      <c r="F1363" s="27" t="s">
        <v>10547</v>
      </c>
      <c r="G1363" s="28"/>
      <c r="H1363" s="6" t="s">
        <v>63</v>
      </c>
      <c r="I1363" s="6" t="s">
        <v>62</v>
      </c>
      <c r="J1363" s="6" t="s">
        <v>57</v>
      </c>
      <c r="K1363" s="6" t="s">
        <v>63</v>
      </c>
      <c r="L1363" s="6" t="s">
        <v>64</v>
      </c>
      <c r="M1363" s="27" t="s">
        <v>10548</v>
      </c>
      <c r="N1363" s="27" t="s">
        <v>10549</v>
      </c>
      <c r="O1363" s="6" t="s">
        <v>167</v>
      </c>
      <c r="P1363" s="27" t="s">
        <v>255</v>
      </c>
      <c r="Q1363" s="6" t="s">
        <v>67</v>
      </c>
      <c r="R1363" s="6" t="s">
        <v>68</v>
      </c>
      <c r="S1363" s="28"/>
      <c r="T1363" s="6" t="s">
        <v>6138</v>
      </c>
      <c r="U1363" s="7" t="n">
        <v>2</v>
      </c>
      <c r="V1363" s="7" t="n">
        <v>4</v>
      </c>
      <c r="W1363" s="8" t="s">
        <v>10053</v>
      </c>
      <c r="X1363" s="8" t="s">
        <v>10053</v>
      </c>
      <c r="Y1363" s="8" t="s">
        <v>10207</v>
      </c>
      <c r="Z1363" s="8" t="s">
        <v>10207</v>
      </c>
      <c r="AA1363" s="7" t="n">
        <v>526</v>
      </c>
      <c r="AB1363" s="7" t="n">
        <v>449</v>
      </c>
      <c r="AC1363" s="7" t="n">
        <v>778</v>
      </c>
      <c r="AD1363" s="7" t="n">
        <v>4</v>
      </c>
      <c r="AE1363" s="7" t="n">
        <v>5</v>
      </c>
      <c r="AF1363" s="7" t="n">
        <v>20</v>
      </c>
      <c r="AG1363" s="7" t="n">
        <v>34</v>
      </c>
      <c r="AH1363" s="7" t="n">
        <v>7</v>
      </c>
      <c r="AI1363" s="7" t="n">
        <v>11</v>
      </c>
      <c r="AJ1363" s="7" t="n">
        <v>4</v>
      </c>
      <c r="AK1363" s="7" t="n">
        <v>8</v>
      </c>
      <c r="AL1363" s="7" t="n">
        <v>12</v>
      </c>
      <c r="AM1363" s="7" t="n">
        <v>20</v>
      </c>
      <c r="AN1363" s="7" t="n">
        <v>3</v>
      </c>
      <c r="AO1363" s="7" t="n">
        <v>4</v>
      </c>
      <c r="AP1363" s="7" t="n">
        <v>0</v>
      </c>
      <c r="AQ1363" s="7" t="n">
        <v>0</v>
      </c>
      <c r="AR1363" s="6" t="s">
        <v>63</v>
      </c>
      <c r="AS1363" s="6" t="s">
        <v>57</v>
      </c>
      <c r="AT1363" s="9" t="str">
        <f aca="false">HYPERLINK("http://catalog.hathitrust.org/Record/001384962","HathiTrust Record")</f>
        <v>HathiTrust Record</v>
      </c>
      <c r="AU1363" s="9" t="str">
        <f aca="false">HYPERLINK("https://creighton-primo.hosted.exlibrisgroup.com/primo-explore/search?tab=default_tab&amp;search_scope=EVERYTHING&amp;vid=01CRU&amp;lang=en_US&amp;offset=0&amp;query=any,contains,991003748779702656","Catalog Record")</f>
        <v>Catalog Record</v>
      </c>
      <c r="AV1363" s="9" t="str">
        <f aca="false">HYPERLINK("http://www.worldcat.org/oclc/1422308","WorldCat Record")</f>
        <v>WorldCat Record</v>
      </c>
      <c r="AW1363" s="6" t="s">
        <v>10550</v>
      </c>
      <c r="AX1363" s="6" t="s">
        <v>10551</v>
      </c>
      <c r="AY1363" s="6" t="s">
        <v>10552</v>
      </c>
      <c r="AZ1363" s="6" t="s">
        <v>10552</v>
      </c>
      <c r="BA1363" s="6" t="s">
        <v>10553</v>
      </c>
      <c r="BB1363" s="28"/>
      <c r="BC1363" s="6" t="s">
        <v>10554</v>
      </c>
      <c r="BE1363" s="15" t="s">
        <v>2145</v>
      </c>
      <c r="BF1363" s="6" t="s">
        <v>10555</v>
      </c>
    </row>
    <row r="1364" customFormat="false" ht="59.5" hidden="false" customHeight="false" outlineLevel="0" collapsed="false">
      <c r="A1364" s="26" t="s">
        <v>63</v>
      </c>
      <c r="B1364" s="27" t="s">
        <v>2129</v>
      </c>
      <c r="C1364" s="27" t="s">
        <v>2130</v>
      </c>
      <c r="D1364" s="27" t="s">
        <v>10545</v>
      </c>
      <c r="E1364" s="27" t="s">
        <v>10546</v>
      </c>
      <c r="F1364" s="27" t="s">
        <v>10547</v>
      </c>
      <c r="G1364" s="28"/>
      <c r="H1364" s="6" t="s">
        <v>63</v>
      </c>
      <c r="I1364" s="6" t="s">
        <v>62</v>
      </c>
      <c r="J1364" s="6" t="s">
        <v>57</v>
      </c>
      <c r="K1364" s="6" t="s">
        <v>63</v>
      </c>
      <c r="L1364" s="6" t="s">
        <v>64</v>
      </c>
      <c r="M1364" s="27" t="s">
        <v>10548</v>
      </c>
      <c r="N1364" s="27" t="s">
        <v>10549</v>
      </c>
      <c r="O1364" s="6" t="s">
        <v>167</v>
      </c>
      <c r="P1364" s="27" t="s">
        <v>255</v>
      </c>
      <c r="Q1364" s="6" t="s">
        <v>67</v>
      </c>
      <c r="R1364" s="6" t="s">
        <v>68</v>
      </c>
      <c r="S1364" s="28"/>
      <c r="T1364" s="6" t="s">
        <v>6138</v>
      </c>
      <c r="U1364" s="7" t="n">
        <v>2</v>
      </c>
      <c r="V1364" s="7" t="n">
        <v>4</v>
      </c>
      <c r="W1364" s="8" t="s">
        <v>9706</v>
      </c>
      <c r="X1364" s="8" t="s">
        <v>10053</v>
      </c>
      <c r="Y1364" s="8" t="s">
        <v>10207</v>
      </c>
      <c r="Z1364" s="8" t="s">
        <v>10207</v>
      </c>
      <c r="AA1364" s="7" t="n">
        <v>526</v>
      </c>
      <c r="AB1364" s="7" t="n">
        <v>449</v>
      </c>
      <c r="AC1364" s="7" t="n">
        <v>778</v>
      </c>
      <c r="AD1364" s="7" t="n">
        <v>4</v>
      </c>
      <c r="AE1364" s="7" t="n">
        <v>5</v>
      </c>
      <c r="AF1364" s="7" t="n">
        <v>20</v>
      </c>
      <c r="AG1364" s="7" t="n">
        <v>34</v>
      </c>
      <c r="AH1364" s="7" t="n">
        <v>7</v>
      </c>
      <c r="AI1364" s="7" t="n">
        <v>11</v>
      </c>
      <c r="AJ1364" s="7" t="n">
        <v>4</v>
      </c>
      <c r="AK1364" s="7" t="n">
        <v>8</v>
      </c>
      <c r="AL1364" s="7" t="n">
        <v>12</v>
      </c>
      <c r="AM1364" s="7" t="n">
        <v>20</v>
      </c>
      <c r="AN1364" s="7" t="n">
        <v>3</v>
      </c>
      <c r="AO1364" s="7" t="n">
        <v>4</v>
      </c>
      <c r="AP1364" s="7" t="n">
        <v>0</v>
      </c>
      <c r="AQ1364" s="7" t="n">
        <v>0</v>
      </c>
      <c r="AR1364" s="6" t="s">
        <v>63</v>
      </c>
      <c r="AS1364" s="6" t="s">
        <v>57</v>
      </c>
      <c r="AT1364" s="9" t="str">
        <f aca="false">HYPERLINK("http://catalog.hathitrust.org/Record/001384962","HathiTrust Record")</f>
        <v>HathiTrust Record</v>
      </c>
      <c r="AU1364" s="9" t="str">
        <f aca="false">HYPERLINK("https://creighton-primo.hosted.exlibrisgroup.com/primo-explore/search?tab=default_tab&amp;search_scope=EVERYTHING&amp;vid=01CRU&amp;lang=en_US&amp;offset=0&amp;query=any,contains,991003748779702656","Catalog Record")</f>
        <v>Catalog Record</v>
      </c>
      <c r="AV1364" s="9" t="str">
        <f aca="false">HYPERLINK("http://www.worldcat.org/oclc/1422308","WorldCat Record")</f>
        <v>WorldCat Record</v>
      </c>
      <c r="AW1364" s="6" t="s">
        <v>10550</v>
      </c>
      <c r="AX1364" s="6" t="s">
        <v>10551</v>
      </c>
      <c r="AY1364" s="6" t="s">
        <v>10552</v>
      </c>
      <c r="AZ1364" s="6" t="s">
        <v>10552</v>
      </c>
      <c r="BA1364" s="6" t="s">
        <v>10553</v>
      </c>
      <c r="BB1364" s="28"/>
      <c r="BC1364" s="6" t="s">
        <v>10556</v>
      </c>
      <c r="BE1364" s="15" t="s">
        <v>2145</v>
      </c>
      <c r="BF1364" s="6" t="s">
        <v>10557</v>
      </c>
    </row>
    <row r="1365" customFormat="false" ht="128.5" hidden="false" customHeight="false" outlineLevel="0" collapsed="false">
      <c r="A1365" s="26" t="s">
        <v>63</v>
      </c>
      <c r="B1365" s="27" t="s">
        <v>2129</v>
      </c>
      <c r="C1365" s="27" t="s">
        <v>2130</v>
      </c>
      <c r="D1365" s="27" t="s">
        <v>10558</v>
      </c>
      <c r="E1365" s="27" t="s">
        <v>10559</v>
      </c>
      <c r="F1365" s="27" t="s">
        <v>10560</v>
      </c>
      <c r="G1365" s="28"/>
      <c r="H1365" s="6" t="s">
        <v>63</v>
      </c>
      <c r="I1365" s="6" t="s">
        <v>62</v>
      </c>
      <c r="J1365" s="6" t="s">
        <v>63</v>
      </c>
      <c r="K1365" s="6" t="s">
        <v>63</v>
      </c>
      <c r="L1365" s="6" t="s">
        <v>64</v>
      </c>
      <c r="M1365" s="27" t="s">
        <v>10561</v>
      </c>
      <c r="N1365" s="27" t="s">
        <v>10562</v>
      </c>
      <c r="O1365" s="6" t="s">
        <v>66</v>
      </c>
      <c r="P1365" s="28"/>
      <c r="Q1365" s="6" t="s">
        <v>67</v>
      </c>
      <c r="R1365" s="6" t="s">
        <v>384</v>
      </c>
      <c r="S1365" s="28"/>
      <c r="T1365" s="6" t="s">
        <v>6138</v>
      </c>
      <c r="U1365" s="7" t="n">
        <v>2</v>
      </c>
      <c r="V1365" s="7" t="n">
        <v>2</v>
      </c>
      <c r="W1365" s="8" t="s">
        <v>10563</v>
      </c>
      <c r="X1365" s="8" t="s">
        <v>10563</v>
      </c>
      <c r="Y1365" s="8" t="s">
        <v>273</v>
      </c>
      <c r="Z1365" s="8" t="s">
        <v>273</v>
      </c>
      <c r="AA1365" s="7" t="n">
        <v>343</v>
      </c>
      <c r="AB1365" s="7" t="n">
        <v>228</v>
      </c>
      <c r="AC1365" s="7" t="n">
        <v>229</v>
      </c>
      <c r="AD1365" s="7" t="n">
        <v>3</v>
      </c>
      <c r="AE1365" s="7" t="n">
        <v>3</v>
      </c>
      <c r="AF1365" s="7" t="n">
        <v>17</v>
      </c>
      <c r="AG1365" s="7" t="n">
        <v>17</v>
      </c>
      <c r="AH1365" s="7" t="n">
        <v>5</v>
      </c>
      <c r="AI1365" s="7" t="n">
        <v>5</v>
      </c>
      <c r="AJ1365" s="7" t="n">
        <v>5</v>
      </c>
      <c r="AK1365" s="7" t="n">
        <v>5</v>
      </c>
      <c r="AL1365" s="7" t="n">
        <v>12</v>
      </c>
      <c r="AM1365" s="7" t="n">
        <v>12</v>
      </c>
      <c r="AN1365" s="7" t="n">
        <v>2</v>
      </c>
      <c r="AO1365" s="7" t="n">
        <v>2</v>
      </c>
      <c r="AP1365" s="7" t="n">
        <v>0</v>
      </c>
      <c r="AQ1365" s="7" t="n">
        <v>0</v>
      </c>
      <c r="AR1365" s="6" t="s">
        <v>63</v>
      </c>
      <c r="AS1365" s="6" t="s">
        <v>63</v>
      </c>
      <c r="AT1365" s="28"/>
      <c r="AU1365" s="9" t="str">
        <f aca="false">HYPERLINK("https://creighton-primo.hosted.exlibrisgroup.com/primo-explore/search?tab=default_tab&amp;search_scope=EVERYTHING&amp;vid=01CRU&amp;lang=en_US&amp;offset=0&amp;query=any,contains,991002119569702656","Catalog Record")</f>
        <v>Catalog Record</v>
      </c>
      <c r="AV1365" s="9" t="str">
        <f aca="false">HYPERLINK("http://www.worldcat.org/oclc/27172051","WorldCat Record")</f>
        <v>WorldCat Record</v>
      </c>
      <c r="AW1365" s="6" t="s">
        <v>10564</v>
      </c>
      <c r="AX1365" s="6" t="s">
        <v>10565</v>
      </c>
      <c r="AY1365" s="6" t="s">
        <v>10566</v>
      </c>
      <c r="AZ1365" s="6" t="s">
        <v>10566</v>
      </c>
      <c r="BA1365" s="6" t="s">
        <v>10567</v>
      </c>
      <c r="BB1365" s="6" t="s">
        <v>10568</v>
      </c>
      <c r="BC1365" s="6" t="s">
        <v>10569</v>
      </c>
      <c r="BE1365" s="15" t="s">
        <v>2145</v>
      </c>
      <c r="BF1365" s="6" t="s">
        <v>10570</v>
      </c>
    </row>
    <row r="1366" customFormat="false" ht="94" hidden="false" customHeight="false" outlineLevel="0" collapsed="false">
      <c r="A1366" s="26" t="s">
        <v>63</v>
      </c>
      <c r="B1366" s="27" t="s">
        <v>2129</v>
      </c>
      <c r="C1366" s="27" t="s">
        <v>2130</v>
      </c>
      <c r="D1366" s="27" t="s">
        <v>10571</v>
      </c>
      <c r="E1366" s="27" t="s">
        <v>10572</v>
      </c>
      <c r="F1366" s="27" t="s">
        <v>10573</v>
      </c>
      <c r="G1366" s="28"/>
      <c r="H1366" s="6" t="s">
        <v>63</v>
      </c>
      <c r="I1366" s="6" t="s">
        <v>62</v>
      </c>
      <c r="J1366" s="6" t="s">
        <v>63</v>
      </c>
      <c r="K1366" s="6" t="s">
        <v>63</v>
      </c>
      <c r="L1366" s="6" t="s">
        <v>64</v>
      </c>
      <c r="M1366" s="27" t="s">
        <v>10574</v>
      </c>
      <c r="N1366" s="27" t="s">
        <v>10575</v>
      </c>
      <c r="O1366" s="6" t="s">
        <v>167</v>
      </c>
      <c r="P1366" s="28"/>
      <c r="Q1366" s="6" t="s">
        <v>67</v>
      </c>
      <c r="R1366" s="6" t="s">
        <v>68</v>
      </c>
      <c r="S1366" s="28"/>
      <c r="T1366" s="6" t="s">
        <v>6138</v>
      </c>
      <c r="U1366" s="7" t="n">
        <v>2</v>
      </c>
      <c r="V1366" s="7" t="n">
        <v>2</v>
      </c>
      <c r="W1366" s="8" t="s">
        <v>10576</v>
      </c>
      <c r="X1366" s="8" t="s">
        <v>10576</v>
      </c>
      <c r="Y1366" s="8" t="s">
        <v>10207</v>
      </c>
      <c r="Z1366" s="8" t="s">
        <v>10207</v>
      </c>
      <c r="AA1366" s="7" t="n">
        <v>942</v>
      </c>
      <c r="AB1366" s="7" t="n">
        <v>806</v>
      </c>
      <c r="AC1366" s="7" t="n">
        <v>815</v>
      </c>
      <c r="AD1366" s="7" t="n">
        <v>6</v>
      </c>
      <c r="AE1366" s="7" t="n">
        <v>6</v>
      </c>
      <c r="AF1366" s="7" t="n">
        <v>34</v>
      </c>
      <c r="AG1366" s="7" t="n">
        <v>34</v>
      </c>
      <c r="AH1366" s="7" t="n">
        <v>11</v>
      </c>
      <c r="AI1366" s="7" t="n">
        <v>11</v>
      </c>
      <c r="AJ1366" s="7" t="n">
        <v>8</v>
      </c>
      <c r="AK1366" s="7" t="n">
        <v>8</v>
      </c>
      <c r="AL1366" s="7" t="n">
        <v>22</v>
      </c>
      <c r="AM1366" s="7" t="n">
        <v>22</v>
      </c>
      <c r="AN1366" s="7" t="n">
        <v>4</v>
      </c>
      <c r="AO1366" s="7" t="n">
        <v>4</v>
      </c>
      <c r="AP1366" s="7" t="n">
        <v>0</v>
      </c>
      <c r="AQ1366" s="7" t="n">
        <v>0</v>
      </c>
      <c r="AR1366" s="6" t="s">
        <v>63</v>
      </c>
      <c r="AS1366" s="6" t="s">
        <v>63</v>
      </c>
      <c r="AT1366" s="28"/>
      <c r="AU1366" s="9" t="str">
        <f aca="false">HYPERLINK("https://creighton-primo.hosted.exlibrisgroup.com/primo-explore/search?tab=default_tab&amp;search_scope=EVERYTHING&amp;vid=01CRU&amp;lang=en_US&amp;offset=0&amp;query=any,contains,991002566909702656","Catalog Record")</f>
        <v>Catalog Record</v>
      </c>
      <c r="AV1366" s="9" t="str">
        <f aca="false">HYPERLINK("http://www.worldcat.org/oclc/372778","WorldCat Record")</f>
        <v>WorldCat Record</v>
      </c>
      <c r="AW1366" s="6" t="s">
        <v>10577</v>
      </c>
      <c r="AX1366" s="6" t="s">
        <v>10578</v>
      </c>
      <c r="AY1366" s="6" t="s">
        <v>10579</v>
      </c>
      <c r="AZ1366" s="6" t="s">
        <v>10579</v>
      </c>
      <c r="BA1366" s="6" t="s">
        <v>10580</v>
      </c>
      <c r="BB1366" s="28"/>
      <c r="BC1366" s="6" t="s">
        <v>10581</v>
      </c>
      <c r="BE1366" s="15" t="s">
        <v>2145</v>
      </c>
      <c r="BF1366" s="6" t="s">
        <v>10582</v>
      </c>
    </row>
    <row r="1367" customFormat="false" ht="94" hidden="false" customHeight="false" outlineLevel="0" collapsed="false">
      <c r="A1367" s="26" t="s">
        <v>63</v>
      </c>
      <c r="B1367" s="27" t="s">
        <v>2129</v>
      </c>
      <c r="C1367" s="27" t="s">
        <v>2130</v>
      </c>
      <c r="D1367" s="27" t="s">
        <v>10583</v>
      </c>
      <c r="E1367" s="27" t="s">
        <v>10584</v>
      </c>
      <c r="F1367" s="27" t="s">
        <v>10585</v>
      </c>
      <c r="G1367" s="6" t="s">
        <v>498</v>
      </c>
      <c r="H1367" s="6" t="s">
        <v>63</v>
      </c>
      <c r="I1367" s="6" t="s">
        <v>62</v>
      </c>
      <c r="J1367" s="6" t="s">
        <v>63</v>
      </c>
      <c r="K1367" s="6" t="s">
        <v>63</v>
      </c>
      <c r="L1367" s="6" t="s">
        <v>64</v>
      </c>
      <c r="M1367" s="27" t="s">
        <v>10586</v>
      </c>
      <c r="N1367" s="27" t="s">
        <v>10587</v>
      </c>
      <c r="O1367" s="6" t="s">
        <v>2411</v>
      </c>
      <c r="P1367" s="28"/>
      <c r="Q1367" s="6" t="s">
        <v>67</v>
      </c>
      <c r="R1367" s="6" t="s">
        <v>1059</v>
      </c>
      <c r="S1367" s="28"/>
      <c r="T1367" s="6" t="s">
        <v>6138</v>
      </c>
      <c r="U1367" s="7" t="n">
        <v>1</v>
      </c>
      <c r="V1367" s="7" t="n">
        <v>1</v>
      </c>
      <c r="W1367" s="8" t="s">
        <v>10588</v>
      </c>
      <c r="X1367" s="8" t="s">
        <v>10588</v>
      </c>
      <c r="Y1367" s="8" t="s">
        <v>9826</v>
      </c>
      <c r="Z1367" s="8" t="s">
        <v>9826</v>
      </c>
      <c r="AA1367" s="7" t="n">
        <v>877</v>
      </c>
      <c r="AB1367" s="7" t="n">
        <v>773</v>
      </c>
      <c r="AC1367" s="7" t="n">
        <v>783</v>
      </c>
      <c r="AD1367" s="7" t="n">
        <v>6</v>
      </c>
      <c r="AE1367" s="7" t="n">
        <v>6</v>
      </c>
      <c r="AF1367" s="7" t="n">
        <v>42</v>
      </c>
      <c r="AG1367" s="7" t="n">
        <v>42</v>
      </c>
      <c r="AH1367" s="7" t="n">
        <v>21</v>
      </c>
      <c r="AI1367" s="7" t="n">
        <v>21</v>
      </c>
      <c r="AJ1367" s="7" t="n">
        <v>9</v>
      </c>
      <c r="AK1367" s="7" t="n">
        <v>9</v>
      </c>
      <c r="AL1367" s="7" t="n">
        <v>18</v>
      </c>
      <c r="AM1367" s="7" t="n">
        <v>18</v>
      </c>
      <c r="AN1367" s="7" t="n">
        <v>4</v>
      </c>
      <c r="AO1367" s="7" t="n">
        <v>4</v>
      </c>
      <c r="AP1367" s="7" t="n">
        <v>0</v>
      </c>
      <c r="AQ1367" s="7" t="n">
        <v>0</v>
      </c>
      <c r="AR1367" s="6" t="s">
        <v>63</v>
      </c>
      <c r="AS1367" s="6" t="s">
        <v>63</v>
      </c>
      <c r="AT1367" s="28"/>
      <c r="AU1367" s="9" t="str">
        <f aca="false">HYPERLINK("https://creighton-primo.hosted.exlibrisgroup.com/primo-explore/search?tab=default_tab&amp;search_scope=EVERYTHING&amp;vid=01CRU&amp;lang=en_US&amp;offset=0&amp;query=any,contains,991001373149702656","Catalog Record")</f>
        <v>Catalog Record</v>
      </c>
      <c r="AV1367" s="9" t="str">
        <f aca="false">HYPERLINK("http://www.worldcat.org/oclc/18589078","WorldCat Record")</f>
        <v>WorldCat Record</v>
      </c>
      <c r="AW1367" s="6" t="s">
        <v>10589</v>
      </c>
      <c r="AX1367" s="6" t="s">
        <v>10590</v>
      </c>
      <c r="AY1367" s="6" t="s">
        <v>10591</v>
      </c>
      <c r="AZ1367" s="6" t="s">
        <v>10591</v>
      </c>
      <c r="BA1367" s="6" t="s">
        <v>10592</v>
      </c>
      <c r="BB1367" s="6" t="s">
        <v>10593</v>
      </c>
      <c r="BC1367" s="6" t="s">
        <v>10594</v>
      </c>
      <c r="BE1367" s="15" t="s">
        <v>2145</v>
      </c>
      <c r="BF1367" s="6" t="s">
        <v>10595</v>
      </c>
    </row>
    <row r="1368" customFormat="false" ht="128.5" hidden="false" customHeight="false" outlineLevel="0" collapsed="false">
      <c r="A1368" s="26" t="s">
        <v>63</v>
      </c>
      <c r="B1368" s="27" t="s">
        <v>2129</v>
      </c>
      <c r="C1368" s="27" t="s">
        <v>2130</v>
      </c>
      <c r="D1368" s="27" t="s">
        <v>10596</v>
      </c>
      <c r="E1368" s="27" t="s">
        <v>10597</v>
      </c>
      <c r="F1368" s="27" t="s">
        <v>10598</v>
      </c>
      <c r="G1368" s="28"/>
      <c r="H1368" s="6" t="s">
        <v>63</v>
      </c>
      <c r="I1368" s="6" t="s">
        <v>62</v>
      </c>
      <c r="J1368" s="6" t="s">
        <v>63</v>
      </c>
      <c r="K1368" s="6" t="s">
        <v>63</v>
      </c>
      <c r="L1368" s="6" t="s">
        <v>64</v>
      </c>
      <c r="M1368" s="27" t="s">
        <v>10599</v>
      </c>
      <c r="N1368" s="27" t="s">
        <v>10600</v>
      </c>
      <c r="O1368" s="6" t="s">
        <v>122</v>
      </c>
      <c r="P1368" s="28"/>
      <c r="Q1368" s="6" t="s">
        <v>67</v>
      </c>
      <c r="R1368" s="6" t="s">
        <v>1059</v>
      </c>
      <c r="S1368" s="27" t="s">
        <v>3145</v>
      </c>
      <c r="T1368" s="6" t="s">
        <v>6138</v>
      </c>
      <c r="U1368" s="7" t="n">
        <v>3</v>
      </c>
      <c r="V1368" s="7" t="n">
        <v>3</v>
      </c>
      <c r="W1368" s="8" t="s">
        <v>10601</v>
      </c>
      <c r="X1368" s="8" t="s">
        <v>10601</v>
      </c>
      <c r="Y1368" s="8" t="s">
        <v>10207</v>
      </c>
      <c r="Z1368" s="8" t="s">
        <v>10207</v>
      </c>
      <c r="AA1368" s="7" t="n">
        <v>754</v>
      </c>
      <c r="AB1368" s="7" t="n">
        <v>654</v>
      </c>
      <c r="AC1368" s="7" t="n">
        <v>657</v>
      </c>
      <c r="AD1368" s="7" t="n">
        <v>5</v>
      </c>
      <c r="AE1368" s="7" t="n">
        <v>5</v>
      </c>
      <c r="AF1368" s="7" t="n">
        <v>34</v>
      </c>
      <c r="AG1368" s="7" t="n">
        <v>34</v>
      </c>
      <c r="AH1368" s="7" t="n">
        <v>12</v>
      </c>
      <c r="AI1368" s="7" t="n">
        <v>12</v>
      </c>
      <c r="AJ1368" s="7" t="n">
        <v>7</v>
      </c>
      <c r="AK1368" s="7" t="n">
        <v>7</v>
      </c>
      <c r="AL1368" s="7" t="n">
        <v>22</v>
      </c>
      <c r="AM1368" s="7" t="n">
        <v>22</v>
      </c>
      <c r="AN1368" s="7" t="n">
        <v>4</v>
      </c>
      <c r="AO1368" s="7" t="n">
        <v>4</v>
      </c>
      <c r="AP1368" s="7" t="n">
        <v>0</v>
      </c>
      <c r="AQ1368" s="7" t="n">
        <v>0</v>
      </c>
      <c r="AR1368" s="6" t="s">
        <v>63</v>
      </c>
      <c r="AS1368" s="6" t="s">
        <v>57</v>
      </c>
      <c r="AT1368" s="9" t="str">
        <f aca="false">HYPERLINK("http://catalog.hathitrust.org/Record/001382590","HathiTrust Record")</f>
        <v>HathiTrust Record</v>
      </c>
      <c r="AU1368" s="9" t="str">
        <f aca="false">HYPERLINK("https://creighton-primo.hosted.exlibrisgroup.com/primo-explore/search?tab=default_tab&amp;search_scope=EVERYTHING&amp;vid=01CRU&amp;lang=en_US&amp;offset=0&amp;query=any,contains,991002564369702656","Catalog Record")</f>
        <v>Catalog Record</v>
      </c>
      <c r="AV1368" s="9" t="str">
        <f aca="false">HYPERLINK("http://www.worldcat.org/oclc/372311","WorldCat Record")</f>
        <v>WorldCat Record</v>
      </c>
      <c r="AW1368" s="6" t="s">
        <v>10602</v>
      </c>
      <c r="AX1368" s="6" t="s">
        <v>10603</v>
      </c>
      <c r="AY1368" s="6" t="s">
        <v>10604</v>
      </c>
      <c r="AZ1368" s="6" t="s">
        <v>10604</v>
      </c>
      <c r="BA1368" s="6" t="s">
        <v>10605</v>
      </c>
      <c r="BB1368" s="28"/>
      <c r="BC1368" s="6" t="s">
        <v>10606</v>
      </c>
      <c r="BE1368" s="15" t="s">
        <v>2145</v>
      </c>
      <c r="BF1368" s="6" t="s">
        <v>10607</v>
      </c>
    </row>
    <row r="1369" customFormat="false" ht="174.5" hidden="false" customHeight="false" outlineLevel="0" collapsed="false">
      <c r="A1369" s="26" t="s">
        <v>63</v>
      </c>
      <c r="B1369" s="27" t="s">
        <v>2129</v>
      </c>
      <c r="C1369" s="27" t="s">
        <v>2130</v>
      </c>
      <c r="D1369" s="27" t="s">
        <v>10608</v>
      </c>
      <c r="E1369" s="27" t="s">
        <v>10609</v>
      </c>
      <c r="F1369" s="27" t="s">
        <v>10610</v>
      </c>
      <c r="G1369" s="28"/>
      <c r="H1369" s="6" t="s">
        <v>63</v>
      </c>
      <c r="I1369" s="6" t="s">
        <v>62</v>
      </c>
      <c r="J1369" s="6" t="s">
        <v>63</v>
      </c>
      <c r="K1369" s="6" t="s">
        <v>63</v>
      </c>
      <c r="L1369" s="6" t="s">
        <v>64</v>
      </c>
      <c r="M1369" s="28"/>
      <c r="N1369" s="27" t="s">
        <v>10611</v>
      </c>
      <c r="O1369" s="6" t="s">
        <v>2623</v>
      </c>
      <c r="P1369" s="27" t="s">
        <v>327</v>
      </c>
      <c r="Q1369" s="6" t="s">
        <v>67</v>
      </c>
      <c r="R1369" s="6" t="s">
        <v>401</v>
      </c>
      <c r="S1369" s="28"/>
      <c r="T1369" s="6" t="s">
        <v>6138</v>
      </c>
      <c r="U1369" s="7" t="n">
        <v>1</v>
      </c>
      <c r="V1369" s="7" t="n">
        <v>1</v>
      </c>
      <c r="W1369" s="8" t="s">
        <v>10612</v>
      </c>
      <c r="X1369" s="8" t="s">
        <v>10612</v>
      </c>
      <c r="Y1369" s="8" t="s">
        <v>10207</v>
      </c>
      <c r="Z1369" s="8" t="s">
        <v>10207</v>
      </c>
      <c r="AA1369" s="7" t="n">
        <v>469</v>
      </c>
      <c r="AB1369" s="7" t="n">
        <v>389</v>
      </c>
      <c r="AC1369" s="7" t="n">
        <v>391</v>
      </c>
      <c r="AD1369" s="7" t="n">
        <v>4</v>
      </c>
      <c r="AE1369" s="7" t="n">
        <v>4</v>
      </c>
      <c r="AF1369" s="7" t="n">
        <v>22</v>
      </c>
      <c r="AG1369" s="7" t="n">
        <v>22</v>
      </c>
      <c r="AH1369" s="7" t="n">
        <v>7</v>
      </c>
      <c r="AI1369" s="7" t="n">
        <v>7</v>
      </c>
      <c r="AJ1369" s="7" t="n">
        <v>6</v>
      </c>
      <c r="AK1369" s="7" t="n">
        <v>6</v>
      </c>
      <c r="AL1369" s="7" t="n">
        <v>16</v>
      </c>
      <c r="AM1369" s="7" t="n">
        <v>16</v>
      </c>
      <c r="AN1369" s="7" t="n">
        <v>2</v>
      </c>
      <c r="AO1369" s="7" t="n">
        <v>2</v>
      </c>
      <c r="AP1369" s="7" t="n">
        <v>0</v>
      </c>
      <c r="AQ1369" s="7" t="n">
        <v>0</v>
      </c>
      <c r="AR1369" s="6" t="s">
        <v>63</v>
      </c>
      <c r="AS1369" s="6" t="s">
        <v>57</v>
      </c>
      <c r="AT1369" s="9" t="str">
        <f aca="false">HYPERLINK("http://catalog.hathitrust.org/Record/000725700","HathiTrust Record")</f>
        <v>HathiTrust Record</v>
      </c>
      <c r="AU1369" s="9" t="str">
        <f aca="false">HYPERLINK("https://creighton-primo.hosted.exlibrisgroup.com/primo-explore/search?tab=default_tab&amp;search_scope=EVERYTHING&amp;vid=01CRU&amp;lang=en_US&amp;offset=0&amp;query=any,contains,991004981659702656","Catalog Record")</f>
        <v>Catalog Record</v>
      </c>
      <c r="AV1369" s="9" t="str">
        <f aca="false">HYPERLINK("http://www.worldcat.org/oclc/6422948","WorldCat Record")</f>
        <v>WorldCat Record</v>
      </c>
      <c r="AW1369" s="6" t="s">
        <v>10613</v>
      </c>
      <c r="AX1369" s="6" t="s">
        <v>10614</v>
      </c>
      <c r="AY1369" s="6" t="s">
        <v>10615</v>
      </c>
      <c r="AZ1369" s="6" t="s">
        <v>10615</v>
      </c>
      <c r="BA1369" s="6" t="s">
        <v>10616</v>
      </c>
      <c r="BB1369" s="6" t="s">
        <v>10617</v>
      </c>
      <c r="BC1369" s="6" t="s">
        <v>10618</v>
      </c>
      <c r="BE1369" s="15" t="s">
        <v>2145</v>
      </c>
      <c r="BF1369" s="6" t="s">
        <v>10619</v>
      </c>
    </row>
    <row r="1370" customFormat="false" ht="186" hidden="false" customHeight="false" outlineLevel="0" collapsed="false">
      <c r="A1370" s="26" t="s">
        <v>63</v>
      </c>
      <c r="B1370" s="27" t="s">
        <v>2129</v>
      </c>
      <c r="C1370" s="27" t="s">
        <v>2130</v>
      </c>
      <c r="D1370" s="27" t="s">
        <v>10620</v>
      </c>
      <c r="E1370" s="27" t="s">
        <v>10621</v>
      </c>
      <c r="F1370" s="27" t="s">
        <v>10622</v>
      </c>
      <c r="G1370" s="28"/>
      <c r="H1370" s="6" t="s">
        <v>63</v>
      </c>
      <c r="I1370" s="6" t="s">
        <v>62</v>
      </c>
      <c r="J1370" s="6" t="s">
        <v>63</v>
      </c>
      <c r="K1370" s="6" t="s">
        <v>63</v>
      </c>
      <c r="L1370" s="6" t="s">
        <v>64</v>
      </c>
      <c r="M1370" s="27" t="s">
        <v>10623</v>
      </c>
      <c r="N1370" s="27" t="s">
        <v>10624</v>
      </c>
      <c r="O1370" s="6" t="s">
        <v>2623</v>
      </c>
      <c r="P1370" s="28"/>
      <c r="Q1370" s="6" t="s">
        <v>67</v>
      </c>
      <c r="R1370" s="6" t="s">
        <v>500</v>
      </c>
      <c r="S1370" s="27" t="s">
        <v>10625</v>
      </c>
      <c r="T1370" s="6" t="s">
        <v>6138</v>
      </c>
      <c r="U1370" s="7" t="n">
        <v>2</v>
      </c>
      <c r="V1370" s="7" t="n">
        <v>2</v>
      </c>
      <c r="W1370" s="8" t="s">
        <v>5871</v>
      </c>
      <c r="X1370" s="8" t="s">
        <v>5871</v>
      </c>
      <c r="Y1370" s="8" t="s">
        <v>10207</v>
      </c>
      <c r="Z1370" s="8" t="s">
        <v>10207</v>
      </c>
      <c r="AA1370" s="7" t="n">
        <v>793</v>
      </c>
      <c r="AB1370" s="7" t="n">
        <v>672</v>
      </c>
      <c r="AC1370" s="7" t="n">
        <v>673</v>
      </c>
      <c r="AD1370" s="7" t="n">
        <v>5</v>
      </c>
      <c r="AE1370" s="7" t="n">
        <v>5</v>
      </c>
      <c r="AF1370" s="7" t="n">
        <v>38</v>
      </c>
      <c r="AG1370" s="7" t="n">
        <v>38</v>
      </c>
      <c r="AH1370" s="7" t="n">
        <v>16</v>
      </c>
      <c r="AI1370" s="7" t="n">
        <v>16</v>
      </c>
      <c r="AJ1370" s="7" t="n">
        <v>8</v>
      </c>
      <c r="AK1370" s="7" t="n">
        <v>8</v>
      </c>
      <c r="AL1370" s="7" t="n">
        <v>22</v>
      </c>
      <c r="AM1370" s="7" t="n">
        <v>22</v>
      </c>
      <c r="AN1370" s="7" t="n">
        <v>3</v>
      </c>
      <c r="AO1370" s="7" t="n">
        <v>3</v>
      </c>
      <c r="AP1370" s="7" t="n">
        <v>0</v>
      </c>
      <c r="AQ1370" s="7" t="n">
        <v>0</v>
      </c>
      <c r="AR1370" s="6" t="s">
        <v>63</v>
      </c>
      <c r="AS1370" s="6" t="s">
        <v>57</v>
      </c>
      <c r="AT1370" s="9" t="str">
        <f aca="false">HYPERLINK("http://catalog.hathitrust.org/Record/000717528","HathiTrust Record")</f>
        <v>HathiTrust Record</v>
      </c>
      <c r="AU1370" s="9" t="str">
        <f aca="false">HYPERLINK("https://creighton-primo.hosted.exlibrisgroup.com/primo-explore/search?tab=default_tab&amp;search_scope=EVERYTHING&amp;vid=01CRU&amp;lang=en_US&amp;offset=0&amp;query=any,contains,991004957119702656","Catalog Record")</f>
        <v>Catalog Record</v>
      </c>
      <c r="AV1370" s="9" t="str">
        <f aca="false">HYPERLINK("http://www.worldcat.org/oclc/6280608","WorldCat Record")</f>
        <v>WorldCat Record</v>
      </c>
      <c r="AW1370" s="6" t="s">
        <v>10626</v>
      </c>
      <c r="AX1370" s="6" t="s">
        <v>10627</v>
      </c>
      <c r="AY1370" s="6" t="s">
        <v>10628</v>
      </c>
      <c r="AZ1370" s="6" t="s">
        <v>10628</v>
      </c>
      <c r="BA1370" s="6" t="s">
        <v>10629</v>
      </c>
      <c r="BB1370" s="6" t="s">
        <v>10630</v>
      </c>
      <c r="BC1370" s="6" t="s">
        <v>10631</v>
      </c>
      <c r="BE1370" s="15" t="s">
        <v>2145</v>
      </c>
      <c r="BF1370" s="6" t="s">
        <v>10632</v>
      </c>
    </row>
    <row r="1371" customFormat="false" ht="117" hidden="false" customHeight="false" outlineLevel="0" collapsed="false">
      <c r="A1371" s="26" t="s">
        <v>63</v>
      </c>
      <c r="B1371" s="27" t="s">
        <v>2129</v>
      </c>
      <c r="C1371" s="27" t="s">
        <v>2130</v>
      </c>
      <c r="D1371" s="27" t="s">
        <v>10633</v>
      </c>
      <c r="E1371" s="27" t="s">
        <v>10634</v>
      </c>
      <c r="F1371" s="27" t="s">
        <v>10635</v>
      </c>
      <c r="G1371" s="28"/>
      <c r="H1371" s="6" t="s">
        <v>63</v>
      </c>
      <c r="I1371" s="6" t="s">
        <v>62</v>
      </c>
      <c r="J1371" s="6" t="s">
        <v>63</v>
      </c>
      <c r="K1371" s="6" t="s">
        <v>63</v>
      </c>
      <c r="L1371" s="6" t="s">
        <v>64</v>
      </c>
      <c r="M1371" s="27" t="s">
        <v>10636</v>
      </c>
      <c r="N1371" s="27" t="s">
        <v>10637</v>
      </c>
      <c r="O1371" s="6" t="s">
        <v>2329</v>
      </c>
      <c r="P1371" s="28"/>
      <c r="Q1371" s="6" t="s">
        <v>67</v>
      </c>
      <c r="R1371" s="6" t="s">
        <v>4707</v>
      </c>
      <c r="S1371" s="28"/>
      <c r="T1371" s="6" t="s">
        <v>6138</v>
      </c>
      <c r="U1371" s="7" t="n">
        <v>2</v>
      </c>
      <c r="V1371" s="7" t="n">
        <v>2</v>
      </c>
      <c r="W1371" s="8" t="s">
        <v>10638</v>
      </c>
      <c r="X1371" s="8" t="s">
        <v>10638</v>
      </c>
      <c r="Y1371" s="8" t="s">
        <v>10207</v>
      </c>
      <c r="Z1371" s="8" t="s">
        <v>10207</v>
      </c>
      <c r="AA1371" s="7" t="n">
        <v>706</v>
      </c>
      <c r="AB1371" s="7" t="n">
        <v>610</v>
      </c>
      <c r="AC1371" s="7" t="n">
        <v>709</v>
      </c>
      <c r="AD1371" s="7" t="n">
        <v>3</v>
      </c>
      <c r="AE1371" s="7" t="n">
        <v>4</v>
      </c>
      <c r="AF1371" s="7" t="n">
        <v>33</v>
      </c>
      <c r="AG1371" s="7" t="n">
        <v>40</v>
      </c>
      <c r="AH1371" s="7" t="n">
        <v>14</v>
      </c>
      <c r="AI1371" s="7" t="n">
        <v>17</v>
      </c>
      <c r="AJ1371" s="7" t="n">
        <v>7</v>
      </c>
      <c r="AK1371" s="7" t="n">
        <v>8</v>
      </c>
      <c r="AL1371" s="7" t="n">
        <v>19</v>
      </c>
      <c r="AM1371" s="7" t="n">
        <v>23</v>
      </c>
      <c r="AN1371" s="7" t="n">
        <v>2</v>
      </c>
      <c r="AO1371" s="7" t="n">
        <v>3</v>
      </c>
      <c r="AP1371" s="7" t="n">
        <v>0</v>
      </c>
      <c r="AQ1371" s="7" t="n">
        <v>0</v>
      </c>
      <c r="AR1371" s="6" t="s">
        <v>63</v>
      </c>
      <c r="AS1371" s="6" t="s">
        <v>57</v>
      </c>
      <c r="AT1371" s="9" t="str">
        <f aca="false">HYPERLINK("http://catalog.hathitrust.org/Record/001384970","HathiTrust Record")</f>
        <v>HathiTrust Record</v>
      </c>
      <c r="AU1371" s="9" t="str">
        <f aca="false">HYPERLINK("https://creighton-primo.hosted.exlibrisgroup.com/primo-explore/search?tab=default_tab&amp;search_scope=EVERYTHING&amp;vid=01CRU&amp;lang=en_US&amp;offset=0&amp;query=any,contains,991003845369702656","Catalog Record")</f>
        <v>Catalog Record</v>
      </c>
      <c r="AV1371" s="9" t="str">
        <f aca="false">HYPERLINK("http://www.worldcat.org/oclc/1628854","WorldCat Record")</f>
        <v>WorldCat Record</v>
      </c>
      <c r="AW1371" s="6" t="s">
        <v>10639</v>
      </c>
      <c r="AX1371" s="6" t="s">
        <v>10640</v>
      </c>
      <c r="AY1371" s="6" t="s">
        <v>10641</v>
      </c>
      <c r="AZ1371" s="6" t="s">
        <v>10641</v>
      </c>
      <c r="BA1371" s="6" t="s">
        <v>10642</v>
      </c>
      <c r="BB1371" s="28"/>
      <c r="BC1371" s="6" t="s">
        <v>10643</v>
      </c>
      <c r="BE1371" s="15" t="s">
        <v>2145</v>
      </c>
      <c r="BF1371" s="6" t="s">
        <v>10644</v>
      </c>
    </row>
    <row r="1372" customFormat="false" ht="197.5" hidden="false" customHeight="false" outlineLevel="0" collapsed="false">
      <c r="A1372" s="26" t="s">
        <v>63</v>
      </c>
      <c r="B1372" s="27" t="s">
        <v>2129</v>
      </c>
      <c r="C1372" s="27" t="s">
        <v>2130</v>
      </c>
      <c r="D1372" s="27" t="s">
        <v>10645</v>
      </c>
      <c r="E1372" s="27" t="s">
        <v>10646</v>
      </c>
      <c r="F1372" s="27" t="s">
        <v>10647</v>
      </c>
      <c r="G1372" s="28"/>
      <c r="H1372" s="6" t="s">
        <v>63</v>
      </c>
      <c r="I1372" s="6" t="s">
        <v>62</v>
      </c>
      <c r="J1372" s="6" t="s">
        <v>63</v>
      </c>
      <c r="K1372" s="6" t="s">
        <v>63</v>
      </c>
      <c r="L1372" s="6" t="s">
        <v>64</v>
      </c>
      <c r="M1372" s="27" t="s">
        <v>10648</v>
      </c>
      <c r="N1372" s="27" t="s">
        <v>10649</v>
      </c>
      <c r="O1372" s="6" t="s">
        <v>2811</v>
      </c>
      <c r="P1372" s="27" t="s">
        <v>3494</v>
      </c>
      <c r="Q1372" s="6" t="s">
        <v>67</v>
      </c>
      <c r="R1372" s="6" t="s">
        <v>68</v>
      </c>
      <c r="S1372" s="27" t="s">
        <v>10650</v>
      </c>
      <c r="T1372" s="6" t="s">
        <v>6138</v>
      </c>
      <c r="U1372" s="7" t="n">
        <v>1</v>
      </c>
      <c r="V1372" s="7" t="n">
        <v>1</v>
      </c>
      <c r="W1372" s="8" t="s">
        <v>10651</v>
      </c>
      <c r="X1372" s="8" t="s">
        <v>10651</v>
      </c>
      <c r="Y1372" s="8" t="s">
        <v>10207</v>
      </c>
      <c r="Z1372" s="8" t="s">
        <v>10207</v>
      </c>
      <c r="AA1372" s="7" t="n">
        <v>396</v>
      </c>
      <c r="AB1372" s="7" t="n">
        <v>369</v>
      </c>
      <c r="AC1372" s="7" t="n">
        <v>761</v>
      </c>
      <c r="AD1372" s="7" t="n">
        <v>3</v>
      </c>
      <c r="AE1372" s="7" t="n">
        <v>7</v>
      </c>
      <c r="AF1372" s="7" t="n">
        <v>17</v>
      </c>
      <c r="AG1372" s="7" t="n">
        <v>31</v>
      </c>
      <c r="AH1372" s="7" t="n">
        <v>7</v>
      </c>
      <c r="AI1372" s="7" t="n">
        <v>11</v>
      </c>
      <c r="AJ1372" s="7" t="n">
        <v>3</v>
      </c>
      <c r="AK1372" s="7" t="n">
        <v>6</v>
      </c>
      <c r="AL1372" s="7" t="n">
        <v>9</v>
      </c>
      <c r="AM1372" s="7" t="n">
        <v>16</v>
      </c>
      <c r="AN1372" s="7" t="n">
        <v>1</v>
      </c>
      <c r="AO1372" s="7" t="n">
        <v>5</v>
      </c>
      <c r="AP1372" s="7" t="n">
        <v>0</v>
      </c>
      <c r="AQ1372" s="7" t="n">
        <v>0</v>
      </c>
      <c r="AR1372" s="6" t="s">
        <v>63</v>
      </c>
      <c r="AS1372" s="6" t="s">
        <v>57</v>
      </c>
      <c r="AT1372" s="9" t="str">
        <f aca="false">HYPERLINK("http://catalog.hathitrust.org/Record/001396129","HathiTrust Record")</f>
        <v>HathiTrust Record</v>
      </c>
      <c r="AU1372" s="9" t="str">
        <f aca="false">HYPERLINK("https://creighton-primo.hosted.exlibrisgroup.com/primo-explore/search?tab=default_tab&amp;search_scope=EVERYTHING&amp;vid=01CRU&amp;lang=en_US&amp;offset=0&amp;query=any,contains,991002402479702656","Catalog Record")</f>
        <v>Catalog Record</v>
      </c>
      <c r="AV1372" s="9" t="str">
        <f aca="false">HYPERLINK("http://www.worldcat.org/oclc/337548","WorldCat Record")</f>
        <v>WorldCat Record</v>
      </c>
      <c r="AW1372" s="6" t="s">
        <v>10652</v>
      </c>
      <c r="AX1372" s="6" t="s">
        <v>10653</v>
      </c>
      <c r="AY1372" s="6" t="s">
        <v>10654</v>
      </c>
      <c r="AZ1372" s="6" t="s">
        <v>10654</v>
      </c>
      <c r="BA1372" s="6" t="s">
        <v>10655</v>
      </c>
      <c r="BB1372" s="6" t="s">
        <v>10656</v>
      </c>
      <c r="BC1372" s="6" t="s">
        <v>10657</v>
      </c>
      <c r="BE1372" s="15" t="s">
        <v>2145</v>
      </c>
      <c r="BF1372" s="6" t="s">
        <v>10658</v>
      </c>
    </row>
    <row r="1373" customFormat="false" ht="105.5" hidden="false" customHeight="false" outlineLevel="0" collapsed="false">
      <c r="A1373" s="26" t="s">
        <v>63</v>
      </c>
      <c r="B1373" s="27" t="s">
        <v>2129</v>
      </c>
      <c r="C1373" s="27" t="s">
        <v>2130</v>
      </c>
      <c r="D1373" s="27" t="s">
        <v>10659</v>
      </c>
      <c r="E1373" s="27" t="s">
        <v>10660</v>
      </c>
      <c r="F1373" s="27" t="s">
        <v>10661</v>
      </c>
      <c r="G1373" s="28"/>
      <c r="H1373" s="6" t="s">
        <v>63</v>
      </c>
      <c r="I1373" s="6" t="s">
        <v>62</v>
      </c>
      <c r="J1373" s="6" t="s">
        <v>63</v>
      </c>
      <c r="K1373" s="6" t="s">
        <v>63</v>
      </c>
      <c r="L1373" s="6" t="s">
        <v>64</v>
      </c>
      <c r="M1373" s="27" t="s">
        <v>10662</v>
      </c>
      <c r="N1373" s="27" t="s">
        <v>10663</v>
      </c>
      <c r="O1373" s="6" t="s">
        <v>7428</v>
      </c>
      <c r="P1373" s="28"/>
      <c r="Q1373" s="6" t="s">
        <v>67</v>
      </c>
      <c r="R1373" s="6" t="s">
        <v>802</v>
      </c>
      <c r="S1373" s="27" t="s">
        <v>10664</v>
      </c>
      <c r="T1373" s="6" t="s">
        <v>6138</v>
      </c>
      <c r="U1373" s="7" t="n">
        <v>2</v>
      </c>
      <c r="V1373" s="7" t="n">
        <v>2</v>
      </c>
      <c r="W1373" s="8" t="s">
        <v>10665</v>
      </c>
      <c r="X1373" s="8" t="s">
        <v>10665</v>
      </c>
      <c r="Y1373" s="8" t="s">
        <v>10207</v>
      </c>
      <c r="Z1373" s="8" t="s">
        <v>10207</v>
      </c>
      <c r="AA1373" s="7" t="n">
        <v>290</v>
      </c>
      <c r="AB1373" s="7" t="n">
        <v>194</v>
      </c>
      <c r="AC1373" s="7" t="n">
        <v>196</v>
      </c>
      <c r="AD1373" s="7" t="n">
        <v>2</v>
      </c>
      <c r="AE1373" s="7" t="n">
        <v>2</v>
      </c>
      <c r="AF1373" s="7" t="n">
        <v>13</v>
      </c>
      <c r="AG1373" s="7" t="n">
        <v>13</v>
      </c>
      <c r="AH1373" s="7" t="n">
        <v>1</v>
      </c>
      <c r="AI1373" s="7" t="n">
        <v>1</v>
      </c>
      <c r="AJ1373" s="7" t="n">
        <v>6</v>
      </c>
      <c r="AK1373" s="7" t="n">
        <v>6</v>
      </c>
      <c r="AL1373" s="7" t="n">
        <v>8</v>
      </c>
      <c r="AM1373" s="7" t="n">
        <v>8</v>
      </c>
      <c r="AN1373" s="7" t="n">
        <v>1</v>
      </c>
      <c r="AO1373" s="7" t="n">
        <v>1</v>
      </c>
      <c r="AP1373" s="7" t="n">
        <v>0</v>
      </c>
      <c r="AQ1373" s="7" t="n">
        <v>0</v>
      </c>
      <c r="AR1373" s="6" t="s">
        <v>63</v>
      </c>
      <c r="AS1373" s="6" t="s">
        <v>57</v>
      </c>
      <c r="AT1373" s="9" t="str">
        <f aca="false">HYPERLINK("http://catalog.hathitrust.org/Record/000128179","HathiTrust Record")</f>
        <v>HathiTrust Record</v>
      </c>
      <c r="AU1373" s="9" t="str">
        <f aca="false">HYPERLINK("https://creighton-primo.hosted.exlibrisgroup.com/primo-explore/search?tab=default_tab&amp;search_scope=EVERYTHING&amp;vid=01CRU&amp;lang=en_US&amp;offset=0&amp;query=any,contains,991004187809702656","Catalog Record")</f>
        <v>Catalog Record</v>
      </c>
      <c r="AV1373" s="9" t="str">
        <f aca="false">HYPERLINK("http://www.worldcat.org/oclc/2620259","WorldCat Record")</f>
        <v>WorldCat Record</v>
      </c>
      <c r="AW1373" s="6" t="s">
        <v>10666</v>
      </c>
      <c r="AX1373" s="6" t="s">
        <v>10667</v>
      </c>
      <c r="AY1373" s="6" t="s">
        <v>10668</v>
      </c>
      <c r="AZ1373" s="6" t="s">
        <v>10668</v>
      </c>
      <c r="BA1373" s="6" t="s">
        <v>10669</v>
      </c>
      <c r="BB1373" s="6" t="s">
        <v>10670</v>
      </c>
      <c r="BC1373" s="6" t="s">
        <v>10671</v>
      </c>
      <c r="BE1373" s="15" t="s">
        <v>2145</v>
      </c>
      <c r="BF1373" s="6" t="s">
        <v>10672</v>
      </c>
    </row>
    <row r="1374" customFormat="false" ht="117" hidden="false" customHeight="false" outlineLevel="0" collapsed="false">
      <c r="A1374" s="26" t="s">
        <v>63</v>
      </c>
      <c r="B1374" s="27" t="s">
        <v>2129</v>
      </c>
      <c r="C1374" s="27" t="s">
        <v>2130</v>
      </c>
      <c r="D1374" s="27" t="s">
        <v>10673</v>
      </c>
      <c r="E1374" s="27" t="s">
        <v>10674</v>
      </c>
      <c r="F1374" s="27" t="s">
        <v>10675</v>
      </c>
      <c r="G1374" s="28"/>
      <c r="H1374" s="6" t="s">
        <v>63</v>
      </c>
      <c r="I1374" s="6" t="s">
        <v>62</v>
      </c>
      <c r="J1374" s="6" t="s">
        <v>63</v>
      </c>
      <c r="K1374" s="6" t="s">
        <v>63</v>
      </c>
      <c r="L1374" s="6" t="s">
        <v>64</v>
      </c>
      <c r="M1374" s="27" t="s">
        <v>10676</v>
      </c>
      <c r="N1374" s="27" t="s">
        <v>10677</v>
      </c>
      <c r="O1374" s="6" t="s">
        <v>2811</v>
      </c>
      <c r="P1374" s="28"/>
      <c r="Q1374" s="6" t="s">
        <v>67</v>
      </c>
      <c r="R1374" s="6" t="s">
        <v>1059</v>
      </c>
      <c r="S1374" s="28"/>
      <c r="T1374" s="6" t="s">
        <v>6138</v>
      </c>
      <c r="U1374" s="7" t="n">
        <v>3</v>
      </c>
      <c r="V1374" s="7" t="n">
        <v>3</v>
      </c>
      <c r="W1374" s="8" t="s">
        <v>10678</v>
      </c>
      <c r="X1374" s="8" t="s">
        <v>10678</v>
      </c>
      <c r="Y1374" s="8" t="s">
        <v>10207</v>
      </c>
      <c r="Z1374" s="8" t="s">
        <v>10207</v>
      </c>
      <c r="AA1374" s="7" t="n">
        <v>937</v>
      </c>
      <c r="AB1374" s="7" t="n">
        <v>782</v>
      </c>
      <c r="AC1374" s="7" t="n">
        <v>783</v>
      </c>
      <c r="AD1374" s="7" t="n">
        <v>5</v>
      </c>
      <c r="AE1374" s="7" t="n">
        <v>5</v>
      </c>
      <c r="AF1374" s="7" t="n">
        <v>37</v>
      </c>
      <c r="AG1374" s="7" t="n">
        <v>37</v>
      </c>
      <c r="AH1374" s="7" t="n">
        <v>15</v>
      </c>
      <c r="AI1374" s="7" t="n">
        <v>15</v>
      </c>
      <c r="AJ1374" s="7" t="n">
        <v>9</v>
      </c>
      <c r="AK1374" s="7" t="n">
        <v>9</v>
      </c>
      <c r="AL1374" s="7" t="n">
        <v>23</v>
      </c>
      <c r="AM1374" s="7" t="n">
        <v>23</v>
      </c>
      <c r="AN1374" s="7" t="n">
        <v>3</v>
      </c>
      <c r="AO1374" s="7" t="n">
        <v>3</v>
      </c>
      <c r="AP1374" s="7" t="n">
        <v>0</v>
      </c>
      <c r="AQ1374" s="7" t="n">
        <v>0</v>
      </c>
      <c r="AR1374" s="6" t="s">
        <v>63</v>
      </c>
      <c r="AS1374" s="6" t="s">
        <v>63</v>
      </c>
      <c r="AT1374" s="28"/>
      <c r="AU1374" s="9" t="str">
        <f aca="false">HYPERLINK("https://creighton-primo.hosted.exlibrisgroup.com/primo-explore/search?tab=default_tab&amp;search_scope=EVERYTHING&amp;vid=01CRU&amp;lang=en_US&amp;offset=0&amp;query=any,contains,991000803029702656","Catalog Record")</f>
        <v>Catalog Record</v>
      </c>
      <c r="AV1374" s="9" t="str">
        <f aca="false">HYPERLINK("http://www.worldcat.org/oclc/139650","WorldCat Record")</f>
        <v>WorldCat Record</v>
      </c>
      <c r="AW1374" s="6" t="s">
        <v>10679</v>
      </c>
      <c r="AX1374" s="6" t="s">
        <v>10680</v>
      </c>
      <c r="AY1374" s="6" t="s">
        <v>10681</v>
      </c>
      <c r="AZ1374" s="6" t="s">
        <v>10681</v>
      </c>
      <c r="BA1374" s="6" t="s">
        <v>10682</v>
      </c>
      <c r="BB1374" s="6" t="s">
        <v>10683</v>
      </c>
      <c r="BC1374" s="6" t="s">
        <v>10684</v>
      </c>
      <c r="BE1374" s="15" t="s">
        <v>2145</v>
      </c>
      <c r="BF1374" s="6" t="s">
        <v>10685</v>
      </c>
    </row>
    <row r="1375" customFormat="false" ht="186" hidden="false" customHeight="false" outlineLevel="0" collapsed="false">
      <c r="A1375" s="26" t="s">
        <v>63</v>
      </c>
      <c r="B1375" s="27" t="s">
        <v>2129</v>
      </c>
      <c r="C1375" s="27" t="s">
        <v>2130</v>
      </c>
      <c r="D1375" s="27" t="s">
        <v>10686</v>
      </c>
      <c r="E1375" s="27" t="s">
        <v>10687</v>
      </c>
      <c r="F1375" s="27" t="s">
        <v>10688</v>
      </c>
      <c r="G1375" s="28"/>
      <c r="H1375" s="6" t="s">
        <v>63</v>
      </c>
      <c r="I1375" s="6" t="s">
        <v>62</v>
      </c>
      <c r="J1375" s="6" t="s">
        <v>63</v>
      </c>
      <c r="K1375" s="6" t="s">
        <v>63</v>
      </c>
      <c r="L1375" s="6" t="s">
        <v>64</v>
      </c>
      <c r="M1375" s="27" t="s">
        <v>10689</v>
      </c>
      <c r="N1375" s="27" t="s">
        <v>10690</v>
      </c>
      <c r="O1375" s="6" t="s">
        <v>3094</v>
      </c>
      <c r="P1375" s="28"/>
      <c r="Q1375" s="6" t="s">
        <v>67</v>
      </c>
      <c r="R1375" s="6" t="s">
        <v>123</v>
      </c>
      <c r="S1375" s="28"/>
      <c r="T1375" s="6" t="s">
        <v>6138</v>
      </c>
      <c r="U1375" s="7" t="n">
        <v>6</v>
      </c>
      <c r="V1375" s="7" t="n">
        <v>6</v>
      </c>
      <c r="W1375" s="8" t="s">
        <v>2263</v>
      </c>
      <c r="X1375" s="8" t="s">
        <v>2263</v>
      </c>
      <c r="Y1375" s="8" t="s">
        <v>10207</v>
      </c>
      <c r="Z1375" s="8" t="s">
        <v>10207</v>
      </c>
      <c r="AA1375" s="7" t="n">
        <v>395</v>
      </c>
      <c r="AB1375" s="7" t="n">
        <v>358</v>
      </c>
      <c r="AC1375" s="7" t="n">
        <v>557</v>
      </c>
      <c r="AD1375" s="7" t="n">
        <v>3</v>
      </c>
      <c r="AE1375" s="7" t="n">
        <v>4</v>
      </c>
      <c r="AF1375" s="7" t="n">
        <v>23</v>
      </c>
      <c r="AG1375" s="7" t="n">
        <v>28</v>
      </c>
      <c r="AH1375" s="7" t="n">
        <v>9</v>
      </c>
      <c r="AI1375" s="7" t="n">
        <v>11</v>
      </c>
      <c r="AJ1375" s="7" t="n">
        <v>5</v>
      </c>
      <c r="AK1375" s="7" t="n">
        <v>8</v>
      </c>
      <c r="AL1375" s="7" t="n">
        <v>15</v>
      </c>
      <c r="AM1375" s="7" t="n">
        <v>16</v>
      </c>
      <c r="AN1375" s="7" t="n">
        <v>1</v>
      </c>
      <c r="AO1375" s="7" t="n">
        <v>2</v>
      </c>
      <c r="AP1375" s="7" t="n">
        <v>0</v>
      </c>
      <c r="AQ1375" s="7" t="n">
        <v>0</v>
      </c>
      <c r="AR1375" s="6" t="s">
        <v>63</v>
      </c>
      <c r="AS1375" s="6" t="s">
        <v>57</v>
      </c>
      <c r="AT1375" s="9" t="str">
        <f aca="false">HYPERLINK("http://catalog.hathitrust.org/Record/001216237","HathiTrust Record")</f>
        <v>HathiTrust Record</v>
      </c>
      <c r="AU1375" s="9" t="str">
        <f aca="false">HYPERLINK("https://creighton-primo.hosted.exlibrisgroup.com/primo-explore/search?tab=default_tab&amp;search_scope=EVERYTHING&amp;vid=01CRU&amp;lang=en_US&amp;offset=0&amp;query=any,contains,991002922849702656","Catalog Record")</f>
        <v>Catalog Record</v>
      </c>
      <c r="AV1375" s="9" t="str">
        <f aca="false">HYPERLINK("http://www.worldcat.org/oclc/527704","WorldCat Record")</f>
        <v>WorldCat Record</v>
      </c>
      <c r="AW1375" s="6" t="s">
        <v>10691</v>
      </c>
      <c r="AX1375" s="6" t="s">
        <v>10692</v>
      </c>
      <c r="AY1375" s="6" t="s">
        <v>10693</v>
      </c>
      <c r="AZ1375" s="6" t="s">
        <v>10693</v>
      </c>
      <c r="BA1375" s="6" t="s">
        <v>10694</v>
      </c>
      <c r="BB1375" s="28"/>
      <c r="BC1375" s="6" t="s">
        <v>10695</v>
      </c>
      <c r="BE1375" s="15" t="s">
        <v>2145</v>
      </c>
      <c r="BF1375" s="6" t="s">
        <v>10696</v>
      </c>
    </row>
    <row r="1376" customFormat="false" ht="71" hidden="false" customHeight="false" outlineLevel="0" collapsed="false">
      <c r="A1376" s="26" t="s">
        <v>63</v>
      </c>
      <c r="B1376" s="27" t="s">
        <v>2129</v>
      </c>
      <c r="C1376" s="27" t="s">
        <v>2130</v>
      </c>
      <c r="D1376" s="27" t="s">
        <v>10697</v>
      </c>
      <c r="E1376" s="27" t="s">
        <v>10698</v>
      </c>
      <c r="F1376" s="27" t="s">
        <v>10699</v>
      </c>
      <c r="G1376" s="28"/>
      <c r="H1376" s="6" t="s">
        <v>63</v>
      </c>
      <c r="I1376" s="6" t="s">
        <v>62</v>
      </c>
      <c r="J1376" s="6" t="s">
        <v>63</v>
      </c>
      <c r="K1376" s="6" t="s">
        <v>63</v>
      </c>
      <c r="L1376" s="6" t="s">
        <v>64</v>
      </c>
      <c r="M1376" s="27" t="s">
        <v>10700</v>
      </c>
      <c r="N1376" s="27" t="s">
        <v>10701</v>
      </c>
      <c r="O1376" s="6" t="s">
        <v>246</v>
      </c>
      <c r="P1376" s="28"/>
      <c r="Q1376" s="6" t="s">
        <v>67</v>
      </c>
      <c r="R1376" s="6" t="s">
        <v>1108</v>
      </c>
      <c r="S1376" s="27" t="s">
        <v>10702</v>
      </c>
      <c r="T1376" s="6" t="s">
        <v>6138</v>
      </c>
      <c r="U1376" s="7" t="n">
        <v>4</v>
      </c>
      <c r="V1376" s="7" t="n">
        <v>4</v>
      </c>
      <c r="W1376" s="8" t="s">
        <v>10703</v>
      </c>
      <c r="X1376" s="8" t="s">
        <v>10703</v>
      </c>
      <c r="Y1376" s="8" t="s">
        <v>10207</v>
      </c>
      <c r="Z1376" s="8" t="s">
        <v>10207</v>
      </c>
      <c r="AA1376" s="7" t="n">
        <v>323</v>
      </c>
      <c r="AB1376" s="7" t="n">
        <v>282</v>
      </c>
      <c r="AC1376" s="7" t="n">
        <v>342</v>
      </c>
      <c r="AD1376" s="7" t="n">
        <v>1</v>
      </c>
      <c r="AE1376" s="7" t="n">
        <v>3</v>
      </c>
      <c r="AF1376" s="7" t="n">
        <v>15</v>
      </c>
      <c r="AG1376" s="7" t="n">
        <v>18</v>
      </c>
      <c r="AH1376" s="7" t="n">
        <v>3</v>
      </c>
      <c r="AI1376" s="7" t="n">
        <v>3</v>
      </c>
      <c r="AJ1376" s="7" t="n">
        <v>6</v>
      </c>
      <c r="AK1376" s="7" t="n">
        <v>6</v>
      </c>
      <c r="AL1376" s="7" t="n">
        <v>12</v>
      </c>
      <c r="AM1376" s="7" t="n">
        <v>14</v>
      </c>
      <c r="AN1376" s="7" t="n">
        <v>0</v>
      </c>
      <c r="AO1376" s="7" t="n">
        <v>1</v>
      </c>
      <c r="AP1376" s="7" t="n">
        <v>0</v>
      </c>
      <c r="AQ1376" s="7" t="n">
        <v>0</v>
      </c>
      <c r="AR1376" s="6" t="s">
        <v>63</v>
      </c>
      <c r="AS1376" s="6" t="s">
        <v>57</v>
      </c>
      <c r="AT1376" s="9" t="str">
        <f aca="false">HYPERLINK("http://catalog.hathitrust.org/Record/000694942","HathiTrust Record")</f>
        <v>HathiTrust Record</v>
      </c>
      <c r="AU1376" s="9" t="str">
        <f aca="false">HYPERLINK("https://creighton-primo.hosted.exlibrisgroup.com/primo-explore/search?tab=default_tab&amp;search_scope=EVERYTHING&amp;vid=01CRU&amp;lang=en_US&amp;offset=0&amp;query=any,contains,991004679109702656","Catalog Record")</f>
        <v>Catalog Record</v>
      </c>
      <c r="AV1376" s="9" t="str">
        <f aca="false">HYPERLINK("http://www.worldcat.org/oclc/4550005","WorldCat Record")</f>
        <v>WorldCat Record</v>
      </c>
      <c r="AW1376" s="6" t="s">
        <v>10704</v>
      </c>
      <c r="AX1376" s="6" t="s">
        <v>10705</v>
      </c>
      <c r="AY1376" s="6" t="s">
        <v>10706</v>
      </c>
      <c r="AZ1376" s="6" t="s">
        <v>10706</v>
      </c>
      <c r="BA1376" s="6" t="s">
        <v>10707</v>
      </c>
      <c r="BB1376" s="6" t="s">
        <v>10708</v>
      </c>
      <c r="BC1376" s="6" t="s">
        <v>10709</v>
      </c>
      <c r="BE1376" s="15" t="s">
        <v>2145</v>
      </c>
      <c r="BF1376" s="6" t="s">
        <v>10710</v>
      </c>
    </row>
    <row r="1377" customFormat="false" ht="71" hidden="false" customHeight="false" outlineLevel="0" collapsed="false">
      <c r="A1377" s="26" t="s">
        <v>63</v>
      </c>
      <c r="B1377" s="27" t="s">
        <v>2129</v>
      </c>
      <c r="C1377" s="27" t="s">
        <v>2130</v>
      </c>
      <c r="D1377" s="27" t="s">
        <v>10711</v>
      </c>
      <c r="E1377" s="27" t="s">
        <v>10712</v>
      </c>
      <c r="F1377" s="27" t="s">
        <v>10713</v>
      </c>
      <c r="G1377" s="28"/>
      <c r="H1377" s="6" t="s">
        <v>63</v>
      </c>
      <c r="I1377" s="6" t="s">
        <v>62</v>
      </c>
      <c r="J1377" s="6" t="s">
        <v>63</v>
      </c>
      <c r="K1377" s="6" t="s">
        <v>63</v>
      </c>
      <c r="L1377" s="6" t="s">
        <v>64</v>
      </c>
      <c r="M1377" s="27" t="s">
        <v>10714</v>
      </c>
      <c r="N1377" s="27" t="s">
        <v>10715</v>
      </c>
      <c r="O1377" s="6" t="s">
        <v>2693</v>
      </c>
      <c r="P1377" s="28"/>
      <c r="Q1377" s="6" t="s">
        <v>67</v>
      </c>
      <c r="R1377" s="6" t="s">
        <v>68</v>
      </c>
      <c r="S1377" s="28"/>
      <c r="T1377" s="6" t="s">
        <v>6138</v>
      </c>
      <c r="U1377" s="7" t="n">
        <v>1</v>
      </c>
      <c r="V1377" s="7" t="n">
        <v>1</v>
      </c>
      <c r="W1377" s="8" t="s">
        <v>10716</v>
      </c>
      <c r="X1377" s="8" t="s">
        <v>10716</v>
      </c>
      <c r="Y1377" s="8" t="s">
        <v>10207</v>
      </c>
      <c r="Z1377" s="8" t="s">
        <v>10207</v>
      </c>
      <c r="AA1377" s="7" t="n">
        <v>495</v>
      </c>
      <c r="AB1377" s="7" t="n">
        <v>450</v>
      </c>
      <c r="AC1377" s="7" t="n">
        <v>458</v>
      </c>
      <c r="AD1377" s="7" t="n">
        <v>2</v>
      </c>
      <c r="AE1377" s="7" t="n">
        <v>2</v>
      </c>
      <c r="AF1377" s="7" t="n">
        <v>19</v>
      </c>
      <c r="AG1377" s="7" t="n">
        <v>19</v>
      </c>
      <c r="AH1377" s="7" t="n">
        <v>5</v>
      </c>
      <c r="AI1377" s="7" t="n">
        <v>5</v>
      </c>
      <c r="AJ1377" s="7" t="n">
        <v>3</v>
      </c>
      <c r="AK1377" s="7" t="n">
        <v>3</v>
      </c>
      <c r="AL1377" s="7" t="n">
        <v>14</v>
      </c>
      <c r="AM1377" s="7" t="n">
        <v>14</v>
      </c>
      <c r="AN1377" s="7" t="n">
        <v>1</v>
      </c>
      <c r="AO1377" s="7" t="n">
        <v>1</v>
      </c>
      <c r="AP1377" s="7" t="n">
        <v>0</v>
      </c>
      <c r="AQ1377" s="7" t="n">
        <v>0</v>
      </c>
      <c r="AR1377" s="6" t="s">
        <v>63</v>
      </c>
      <c r="AS1377" s="6" t="s">
        <v>57</v>
      </c>
      <c r="AT1377" s="9" t="str">
        <f aca="false">HYPERLINK("http://catalog.hathitrust.org/Record/001384978","HathiTrust Record")</f>
        <v>HathiTrust Record</v>
      </c>
      <c r="AU1377" s="9" t="str">
        <f aca="false">HYPERLINK("https://creighton-primo.hosted.exlibrisgroup.com/primo-explore/search?tab=default_tab&amp;search_scope=EVERYTHING&amp;vid=01CRU&amp;lang=en_US&amp;offset=0&amp;query=any,contains,991003582779702656","Catalog Record")</f>
        <v>Catalog Record</v>
      </c>
      <c r="AV1377" s="9" t="str">
        <f aca="false">HYPERLINK("http://www.worldcat.org/oclc/1164571","WorldCat Record")</f>
        <v>WorldCat Record</v>
      </c>
      <c r="AW1377" s="6" t="s">
        <v>10717</v>
      </c>
      <c r="AX1377" s="6" t="s">
        <v>10718</v>
      </c>
      <c r="AY1377" s="6" t="s">
        <v>10719</v>
      </c>
      <c r="AZ1377" s="6" t="s">
        <v>10719</v>
      </c>
      <c r="BA1377" s="6" t="s">
        <v>10720</v>
      </c>
      <c r="BB1377" s="28"/>
      <c r="BC1377" s="6" t="s">
        <v>10721</v>
      </c>
      <c r="BE1377" s="15" t="s">
        <v>2145</v>
      </c>
      <c r="BF1377" s="6" t="s">
        <v>10722</v>
      </c>
    </row>
    <row r="1378" customFormat="false" ht="128.5" hidden="false" customHeight="false" outlineLevel="0" collapsed="false">
      <c r="A1378" s="26" t="s">
        <v>63</v>
      </c>
      <c r="B1378" s="27" t="s">
        <v>2129</v>
      </c>
      <c r="C1378" s="27" t="s">
        <v>2130</v>
      </c>
      <c r="D1378" s="27" t="s">
        <v>10723</v>
      </c>
      <c r="E1378" s="27" t="s">
        <v>10724</v>
      </c>
      <c r="F1378" s="27" t="s">
        <v>10725</v>
      </c>
      <c r="G1378" s="28"/>
      <c r="H1378" s="6" t="s">
        <v>63</v>
      </c>
      <c r="I1378" s="6" t="s">
        <v>62</v>
      </c>
      <c r="J1378" s="6" t="s">
        <v>63</v>
      </c>
      <c r="K1378" s="6" t="s">
        <v>63</v>
      </c>
      <c r="L1378" s="6" t="s">
        <v>64</v>
      </c>
      <c r="M1378" s="27" t="s">
        <v>10726</v>
      </c>
      <c r="N1378" s="27" t="s">
        <v>10727</v>
      </c>
      <c r="O1378" s="6" t="s">
        <v>7428</v>
      </c>
      <c r="P1378" s="28"/>
      <c r="Q1378" s="6" t="s">
        <v>67</v>
      </c>
      <c r="R1378" s="6" t="s">
        <v>222</v>
      </c>
      <c r="S1378" s="28"/>
      <c r="T1378" s="6" t="s">
        <v>6138</v>
      </c>
      <c r="U1378" s="7" t="n">
        <v>2</v>
      </c>
      <c r="V1378" s="7" t="n">
        <v>2</v>
      </c>
      <c r="W1378" s="8" t="s">
        <v>10678</v>
      </c>
      <c r="X1378" s="8" t="s">
        <v>10678</v>
      </c>
      <c r="Y1378" s="8" t="s">
        <v>10207</v>
      </c>
      <c r="Z1378" s="8" t="s">
        <v>10207</v>
      </c>
      <c r="AA1378" s="7" t="n">
        <v>625</v>
      </c>
      <c r="AB1378" s="7" t="n">
        <v>514</v>
      </c>
      <c r="AC1378" s="7" t="n">
        <v>947</v>
      </c>
      <c r="AD1378" s="7" t="n">
        <v>4</v>
      </c>
      <c r="AE1378" s="7" t="n">
        <v>6</v>
      </c>
      <c r="AF1378" s="7" t="n">
        <v>30</v>
      </c>
      <c r="AG1378" s="7" t="n">
        <v>35</v>
      </c>
      <c r="AH1378" s="7" t="n">
        <v>11</v>
      </c>
      <c r="AI1378" s="7" t="n">
        <v>13</v>
      </c>
      <c r="AJ1378" s="7" t="n">
        <v>7</v>
      </c>
      <c r="AK1378" s="7" t="n">
        <v>8</v>
      </c>
      <c r="AL1378" s="7" t="n">
        <v>19</v>
      </c>
      <c r="AM1378" s="7" t="n">
        <v>19</v>
      </c>
      <c r="AN1378" s="7" t="n">
        <v>2</v>
      </c>
      <c r="AO1378" s="7" t="n">
        <v>4</v>
      </c>
      <c r="AP1378" s="7" t="n">
        <v>0</v>
      </c>
      <c r="AQ1378" s="7" t="n">
        <v>0</v>
      </c>
      <c r="AR1378" s="6" t="s">
        <v>63</v>
      </c>
      <c r="AS1378" s="6" t="s">
        <v>63</v>
      </c>
      <c r="AT1378" s="28"/>
      <c r="AU1378" s="9" t="str">
        <f aca="false">HYPERLINK("https://creighton-primo.hosted.exlibrisgroup.com/primo-explore/search?tab=default_tab&amp;search_scope=EVERYTHING&amp;vid=01CRU&amp;lang=en_US&amp;offset=0&amp;query=any,contains,991003719389702656","Catalog Record")</f>
        <v>Catalog Record</v>
      </c>
      <c r="AV1378" s="9" t="str">
        <f aca="false">HYPERLINK("http://www.worldcat.org/oclc/1365106","WorldCat Record")</f>
        <v>WorldCat Record</v>
      </c>
      <c r="AW1378" s="6" t="s">
        <v>10728</v>
      </c>
      <c r="AX1378" s="6" t="s">
        <v>10729</v>
      </c>
      <c r="AY1378" s="6" t="s">
        <v>10730</v>
      </c>
      <c r="AZ1378" s="6" t="s">
        <v>10730</v>
      </c>
      <c r="BA1378" s="6" t="s">
        <v>10731</v>
      </c>
      <c r="BB1378" s="6" t="s">
        <v>10732</v>
      </c>
      <c r="BC1378" s="6" t="s">
        <v>10733</v>
      </c>
      <c r="BE1378" s="15" t="s">
        <v>2145</v>
      </c>
      <c r="BF1378" s="6" t="s">
        <v>10734</v>
      </c>
    </row>
    <row r="1379" customFormat="false" ht="71" hidden="false" customHeight="false" outlineLevel="0" collapsed="false">
      <c r="A1379" s="26" t="s">
        <v>63</v>
      </c>
      <c r="B1379" s="27" t="s">
        <v>2129</v>
      </c>
      <c r="C1379" s="27" t="s">
        <v>2130</v>
      </c>
      <c r="D1379" s="27" t="s">
        <v>10735</v>
      </c>
      <c r="E1379" s="27" t="s">
        <v>10736</v>
      </c>
      <c r="F1379" s="27" t="s">
        <v>10737</v>
      </c>
      <c r="G1379" s="28"/>
      <c r="H1379" s="6" t="s">
        <v>63</v>
      </c>
      <c r="I1379" s="6" t="s">
        <v>62</v>
      </c>
      <c r="J1379" s="6" t="s">
        <v>63</v>
      </c>
      <c r="K1379" s="6" t="s">
        <v>63</v>
      </c>
      <c r="L1379" s="6" t="s">
        <v>64</v>
      </c>
      <c r="M1379" s="27" t="s">
        <v>10738</v>
      </c>
      <c r="N1379" s="27" t="s">
        <v>10739</v>
      </c>
      <c r="O1379" s="6" t="s">
        <v>3068</v>
      </c>
      <c r="P1379" s="28"/>
      <c r="Q1379" s="6" t="s">
        <v>67</v>
      </c>
      <c r="R1379" s="6" t="s">
        <v>181</v>
      </c>
      <c r="S1379" s="27" t="s">
        <v>10740</v>
      </c>
      <c r="T1379" s="6" t="s">
        <v>6138</v>
      </c>
      <c r="U1379" s="7" t="n">
        <v>8</v>
      </c>
      <c r="V1379" s="7" t="n">
        <v>8</v>
      </c>
      <c r="W1379" s="8" t="s">
        <v>10741</v>
      </c>
      <c r="X1379" s="8" t="s">
        <v>10741</v>
      </c>
      <c r="Y1379" s="8" t="s">
        <v>10207</v>
      </c>
      <c r="Z1379" s="8" t="s">
        <v>10207</v>
      </c>
      <c r="AA1379" s="7" t="n">
        <v>373</v>
      </c>
      <c r="AB1379" s="7" t="n">
        <v>358</v>
      </c>
      <c r="AC1379" s="7" t="n">
        <v>1222</v>
      </c>
      <c r="AD1379" s="7" t="n">
        <v>3</v>
      </c>
      <c r="AE1379" s="7" t="n">
        <v>7</v>
      </c>
      <c r="AF1379" s="7" t="n">
        <v>19</v>
      </c>
      <c r="AG1379" s="7" t="n">
        <v>47</v>
      </c>
      <c r="AH1379" s="7" t="n">
        <v>6</v>
      </c>
      <c r="AI1379" s="7" t="n">
        <v>21</v>
      </c>
      <c r="AJ1379" s="7" t="n">
        <v>6</v>
      </c>
      <c r="AK1379" s="7" t="n">
        <v>10</v>
      </c>
      <c r="AL1379" s="7" t="n">
        <v>12</v>
      </c>
      <c r="AM1379" s="7" t="n">
        <v>26</v>
      </c>
      <c r="AN1379" s="7" t="n">
        <v>2</v>
      </c>
      <c r="AO1379" s="7" t="n">
        <v>4</v>
      </c>
      <c r="AP1379" s="7" t="n">
        <v>0</v>
      </c>
      <c r="AQ1379" s="7" t="n">
        <v>0</v>
      </c>
      <c r="AR1379" s="6" t="s">
        <v>63</v>
      </c>
      <c r="AS1379" s="6" t="s">
        <v>57</v>
      </c>
      <c r="AT1379" s="9" t="str">
        <f aca="false">HYPERLINK("http://catalog.hathitrust.org/Record/001216241","HathiTrust Record")</f>
        <v>HathiTrust Record</v>
      </c>
      <c r="AU1379" s="9" t="str">
        <f aca="false">HYPERLINK("https://creighton-primo.hosted.exlibrisgroup.com/primo-explore/search?tab=default_tab&amp;search_scope=EVERYTHING&amp;vid=01CRU&amp;lang=en_US&amp;offset=0&amp;query=any,contains,991003624449702656","Catalog Record")</f>
        <v>Catalog Record</v>
      </c>
      <c r="AV1379" s="9" t="str">
        <f aca="false">HYPERLINK("http://www.worldcat.org/oclc/1214918","WorldCat Record")</f>
        <v>WorldCat Record</v>
      </c>
      <c r="AW1379" s="6" t="s">
        <v>10742</v>
      </c>
      <c r="AX1379" s="6" t="s">
        <v>10743</v>
      </c>
      <c r="AY1379" s="6" t="s">
        <v>10744</v>
      </c>
      <c r="AZ1379" s="6" t="s">
        <v>10744</v>
      </c>
      <c r="BA1379" s="6" t="s">
        <v>10745</v>
      </c>
      <c r="BB1379" s="28"/>
      <c r="BC1379" s="6" t="s">
        <v>10746</v>
      </c>
      <c r="BE1379" s="15" t="s">
        <v>2145</v>
      </c>
      <c r="BF1379" s="6" t="s">
        <v>10747</v>
      </c>
    </row>
    <row r="1380" customFormat="false" ht="59.5" hidden="false" customHeight="false" outlineLevel="0" collapsed="false">
      <c r="A1380" s="26" t="s">
        <v>63</v>
      </c>
      <c r="B1380" s="27" t="s">
        <v>2129</v>
      </c>
      <c r="C1380" s="27" t="s">
        <v>2130</v>
      </c>
      <c r="D1380" s="27" t="s">
        <v>10748</v>
      </c>
      <c r="E1380" s="27" t="s">
        <v>10749</v>
      </c>
      <c r="F1380" s="27" t="s">
        <v>10750</v>
      </c>
      <c r="G1380" s="28"/>
      <c r="H1380" s="6" t="s">
        <v>63</v>
      </c>
      <c r="I1380" s="6" t="s">
        <v>62</v>
      </c>
      <c r="J1380" s="6" t="s">
        <v>63</v>
      </c>
      <c r="K1380" s="6" t="s">
        <v>63</v>
      </c>
      <c r="L1380" s="6" t="s">
        <v>64</v>
      </c>
      <c r="M1380" s="27" t="s">
        <v>10751</v>
      </c>
      <c r="N1380" s="27" t="s">
        <v>10752</v>
      </c>
      <c r="O1380" s="6" t="s">
        <v>264</v>
      </c>
      <c r="P1380" s="28"/>
      <c r="Q1380" s="6" t="s">
        <v>67</v>
      </c>
      <c r="R1380" s="6" t="s">
        <v>68</v>
      </c>
      <c r="S1380" s="27" t="s">
        <v>10753</v>
      </c>
      <c r="T1380" s="6" t="s">
        <v>6138</v>
      </c>
      <c r="U1380" s="7" t="n">
        <v>5</v>
      </c>
      <c r="V1380" s="7" t="n">
        <v>5</v>
      </c>
      <c r="W1380" s="8" t="s">
        <v>2263</v>
      </c>
      <c r="X1380" s="8" t="s">
        <v>2263</v>
      </c>
      <c r="Y1380" s="8" t="s">
        <v>10754</v>
      </c>
      <c r="Z1380" s="8" t="s">
        <v>10754</v>
      </c>
      <c r="AA1380" s="7" t="n">
        <v>669</v>
      </c>
      <c r="AB1380" s="7" t="n">
        <v>615</v>
      </c>
      <c r="AC1380" s="7" t="n">
        <v>621</v>
      </c>
      <c r="AD1380" s="7" t="n">
        <v>4</v>
      </c>
      <c r="AE1380" s="7" t="n">
        <v>4</v>
      </c>
      <c r="AF1380" s="7" t="n">
        <v>24</v>
      </c>
      <c r="AG1380" s="7" t="n">
        <v>24</v>
      </c>
      <c r="AH1380" s="7" t="n">
        <v>9</v>
      </c>
      <c r="AI1380" s="7" t="n">
        <v>9</v>
      </c>
      <c r="AJ1380" s="7" t="n">
        <v>6</v>
      </c>
      <c r="AK1380" s="7" t="n">
        <v>6</v>
      </c>
      <c r="AL1380" s="7" t="n">
        <v>12</v>
      </c>
      <c r="AM1380" s="7" t="n">
        <v>12</v>
      </c>
      <c r="AN1380" s="7" t="n">
        <v>2</v>
      </c>
      <c r="AO1380" s="7" t="n">
        <v>2</v>
      </c>
      <c r="AP1380" s="7" t="n">
        <v>0</v>
      </c>
      <c r="AQ1380" s="7" t="n">
        <v>0</v>
      </c>
      <c r="AR1380" s="6" t="s">
        <v>63</v>
      </c>
      <c r="AS1380" s="6" t="s">
        <v>57</v>
      </c>
      <c r="AT1380" s="9" t="str">
        <f aca="false">HYPERLINK("http://catalog.hathitrust.org/Record/001384995","HathiTrust Record")</f>
        <v>HathiTrust Record</v>
      </c>
      <c r="AU1380" s="9" t="str">
        <f aca="false">HYPERLINK("https://creighton-primo.hosted.exlibrisgroup.com/primo-explore/search?tab=default_tab&amp;search_scope=EVERYTHING&amp;vid=01CRU&amp;lang=en_US&amp;offset=0&amp;query=any,contains,991000657939702656","Catalog Record")</f>
        <v>Catalog Record</v>
      </c>
      <c r="AV1380" s="9" t="str">
        <f aca="false">HYPERLINK("http://www.worldcat.org/oclc/116347","WorldCat Record")</f>
        <v>WorldCat Record</v>
      </c>
      <c r="AW1380" s="6" t="s">
        <v>10755</v>
      </c>
      <c r="AX1380" s="6" t="s">
        <v>10756</v>
      </c>
      <c r="AY1380" s="6" t="s">
        <v>10757</v>
      </c>
      <c r="AZ1380" s="6" t="s">
        <v>10757</v>
      </c>
      <c r="BA1380" s="6" t="s">
        <v>10758</v>
      </c>
      <c r="BB1380" s="6" t="s">
        <v>10759</v>
      </c>
      <c r="BC1380" s="6" t="s">
        <v>10760</v>
      </c>
      <c r="BE1380" s="15" t="s">
        <v>2145</v>
      </c>
      <c r="BF1380" s="6" t="s">
        <v>10761</v>
      </c>
    </row>
    <row r="1381" customFormat="false" ht="128.5" hidden="false" customHeight="false" outlineLevel="0" collapsed="false">
      <c r="A1381" s="26" t="s">
        <v>63</v>
      </c>
      <c r="B1381" s="27" t="s">
        <v>2129</v>
      </c>
      <c r="C1381" s="27" t="s">
        <v>2130</v>
      </c>
      <c r="D1381" s="27" t="s">
        <v>10762</v>
      </c>
      <c r="E1381" s="27" t="s">
        <v>10763</v>
      </c>
      <c r="F1381" s="27" t="s">
        <v>10764</v>
      </c>
      <c r="G1381" s="28"/>
      <c r="H1381" s="6" t="s">
        <v>63</v>
      </c>
      <c r="I1381" s="6" t="s">
        <v>62</v>
      </c>
      <c r="J1381" s="6" t="s">
        <v>63</v>
      </c>
      <c r="K1381" s="6" t="s">
        <v>63</v>
      </c>
      <c r="L1381" s="6" t="s">
        <v>64</v>
      </c>
      <c r="M1381" s="27" t="s">
        <v>10765</v>
      </c>
      <c r="N1381" s="27" t="s">
        <v>10766</v>
      </c>
      <c r="O1381" s="6" t="s">
        <v>152</v>
      </c>
      <c r="P1381" s="28"/>
      <c r="Q1381" s="6" t="s">
        <v>67</v>
      </c>
      <c r="R1381" s="6" t="s">
        <v>222</v>
      </c>
      <c r="S1381" s="28"/>
      <c r="T1381" s="6" t="s">
        <v>6138</v>
      </c>
      <c r="U1381" s="7" t="n">
        <v>1</v>
      </c>
      <c r="V1381" s="7" t="n">
        <v>1</v>
      </c>
      <c r="W1381" s="8" t="s">
        <v>10767</v>
      </c>
      <c r="X1381" s="8" t="s">
        <v>10767</v>
      </c>
      <c r="Y1381" s="8" t="s">
        <v>10754</v>
      </c>
      <c r="Z1381" s="8" t="s">
        <v>10754</v>
      </c>
      <c r="AA1381" s="7" t="n">
        <v>481</v>
      </c>
      <c r="AB1381" s="7" t="n">
        <v>356</v>
      </c>
      <c r="AC1381" s="7" t="n">
        <v>380</v>
      </c>
      <c r="AD1381" s="7" t="n">
        <v>5</v>
      </c>
      <c r="AE1381" s="7" t="n">
        <v>5</v>
      </c>
      <c r="AF1381" s="7" t="n">
        <v>25</v>
      </c>
      <c r="AG1381" s="7" t="n">
        <v>25</v>
      </c>
      <c r="AH1381" s="7" t="n">
        <v>8</v>
      </c>
      <c r="AI1381" s="7" t="n">
        <v>8</v>
      </c>
      <c r="AJ1381" s="7" t="n">
        <v>7</v>
      </c>
      <c r="AK1381" s="7" t="n">
        <v>7</v>
      </c>
      <c r="AL1381" s="7" t="n">
        <v>16</v>
      </c>
      <c r="AM1381" s="7" t="n">
        <v>16</v>
      </c>
      <c r="AN1381" s="7" t="n">
        <v>4</v>
      </c>
      <c r="AO1381" s="7" t="n">
        <v>4</v>
      </c>
      <c r="AP1381" s="7" t="n">
        <v>0</v>
      </c>
      <c r="AQ1381" s="7" t="n">
        <v>0</v>
      </c>
      <c r="AR1381" s="6" t="s">
        <v>63</v>
      </c>
      <c r="AS1381" s="6" t="s">
        <v>63</v>
      </c>
      <c r="AT1381" s="28"/>
      <c r="AU1381" s="9" t="str">
        <f aca="false">HYPERLINK("https://creighton-primo.hosted.exlibrisgroup.com/primo-explore/search?tab=default_tab&amp;search_scope=EVERYTHING&amp;vid=01CRU&amp;lang=en_US&amp;offset=0&amp;query=any,contains,991000371179702656","Catalog Record")</f>
        <v>Catalog Record</v>
      </c>
      <c r="AV1381" s="9" t="str">
        <f aca="false">HYPERLINK("http://www.worldcat.org/oclc/10430782","WorldCat Record")</f>
        <v>WorldCat Record</v>
      </c>
      <c r="AW1381" s="6" t="s">
        <v>10768</v>
      </c>
      <c r="AX1381" s="6" t="s">
        <v>10769</v>
      </c>
      <c r="AY1381" s="6" t="s">
        <v>10770</v>
      </c>
      <c r="AZ1381" s="6" t="s">
        <v>10770</v>
      </c>
      <c r="BA1381" s="6" t="s">
        <v>10771</v>
      </c>
      <c r="BB1381" s="6" t="s">
        <v>10772</v>
      </c>
      <c r="BC1381" s="6" t="s">
        <v>10773</v>
      </c>
      <c r="BE1381" s="15" t="s">
        <v>2145</v>
      </c>
      <c r="BF1381" s="6" t="s">
        <v>10774</v>
      </c>
    </row>
    <row r="1382" customFormat="false" ht="82.5" hidden="false" customHeight="false" outlineLevel="0" collapsed="false">
      <c r="A1382" s="26" t="s">
        <v>63</v>
      </c>
      <c r="B1382" s="27" t="s">
        <v>2129</v>
      </c>
      <c r="C1382" s="27" t="s">
        <v>2130</v>
      </c>
      <c r="D1382" s="27" t="s">
        <v>10775</v>
      </c>
      <c r="E1382" s="27" t="s">
        <v>10776</v>
      </c>
      <c r="F1382" s="27" t="s">
        <v>10777</v>
      </c>
      <c r="G1382" s="28"/>
      <c r="H1382" s="6" t="s">
        <v>63</v>
      </c>
      <c r="I1382" s="6" t="s">
        <v>62</v>
      </c>
      <c r="J1382" s="6" t="s">
        <v>63</v>
      </c>
      <c r="K1382" s="6" t="s">
        <v>63</v>
      </c>
      <c r="L1382" s="6" t="s">
        <v>64</v>
      </c>
      <c r="M1382" s="27" t="s">
        <v>10778</v>
      </c>
      <c r="N1382" s="27" t="s">
        <v>10779</v>
      </c>
      <c r="O1382" s="6" t="s">
        <v>2665</v>
      </c>
      <c r="P1382" s="28"/>
      <c r="Q1382" s="6" t="s">
        <v>67</v>
      </c>
      <c r="R1382" s="6" t="s">
        <v>68</v>
      </c>
      <c r="S1382" s="28"/>
      <c r="T1382" s="6" t="s">
        <v>6138</v>
      </c>
      <c r="U1382" s="7" t="n">
        <v>5</v>
      </c>
      <c r="V1382" s="7" t="n">
        <v>5</v>
      </c>
      <c r="W1382" s="8" t="s">
        <v>10780</v>
      </c>
      <c r="X1382" s="8" t="s">
        <v>10780</v>
      </c>
      <c r="Y1382" s="8" t="s">
        <v>10754</v>
      </c>
      <c r="Z1382" s="8" t="s">
        <v>10754</v>
      </c>
      <c r="AA1382" s="7" t="n">
        <v>421</v>
      </c>
      <c r="AB1382" s="7" t="n">
        <v>403</v>
      </c>
      <c r="AC1382" s="7" t="n">
        <v>519</v>
      </c>
      <c r="AD1382" s="7" t="n">
        <v>3</v>
      </c>
      <c r="AE1382" s="7" t="n">
        <v>3</v>
      </c>
      <c r="AF1382" s="7" t="n">
        <v>15</v>
      </c>
      <c r="AG1382" s="7" t="n">
        <v>22</v>
      </c>
      <c r="AH1382" s="7" t="n">
        <v>6</v>
      </c>
      <c r="AI1382" s="7" t="n">
        <v>10</v>
      </c>
      <c r="AJ1382" s="7" t="n">
        <v>5</v>
      </c>
      <c r="AK1382" s="7" t="n">
        <v>7</v>
      </c>
      <c r="AL1382" s="7" t="n">
        <v>8</v>
      </c>
      <c r="AM1382" s="7" t="n">
        <v>11</v>
      </c>
      <c r="AN1382" s="7" t="n">
        <v>2</v>
      </c>
      <c r="AO1382" s="7" t="n">
        <v>2</v>
      </c>
      <c r="AP1382" s="7" t="n">
        <v>0</v>
      </c>
      <c r="AQ1382" s="7" t="n">
        <v>0</v>
      </c>
      <c r="AR1382" s="6" t="s">
        <v>63</v>
      </c>
      <c r="AS1382" s="6" t="s">
        <v>57</v>
      </c>
      <c r="AT1382" s="9" t="str">
        <f aca="false">HYPERLINK("http://catalog.hathitrust.org/Record/004462768","HathiTrust Record")</f>
        <v>HathiTrust Record</v>
      </c>
      <c r="AU1382" s="9" t="str">
        <f aca="false">HYPERLINK("https://creighton-primo.hosted.exlibrisgroup.com/primo-explore/search?tab=default_tab&amp;search_scope=EVERYTHING&amp;vid=01CRU&amp;lang=en_US&amp;offset=0&amp;query=any,contains,991002248329702656","Catalog Record")</f>
        <v>Catalog Record</v>
      </c>
      <c r="AV1382" s="9" t="str">
        <f aca="false">HYPERLINK("http://www.worldcat.org/oclc/297935","WorldCat Record")</f>
        <v>WorldCat Record</v>
      </c>
      <c r="AW1382" s="6" t="s">
        <v>10781</v>
      </c>
      <c r="AX1382" s="6" t="s">
        <v>10782</v>
      </c>
      <c r="AY1382" s="6" t="s">
        <v>10783</v>
      </c>
      <c r="AZ1382" s="6" t="s">
        <v>10783</v>
      </c>
      <c r="BA1382" s="6" t="s">
        <v>10784</v>
      </c>
      <c r="BB1382" s="6" t="s">
        <v>10785</v>
      </c>
      <c r="BC1382" s="6" t="s">
        <v>10786</v>
      </c>
      <c r="BE1382" s="15" t="s">
        <v>2145</v>
      </c>
      <c r="BF1382" s="6" t="s">
        <v>10787</v>
      </c>
    </row>
    <row r="1383" customFormat="false" ht="71" hidden="false" customHeight="false" outlineLevel="0" collapsed="false">
      <c r="A1383" s="26" t="s">
        <v>63</v>
      </c>
      <c r="B1383" s="27" t="s">
        <v>2129</v>
      </c>
      <c r="C1383" s="27" t="s">
        <v>2130</v>
      </c>
      <c r="D1383" s="27" t="s">
        <v>10788</v>
      </c>
      <c r="E1383" s="27" t="s">
        <v>10789</v>
      </c>
      <c r="F1383" s="27" t="s">
        <v>10790</v>
      </c>
      <c r="G1383" s="28"/>
      <c r="H1383" s="6" t="s">
        <v>63</v>
      </c>
      <c r="I1383" s="6" t="s">
        <v>62</v>
      </c>
      <c r="J1383" s="6" t="s">
        <v>63</v>
      </c>
      <c r="K1383" s="6" t="s">
        <v>63</v>
      </c>
      <c r="L1383" s="6" t="s">
        <v>64</v>
      </c>
      <c r="M1383" s="27" t="s">
        <v>10791</v>
      </c>
      <c r="N1383" s="27" t="s">
        <v>10792</v>
      </c>
      <c r="O1383" s="6" t="s">
        <v>2467</v>
      </c>
      <c r="P1383" s="28"/>
      <c r="Q1383" s="6" t="s">
        <v>67</v>
      </c>
      <c r="R1383" s="6" t="s">
        <v>384</v>
      </c>
      <c r="S1383" s="27" t="s">
        <v>2962</v>
      </c>
      <c r="T1383" s="6" t="s">
        <v>6138</v>
      </c>
      <c r="U1383" s="7" t="n">
        <v>4</v>
      </c>
      <c r="V1383" s="7" t="n">
        <v>4</v>
      </c>
      <c r="W1383" s="8" t="s">
        <v>10793</v>
      </c>
      <c r="X1383" s="8" t="s">
        <v>10793</v>
      </c>
      <c r="Y1383" s="8" t="s">
        <v>10754</v>
      </c>
      <c r="Z1383" s="8" t="s">
        <v>10754</v>
      </c>
      <c r="AA1383" s="7" t="n">
        <v>723</v>
      </c>
      <c r="AB1383" s="7" t="n">
        <v>538</v>
      </c>
      <c r="AC1383" s="7" t="n">
        <v>551</v>
      </c>
      <c r="AD1383" s="7" t="n">
        <v>4</v>
      </c>
      <c r="AE1383" s="7" t="n">
        <v>4</v>
      </c>
      <c r="AF1383" s="7" t="n">
        <v>27</v>
      </c>
      <c r="AG1383" s="7" t="n">
        <v>28</v>
      </c>
      <c r="AH1383" s="7" t="n">
        <v>13</v>
      </c>
      <c r="AI1383" s="7" t="n">
        <v>13</v>
      </c>
      <c r="AJ1383" s="7" t="n">
        <v>4</v>
      </c>
      <c r="AK1383" s="7" t="n">
        <v>5</v>
      </c>
      <c r="AL1383" s="7" t="n">
        <v>15</v>
      </c>
      <c r="AM1383" s="7" t="n">
        <v>15</v>
      </c>
      <c r="AN1383" s="7" t="n">
        <v>2</v>
      </c>
      <c r="AO1383" s="7" t="n">
        <v>2</v>
      </c>
      <c r="AP1383" s="7" t="n">
        <v>0</v>
      </c>
      <c r="AQ1383" s="7" t="n">
        <v>0</v>
      </c>
      <c r="AR1383" s="6" t="s">
        <v>63</v>
      </c>
      <c r="AS1383" s="6" t="s">
        <v>57</v>
      </c>
      <c r="AT1383" s="9" t="str">
        <f aca="false">HYPERLINK("http://catalog.hathitrust.org/Record/001384991","HathiTrust Record")</f>
        <v>HathiTrust Record</v>
      </c>
      <c r="AU1383" s="9" t="str">
        <f aca="false">HYPERLINK("https://creighton-primo.hosted.exlibrisgroup.com/primo-explore/search?tab=default_tab&amp;search_scope=EVERYTHING&amp;vid=01CRU&amp;lang=en_US&amp;offset=0&amp;query=any,contains,991002579629702656","Catalog Record")</f>
        <v>Catalog Record</v>
      </c>
      <c r="AV1383" s="9" t="str">
        <f aca="false">HYPERLINK("http://www.worldcat.org/oclc/374992","WorldCat Record")</f>
        <v>WorldCat Record</v>
      </c>
      <c r="AW1383" s="6" t="s">
        <v>10794</v>
      </c>
      <c r="AX1383" s="6" t="s">
        <v>10795</v>
      </c>
      <c r="AY1383" s="6" t="s">
        <v>10796</v>
      </c>
      <c r="AZ1383" s="6" t="s">
        <v>10796</v>
      </c>
      <c r="BA1383" s="6" t="s">
        <v>10797</v>
      </c>
      <c r="BB1383" s="28"/>
      <c r="BC1383" s="6" t="s">
        <v>10798</v>
      </c>
      <c r="BE1383" s="15" t="s">
        <v>2145</v>
      </c>
      <c r="BF1383" s="6" t="s">
        <v>10799</v>
      </c>
    </row>
    <row r="1384" customFormat="false" ht="82.5" hidden="false" customHeight="false" outlineLevel="0" collapsed="false">
      <c r="A1384" s="26" t="s">
        <v>63</v>
      </c>
      <c r="B1384" s="27" t="s">
        <v>2129</v>
      </c>
      <c r="C1384" s="27" t="s">
        <v>2130</v>
      </c>
      <c r="D1384" s="27" t="s">
        <v>10800</v>
      </c>
      <c r="E1384" s="27" t="s">
        <v>10801</v>
      </c>
      <c r="F1384" s="27" t="s">
        <v>10802</v>
      </c>
      <c r="G1384" s="28"/>
      <c r="H1384" s="6" t="s">
        <v>63</v>
      </c>
      <c r="I1384" s="6" t="s">
        <v>62</v>
      </c>
      <c r="J1384" s="6" t="s">
        <v>63</v>
      </c>
      <c r="K1384" s="6" t="s">
        <v>63</v>
      </c>
      <c r="L1384" s="6" t="s">
        <v>64</v>
      </c>
      <c r="M1384" s="27" t="s">
        <v>10803</v>
      </c>
      <c r="N1384" s="27" t="s">
        <v>10804</v>
      </c>
      <c r="O1384" s="6" t="s">
        <v>2811</v>
      </c>
      <c r="P1384" s="27" t="s">
        <v>3494</v>
      </c>
      <c r="Q1384" s="6" t="s">
        <v>67</v>
      </c>
      <c r="R1384" s="6" t="s">
        <v>68</v>
      </c>
      <c r="S1384" s="28"/>
      <c r="T1384" s="6" t="s">
        <v>6138</v>
      </c>
      <c r="U1384" s="7" t="n">
        <v>4</v>
      </c>
      <c r="V1384" s="7" t="n">
        <v>4</v>
      </c>
      <c r="W1384" s="8" t="s">
        <v>10805</v>
      </c>
      <c r="X1384" s="8" t="s">
        <v>10805</v>
      </c>
      <c r="Y1384" s="8" t="s">
        <v>10754</v>
      </c>
      <c r="Z1384" s="8" t="s">
        <v>10754</v>
      </c>
      <c r="AA1384" s="7" t="n">
        <v>722</v>
      </c>
      <c r="AB1384" s="7" t="n">
        <v>698</v>
      </c>
      <c r="AC1384" s="7" t="n">
        <v>941</v>
      </c>
      <c r="AD1384" s="7" t="n">
        <v>8</v>
      </c>
      <c r="AE1384" s="7" t="n">
        <v>8</v>
      </c>
      <c r="AF1384" s="7" t="n">
        <v>39</v>
      </c>
      <c r="AG1384" s="7" t="n">
        <v>46</v>
      </c>
      <c r="AH1384" s="7" t="n">
        <v>11</v>
      </c>
      <c r="AI1384" s="7" t="n">
        <v>16</v>
      </c>
      <c r="AJ1384" s="7" t="n">
        <v>10</v>
      </c>
      <c r="AK1384" s="7" t="n">
        <v>10</v>
      </c>
      <c r="AL1384" s="7" t="n">
        <v>22</v>
      </c>
      <c r="AM1384" s="7" t="n">
        <v>27</v>
      </c>
      <c r="AN1384" s="7" t="n">
        <v>6</v>
      </c>
      <c r="AO1384" s="7" t="n">
        <v>6</v>
      </c>
      <c r="AP1384" s="7" t="n">
        <v>0</v>
      </c>
      <c r="AQ1384" s="7" t="n">
        <v>0</v>
      </c>
      <c r="AR1384" s="6" t="s">
        <v>63</v>
      </c>
      <c r="AS1384" s="6" t="s">
        <v>57</v>
      </c>
      <c r="AT1384" s="9" t="str">
        <f aca="false">HYPERLINK("http://catalog.hathitrust.org/Record/007127837","HathiTrust Record")</f>
        <v>HathiTrust Record</v>
      </c>
      <c r="AU1384" s="9" t="str">
        <f aca="false">HYPERLINK("https://creighton-primo.hosted.exlibrisgroup.com/primo-explore/search?tab=default_tab&amp;search_scope=EVERYTHING&amp;vid=01CRU&amp;lang=en_US&amp;offset=0&amp;query=any,contains,991000648399702656","Catalog Record")</f>
        <v>Catalog Record</v>
      </c>
      <c r="AV1384" s="9" t="str">
        <f aca="false">HYPERLINK("http://www.worldcat.org/oclc/111965","WorldCat Record")</f>
        <v>WorldCat Record</v>
      </c>
      <c r="AW1384" s="6" t="s">
        <v>10806</v>
      </c>
      <c r="AX1384" s="6" t="s">
        <v>10807</v>
      </c>
      <c r="AY1384" s="6" t="s">
        <v>10808</v>
      </c>
      <c r="AZ1384" s="6" t="s">
        <v>10808</v>
      </c>
      <c r="BA1384" s="6" t="s">
        <v>10809</v>
      </c>
      <c r="BB1384" s="6" t="s">
        <v>10810</v>
      </c>
      <c r="BC1384" s="6" t="s">
        <v>10811</v>
      </c>
      <c r="BE1384" s="15" t="s">
        <v>2145</v>
      </c>
      <c r="BF1384" s="6" t="s">
        <v>10812</v>
      </c>
    </row>
    <row r="1385" customFormat="false" ht="243.5" hidden="false" customHeight="false" outlineLevel="0" collapsed="false">
      <c r="A1385" s="26" t="s">
        <v>63</v>
      </c>
      <c r="B1385" s="27" t="s">
        <v>2129</v>
      </c>
      <c r="C1385" s="27" t="s">
        <v>2130</v>
      </c>
      <c r="D1385" s="27" t="s">
        <v>10813</v>
      </c>
      <c r="E1385" s="27" t="s">
        <v>10814</v>
      </c>
      <c r="F1385" s="27" t="s">
        <v>10815</v>
      </c>
      <c r="G1385" s="28"/>
      <c r="H1385" s="6" t="s">
        <v>63</v>
      </c>
      <c r="I1385" s="6" t="s">
        <v>62</v>
      </c>
      <c r="J1385" s="6" t="s">
        <v>63</v>
      </c>
      <c r="K1385" s="6" t="s">
        <v>57</v>
      </c>
      <c r="L1385" s="6" t="s">
        <v>64</v>
      </c>
      <c r="M1385" s="27" t="s">
        <v>10816</v>
      </c>
      <c r="N1385" s="27" t="s">
        <v>10817</v>
      </c>
      <c r="O1385" s="6" t="s">
        <v>2811</v>
      </c>
      <c r="P1385" s="28"/>
      <c r="Q1385" s="6" t="s">
        <v>67</v>
      </c>
      <c r="R1385" s="6" t="s">
        <v>384</v>
      </c>
      <c r="S1385" s="28"/>
      <c r="T1385" s="6" t="s">
        <v>6138</v>
      </c>
      <c r="U1385" s="7" t="n">
        <v>4</v>
      </c>
      <c r="V1385" s="7" t="n">
        <v>4</v>
      </c>
      <c r="W1385" s="8" t="s">
        <v>10818</v>
      </c>
      <c r="X1385" s="8" t="s">
        <v>10818</v>
      </c>
      <c r="Y1385" s="8" t="s">
        <v>10754</v>
      </c>
      <c r="Z1385" s="8" t="s">
        <v>10754</v>
      </c>
      <c r="AA1385" s="7" t="n">
        <v>176</v>
      </c>
      <c r="AB1385" s="7" t="n">
        <v>86</v>
      </c>
      <c r="AC1385" s="7" t="n">
        <v>428</v>
      </c>
      <c r="AD1385" s="7" t="n">
        <v>1</v>
      </c>
      <c r="AE1385" s="7" t="n">
        <v>5</v>
      </c>
      <c r="AF1385" s="7" t="n">
        <v>5</v>
      </c>
      <c r="AG1385" s="7" t="n">
        <v>27</v>
      </c>
      <c r="AH1385" s="7" t="n">
        <v>1</v>
      </c>
      <c r="AI1385" s="7" t="n">
        <v>5</v>
      </c>
      <c r="AJ1385" s="7" t="n">
        <v>3</v>
      </c>
      <c r="AK1385" s="7" t="n">
        <v>8</v>
      </c>
      <c r="AL1385" s="7" t="n">
        <v>4</v>
      </c>
      <c r="AM1385" s="7" t="n">
        <v>19</v>
      </c>
      <c r="AN1385" s="7" t="n">
        <v>0</v>
      </c>
      <c r="AO1385" s="7" t="n">
        <v>3</v>
      </c>
      <c r="AP1385" s="7" t="n">
        <v>0</v>
      </c>
      <c r="AQ1385" s="7" t="n">
        <v>0</v>
      </c>
      <c r="AR1385" s="6" t="s">
        <v>63</v>
      </c>
      <c r="AS1385" s="6" t="s">
        <v>63</v>
      </c>
      <c r="AT1385" s="28"/>
      <c r="AU1385" s="9" t="str">
        <f aca="false">HYPERLINK("https://creighton-primo.hosted.exlibrisgroup.com/primo-explore/search?tab=default_tab&amp;search_scope=EVERYTHING&amp;vid=01CRU&amp;lang=en_US&amp;offset=0&amp;query=any,contains,991001296809702656","Catalog Record")</f>
        <v>Catalog Record</v>
      </c>
      <c r="AV1385" s="9" t="str">
        <f aca="false">HYPERLINK("http://www.worldcat.org/oclc/220177","WorldCat Record")</f>
        <v>WorldCat Record</v>
      </c>
      <c r="AW1385" s="6" t="s">
        <v>10819</v>
      </c>
      <c r="AX1385" s="6" t="s">
        <v>10820</v>
      </c>
      <c r="AY1385" s="6" t="s">
        <v>10821</v>
      </c>
      <c r="AZ1385" s="6" t="s">
        <v>10821</v>
      </c>
      <c r="BA1385" s="6" t="s">
        <v>10822</v>
      </c>
      <c r="BB1385" s="6" t="s">
        <v>10823</v>
      </c>
      <c r="BC1385" s="6" t="s">
        <v>10824</v>
      </c>
      <c r="BE1385" s="15" t="s">
        <v>2145</v>
      </c>
      <c r="BF1385" s="6" t="s">
        <v>10825</v>
      </c>
    </row>
    <row r="1386" customFormat="false" ht="220.5" hidden="false" customHeight="false" outlineLevel="0" collapsed="false">
      <c r="A1386" s="26" t="s">
        <v>63</v>
      </c>
      <c r="B1386" s="27" t="s">
        <v>2129</v>
      </c>
      <c r="C1386" s="27" t="s">
        <v>2130</v>
      </c>
      <c r="D1386" s="27" t="s">
        <v>10826</v>
      </c>
      <c r="E1386" s="27" t="s">
        <v>10827</v>
      </c>
      <c r="F1386" s="27" t="s">
        <v>10828</v>
      </c>
      <c r="G1386" s="28"/>
      <c r="H1386" s="6" t="s">
        <v>63</v>
      </c>
      <c r="I1386" s="6" t="s">
        <v>62</v>
      </c>
      <c r="J1386" s="6" t="s">
        <v>63</v>
      </c>
      <c r="K1386" s="6" t="s">
        <v>57</v>
      </c>
      <c r="L1386" s="6" t="s">
        <v>64</v>
      </c>
      <c r="M1386" s="27" t="s">
        <v>10816</v>
      </c>
      <c r="N1386" s="27" t="s">
        <v>10829</v>
      </c>
      <c r="O1386" s="6" t="s">
        <v>2811</v>
      </c>
      <c r="P1386" s="27" t="s">
        <v>10830</v>
      </c>
      <c r="Q1386" s="6" t="s">
        <v>67</v>
      </c>
      <c r="R1386" s="6" t="s">
        <v>68</v>
      </c>
      <c r="S1386" s="28"/>
      <c r="T1386" s="6" t="s">
        <v>6138</v>
      </c>
      <c r="U1386" s="7" t="n">
        <v>5</v>
      </c>
      <c r="V1386" s="7" t="n">
        <v>5</v>
      </c>
      <c r="W1386" s="8" t="s">
        <v>10831</v>
      </c>
      <c r="X1386" s="8" t="s">
        <v>10831</v>
      </c>
      <c r="Y1386" s="8" t="s">
        <v>10754</v>
      </c>
      <c r="Z1386" s="8" t="s">
        <v>10754</v>
      </c>
      <c r="AA1386" s="7" t="n">
        <v>385</v>
      </c>
      <c r="AB1386" s="7" t="n">
        <v>359</v>
      </c>
      <c r="AC1386" s="7" t="n">
        <v>428</v>
      </c>
      <c r="AD1386" s="7" t="n">
        <v>5</v>
      </c>
      <c r="AE1386" s="7" t="n">
        <v>5</v>
      </c>
      <c r="AF1386" s="7" t="n">
        <v>24</v>
      </c>
      <c r="AG1386" s="7" t="n">
        <v>27</v>
      </c>
      <c r="AH1386" s="7" t="n">
        <v>4</v>
      </c>
      <c r="AI1386" s="7" t="n">
        <v>5</v>
      </c>
      <c r="AJ1386" s="7" t="n">
        <v>7</v>
      </c>
      <c r="AK1386" s="7" t="n">
        <v>8</v>
      </c>
      <c r="AL1386" s="7" t="n">
        <v>17</v>
      </c>
      <c r="AM1386" s="7" t="n">
        <v>19</v>
      </c>
      <c r="AN1386" s="7" t="n">
        <v>3</v>
      </c>
      <c r="AO1386" s="7" t="n">
        <v>3</v>
      </c>
      <c r="AP1386" s="7" t="n">
        <v>0</v>
      </c>
      <c r="AQ1386" s="7" t="n">
        <v>0</v>
      </c>
      <c r="AR1386" s="6" t="s">
        <v>63</v>
      </c>
      <c r="AS1386" s="6" t="s">
        <v>57</v>
      </c>
      <c r="AT1386" s="9" t="str">
        <f aca="false">HYPERLINK("http://catalog.hathitrust.org/Record/001385004","HathiTrust Record")</f>
        <v>HathiTrust Record</v>
      </c>
      <c r="AU1386" s="9" t="str">
        <f aca="false">HYPERLINK("https://creighton-primo.hosted.exlibrisgroup.com/primo-explore/search?tab=default_tab&amp;search_scope=EVERYTHING&amp;vid=01CRU&amp;lang=en_US&amp;offset=0&amp;query=any,contains,991002244119702656","Catalog Record")</f>
        <v>Catalog Record</v>
      </c>
      <c r="AV1386" s="9" t="str">
        <f aca="false">HYPERLINK("http://www.worldcat.org/oclc/297401","WorldCat Record")</f>
        <v>WorldCat Record</v>
      </c>
      <c r="AW1386" s="6" t="s">
        <v>10819</v>
      </c>
      <c r="AX1386" s="6" t="s">
        <v>10832</v>
      </c>
      <c r="AY1386" s="6" t="s">
        <v>10833</v>
      </c>
      <c r="AZ1386" s="6" t="s">
        <v>10833</v>
      </c>
      <c r="BA1386" s="6" t="s">
        <v>10834</v>
      </c>
      <c r="BB1386" s="28"/>
      <c r="BC1386" s="6" t="s">
        <v>10835</v>
      </c>
      <c r="BE1386" s="15" t="s">
        <v>2145</v>
      </c>
      <c r="BF1386" s="6" t="s">
        <v>10836</v>
      </c>
    </row>
    <row r="1387" customFormat="false" ht="94" hidden="false" customHeight="false" outlineLevel="0" collapsed="false">
      <c r="A1387" s="26" t="s">
        <v>63</v>
      </c>
      <c r="B1387" s="27" t="s">
        <v>2129</v>
      </c>
      <c r="C1387" s="27" t="s">
        <v>2130</v>
      </c>
      <c r="D1387" s="27" t="s">
        <v>10837</v>
      </c>
      <c r="E1387" s="27" t="s">
        <v>10838</v>
      </c>
      <c r="F1387" s="27" t="s">
        <v>10839</v>
      </c>
      <c r="G1387" s="28"/>
      <c r="H1387" s="6" t="s">
        <v>63</v>
      </c>
      <c r="I1387" s="6" t="s">
        <v>62</v>
      </c>
      <c r="J1387" s="6" t="s">
        <v>63</v>
      </c>
      <c r="K1387" s="6" t="s">
        <v>63</v>
      </c>
      <c r="L1387" s="6" t="s">
        <v>64</v>
      </c>
      <c r="M1387" s="27" t="s">
        <v>10840</v>
      </c>
      <c r="N1387" s="27" t="s">
        <v>10841</v>
      </c>
      <c r="O1387" s="6" t="s">
        <v>264</v>
      </c>
      <c r="P1387" s="28"/>
      <c r="Q1387" s="6" t="s">
        <v>67</v>
      </c>
      <c r="R1387" s="6" t="s">
        <v>2894</v>
      </c>
      <c r="S1387" s="27" t="s">
        <v>10842</v>
      </c>
      <c r="T1387" s="6" t="s">
        <v>6138</v>
      </c>
      <c r="U1387" s="7" t="n">
        <v>4</v>
      </c>
      <c r="V1387" s="7" t="n">
        <v>4</v>
      </c>
      <c r="W1387" s="8" t="s">
        <v>10843</v>
      </c>
      <c r="X1387" s="8" t="s">
        <v>10843</v>
      </c>
      <c r="Y1387" s="8" t="s">
        <v>10844</v>
      </c>
      <c r="Z1387" s="8" t="s">
        <v>10844</v>
      </c>
      <c r="AA1387" s="7" t="n">
        <v>211</v>
      </c>
      <c r="AB1387" s="7" t="n">
        <v>182</v>
      </c>
      <c r="AC1387" s="7" t="n">
        <v>183</v>
      </c>
      <c r="AD1387" s="7" t="n">
        <v>2</v>
      </c>
      <c r="AE1387" s="7" t="n">
        <v>2</v>
      </c>
      <c r="AF1387" s="7" t="n">
        <v>19</v>
      </c>
      <c r="AG1387" s="7" t="n">
        <v>19</v>
      </c>
      <c r="AH1387" s="7" t="n">
        <v>6</v>
      </c>
      <c r="AI1387" s="7" t="n">
        <v>6</v>
      </c>
      <c r="AJ1387" s="7" t="n">
        <v>6</v>
      </c>
      <c r="AK1387" s="7" t="n">
        <v>6</v>
      </c>
      <c r="AL1387" s="7" t="n">
        <v>16</v>
      </c>
      <c r="AM1387" s="7" t="n">
        <v>16</v>
      </c>
      <c r="AN1387" s="7" t="n">
        <v>1</v>
      </c>
      <c r="AO1387" s="7" t="n">
        <v>1</v>
      </c>
      <c r="AP1387" s="7" t="n">
        <v>0</v>
      </c>
      <c r="AQ1387" s="7" t="n">
        <v>0</v>
      </c>
      <c r="AR1387" s="6" t="s">
        <v>63</v>
      </c>
      <c r="AS1387" s="6" t="s">
        <v>63</v>
      </c>
      <c r="AT1387" s="28"/>
      <c r="AU1387" s="9" t="str">
        <f aca="false">HYPERLINK("https://creighton-primo.hosted.exlibrisgroup.com/primo-explore/search?tab=default_tab&amp;search_scope=EVERYTHING&amp;vid=01CRU&amp;lang=en_US&amp;offset=0&amp;query=any,contains,991000532839702656","Catalog Record")</f>
        <v>Catalog Record</v>
      </c>
      <c r="AV1387" s="9" t="str">
        <f aca="false">HYPERLINK("http://www.worldcat.org/oclc/89827","WorldCat Record")</f>
        <v>WorldCat Record</v>
      </c>
      <c r="AW1387" s="6" t="s">
        <v>10845</v>
      </c>
      <c r="AX1387" s="6" t="s">
        <v>10846</v>
      </c>
      <c r="AY1387" s="6" t="s">
        <v>10847</v>
      </c>
      <c r="AZ1387" s="6" t="s">
        <v>10847</v>
      </c>
      <c r="BA1387" s="6" t="s">
        <v>10848</v>
      </c>
      <c r="BB1387" s="28"/>
      <c r="BC1387" s="6" t="s">
        <v>10849</v>
      </c>
      <c r="BE1387" s="15" t="s">
        <v>2145</v>
      </c>
      <c r="BF1387" s="6" t="s">
        <v>10850</v>
      </c>
    </row>
    <row r="1388" customFormat="false" ht="151.5" hidden="false" customHeight="false" outlineLevel="0" collapsed="false">
      <c r="A1388" s="26" t="s">
        <v>63</v>
      </c>
      <c r="B1388" s="27" t="s">
        <v>2129</v>
      </c>
      <c r="C1388" s="27" t="s">
        <v>2130</v>
      </c>
      <c r="D1388" s="27" t="s">
        <v>10851</v>
      </c>
      <c r="E1388" s="27" t="s">
        <v>10852</v>
      </c>
      <c r="F1388" s="27" t="s">
        <v>10853</v>
      </c>
      <c r="G1388" s="28"/>
      <c r="H1388" s="6" t="s">
        <v>63</v>
      </c>
      <c r="I1388" s="6" t="s">
        <v>62</v>
      </c>
      <c r="J1388" s="6" t="s">
        <v>63</v>
      </c>
      <c r="K1388" s="6" t="s">
        <v>63</v>
      </c>
      <c r="L1388" s="6" t="s">
        <v>64</v>
      </c>
      <c r="M1388" s="27" t="s">
        <v>10854</v>
      </c>
      <c r="N1388" s="27" t="s">
        <v>10855</v>
      </c>
      <c r="O1388" s="6" t="s">
        <v>2467</v>
      </c>
      <c r="P1388" s="28"/>
      <c r="Q1388" s="6" t="s">
        <v>67</v>
      </c>
      <c r="R1388" s="6" t="s">
        <v>500</v>
      </c>
      <c r="S1388" s="28"/>
      <c r="T1388" s="6" t="s">
        <v>6138</v>
      </c>
      <c r="U1388" s="7" t="n">
        <v>4</v>
      </c>
      <c r="V1388" s="7" t="n">
        <v>4</v>
      </c>
      <c r="W1388" s="8" t="s">
        <v>10856</v>
      </c>
      <c r="X1388" s="8" t="s">
        <v>10856</v>
      </c>
      <c r="Y1388" s="8" t="s">
        <v>9981</v>
      </c>
      <c r="Z1388" s="8" t="s">
        <v>9981</v>
      </c>
      <c r="AA1388" s="7" t="n">
        <v>473</v>
      </c>
      <c r="AB1388" s="7" t="n">
        <v>416</v>
      </c>
      <c r="AC1388" s="7" t="n">
        <v>423</v>
      </c>
      <c r="AD1388" s="7" t="n">
        <v>4</v>
      </c>
      <c r="AE1388" s="7" t="n">
        <v>4</v>
      </c>
      <c r="AF1388" s="7" t="n">
        <v>30</v>
      </c>
      <c r="AG1388" s="7" t="n">
        <v>30</v>
      </c>
      <c r="AH1388" s="7" t="n">
        <v>10</v>
      </c>
      <c r="AI1388" s="7" t="n">
        <v>10</v>
      </c>
      <c r="AJ1388" s="7" t="n">
        <v>6</v>
      </c>
      <c r="AK1388" s="7" t="n">
        <v>6</v>
      </c>
      <c r="AL1388" s="7" t="n">
        <v>23</v>
      </c>
      <c r="AM1388" s="7" t="n">
        <v>23</v>
      </c>
      <c r="AN1388" s="7" t="n">
        <v>1</v>
      </c>
      <c r="AO1388" s="7" t="n">
        <v>1</v>
      </c>
      <c r="AP1388" s="7" t="n">
        <v>0</v>
      </c>
      <c r="AQ1388" s="7" t="n">
        <v>0</v>
      </c>
      <c r="AR1388" s="6" t="s">
        <v>63</v>
      </c>
      <c r="AS1388" s="6" t="s">
        <v>57</v>
      </c>
      <c r="AT1388" s="9" t="str">
        <f aca="false">HYPERLINK("http://catalog.hathitrust.org/Record/006230528","HathiTrust Record")</f>
        <v>HathiTrust Record</v>
      </c>
      <c r="AU1388" s="9" t="str">
        <f aca="false">HYPERLINK("https://creighton-primo.hosted.exlibrisgroup.com/primo-explore/search?tab=default_tab&amp;search_scope=EVERYTHING&amp;vid=01CRU&amp;lang=en_US&amp;offset=0&amp;query=any,contains,991002914189702656","Catalog Record")</f>
        <v>Catalog Record</v>
      </c>
      <c r="AV1388" s="9" t="str">
        <f aca="false">HYPERLINK("http://www.worldcat.org/oclc/523591","WorldCat Record")</f>
        <v>WorldCat Record</v>
      </c>
      <c r="AW1388" s="6" t="s">
        <v>10857</v>
      </c>
      <c r="AX1388" s="6" t="s">
        <v>10858</v>
      </c>
      <c r="AY1388" s="6" t="s">
        <v>10859</v>
      </c>
      <c r="AZ1388" s="6" t="s">
        <v>10859</v>
      </c>
      <c r="BA1388" s="6" t="s">
        <v>10860</v>
      </c>
      <c r="BB1388" s="28"/>
      <c r="BC1388" s="6" t="s">
        <v>10861</v>
      </c>
      <c r="BE1388" s="15" t="s">
        <v>2145</v>
      </c>
      <c r="BF1388" s="6" t="s">
        <v>10862</v>
      </c>
    </row>
    <row r="1389" customFormat="false" ht="71" hidden="false" customHeight="false" outlineLevel="0" collapsed="false">
      <c r="A1389" s="26" t="s">
        <v>63</v>
      </c>
      <c r="B1389" s="27" t="s">
        <v>2129</v>
      </c>
      <c r="C1389" s="27" t="s">
        <v>2130</v>
      </c>
      <c r="D1389" s="27" t="s">
        <v>10863</v>
      </c>
      <c r="E1389" s="27" t="s">
        <v>10864</v>
      </c>
      <c r="F1389" s="27" t="s">
        <v>10865</v>
      </c>
      <c r="G1389" s="28"/>
      <c r="H1389" s="6" t="s">
        <v>63</v>
      </c>
      <c r="I1389" s="6" t="s">
        <v>62</v>
      </c>
      <c r="J1389" s="6" t="s">
        <v>63</v>
      </c>
      <c r="K1389" s="6" t="s">
        <v>63</v>
      </c>
      <c r="L1389" s="6" t="s">
        <v>64</v>
      </c>
      <c r="M1389" s="27" t="s">
        <v>10866</v>
      </c>
      <c r="N1389" s="27" t="s">
        <v>10867</v>
      </c>
      <c r="O1389" s="6" t="s">
        <v>2811</v>
      </c>
      <c r="P1389" s="28"/>
      <c r="Q1389" s="6" t="s">
        <v>67</v>
      </c>
      <c r="R1389" s="6" t="s">
        <v>1108</v>
      </c>
      <c r="S1389" s="28"/>
      <c r="T1389" s="6" t="s">
        <v>6138</v>
      </c>
      <c r="U1389" s="7" t="n">
        <v>3</v>
      </c>
      <c r="V1389" s="7" t="n">
        <v>3</v>
      </c>
      <c r="W1389" s="8" t="s">
        <v>10868</v>
      </c>
      <c r="X1389" s="8" t="s">
        <v>10868</v>
      </c>
      <c r="Y1389" s="8" t="s">
        <v>10754</v>
      </c>
      <c r="Z1389" s="8" t="s">
        <v>10754</v>
      </c>
      <c r="AA1389" s="7" t="n">
        <v>154</v>
      </c>
      <c r="AB1389" s="7" t="n">
        <v>147</v>
      </c>
      <c r="AC1389" s="7" t="n">
        <v>232</v>
      </c>
      <c r="AD1389" s="7" t="n">
        <v>1</v>
      </c>
      <c r="AE1389" s="7" t="n">
        <v>2</v>
      </c>
      <c r="AF1389" s="7" t="n">
        <v>16</v>
      </c>
      <c r="AG1389" s="7" t="n">
        <v>23</v>
      </c>
      <c r="AH1389" s="7" t="n">
        <v>5</v>
      </c>
      <c r="AI1389" s="7" t="n">
        <v>6</v>
      </c>
      <c r="AJ1389" s="7" t="n">
        <v>5</v>
      </c>
      <c r="AK1389" s="7" t="n">
        <v>6</v>
      </c>
      <c r="AL1389" s="7" t="n">
        <v>10</v>
      </c>
      <c r="AM1389" s="7" t="n">
        <v>16</v>
      </c>
      <c r="AN1389" s="7" t="n">
        <v>0</v>
      </c>
      <c r="AO1389" s="7" t="n">
        <v>1</v>
      </c>
      <c r="AP1389" s="7" t="n">
        <v>0</v>
      </c>
      <c r="AQ1389" s="7" t="n">
        <v>0</v>
      </c>
      <c r="AR1389" s="6" t="s">
        <v>63</v>
      </c>
      <c r="AS1389" s="6" t="s">
        <v>63</v>
      </c>
      <c r="AT1389" s="28"/>
      <c r="AU1389" s="9" t="str">
        <f aca="false">HYPERLINK("https://creighton-primo.hosted.exlibrisgroup.com/primo-explore/search?tab=default_tab&amp;search_scope=EVERYTHING&amp;vid=01CRU&amp;lang=en_US&amp;offset=0&amp;query=any,contains,991002760039702656","Catalog Record")</f>
        <v>Catalog Record</v>
      </c>
      <c r="AV1389" s="9" t="str">
        <f aca="false">HYPERLINK("http://www.worldcat.org/oclc/427608","WorldCat Record")</f>
        <v>WorldCat Record</v>
      </c>
      <c r="AW1389" s="6" t="s">
        <v>10869</v>
      </c>
      <c r="AX1389" s="6" t="s">
        <v>10870</v>
      </c>
      <c r="AY1389" s="6" t="s">
        <v>10871</v>
      </c>
      <c r="AZ1389" s="6" t="s">
        <v>10871</v>
      </c>
      <c r="BA1389" s="6" t="s">
        <v>10872</v>
      </c>
      <c r="BB1389" s="28"/>
      <c r="BC1389" s="6" t="s">
        <v>10873</v>
      </c>
      <c r="BE1389" s="15" t="s">
        <v>2145</v>
      </c>
      <c r="BF1389" s="6" t="s">
        <v>10874</v>
      </c>
    </row>
    <row r="1390" customFormat="false" ht="186" hidden="false" customHeight="false" outlineLevel="0" collapsed="false">
      <c r="A1390" s="26" t="s">
        <v>63</v>
      </c>
      <c r="B1390" s="27" t="s">
        <v>2129</v>
      </c>
      <c r="C1390" s="27" t="s">
        <v>2130</v>
      </c>
      <c r="D1390" s="27" t="s">
        <v>10875</v>
      </c>
      <c r="E1390" s="27" t="s">
        <v>10876</v>
      </c>
      <c r="F1390" s="27" t="s">
        <v>10877</v>
      </c>
      <c r="G1390" s="28"/>
      <c r="H1390" s="6" t="s">
        <v>63</v>
      </c>
      <c r="I1390" s="6" t="s">
        <v>62</v>
      </c>
      <c r="J1390" s="6" t="s">
        <v>63</v>
      </c>
      <c r="K1390" s="6" t="s">
        <v>63</v>
      </c>
      <c r="L1390" s="6" t="s">
        <v>64</v>
      </c>
      <c r="M1390" s="27" t="s">
        <v>10878</v>
      </c>
      <c r="N1390" s="27" t="s">
        <v>10879</v>
      </c>
      <c r="O1390" s="6" t="s">
        <v>2693</v>
      </c>
      <c r="P1390" s="28"/>
      <c r="Q1390" s="6" t="s">
        <v>67</v>
      </c>
      <c r="R1390" s="6" t="s">
        <v>928</v>
      </c>
      <c r="S1390" s="28"/>
      <c r="T1390" s="6" t="s">
        <v>6138</v>
      </c>
      <c r="U1390" s="7" t="n">
        <v>1</v>
      </c>
      <c r="V1390" s="7" t="n">
        <v>1</v>
      </c>
      <c r="W1390" s="8" t="s">
        <v>10880</v>
      </c>
      <c r="X1390" s="8" t="s">
        <v>10880</v>
      </c>
      <c r="Y1390" s="8" t="s">
        <v>10844</v>
      </c>
      <c r="Z1390" s="8" t="s">
        <v>10844</v>
      </c>
      <c r="AA1390" s="7" t="n">
        <v>522</v>
      </c>
      <c r="AB1390" s="7" t="n">
        <v>481</v>
      </c>
      <c r="AC1390" s="7" t="n">
        <v>488</v>
      </c>
      <c r="AD1390" s="7" t="n">
        <v>5</v>
      </c>
      <c r="AE1390" s="7" t="n">
        <v>5</v>
      </c>
      <c r="AF1390" s="7" t="n">
        <v>26</v>
      </c>
      <c r="AG1390" s="7" t="n">
        <v>26</v>
      </c>
      <c r="AH1390" s="7" t="n">
        <v>7</v>
      </c>
      <c r="AI1390" s="7" t="n">
        <v>7</v>
      </c>
      <c r="AJ1390" s="7" t="n">
        <v>5</v>
      </c>
      <c r="AK1390" s="7" t="n">
        <v>5</v>
      </c>
      <c r="AL1390" s="7" t="n">
        <v>13</v>
      </c>
      <c r="AM1390" s="7" t="n">
        <v>13</v>
      </c>
      <c r="AN1390" s="7" t="n">
        <v>4</v>
      </c>
      <c r="AO1390" s="7" t="n">
        <v>4</v>
      </c>
      <c r="AP1390" s="7" t="n">
        <v>0</v>
      </c>
      <c r="AQ1390" s="7" t="n">
        <v>0</v>
      </c>
      <c r="AR1390" s="6" t="s">
        <v>63</v>
      </c>
      <c r="AS1390" s="6" t="s">
        <v>57</v>
      </c>
      <c r="AT1390" s="9" t="str">
        <f aca="false">HYPERLINK("http://catalog.hathitrust.org/Record/006752266","HathiTrust Record")</f>
        <v>HathiTrust Record</v>
      </c>
      <c r="AU1390" s="9" t="str">
        <f aca="false">HYPERLINK("https://creighton-primo.hosted.exlibrisgroup.com/primo-explore/search?tab=default_tab&amp;search_scope=EVERYTHING&amp;vid=01CRU&amp;lang=en_US&amp;offset=0&amp;query=any,contains,991002570569702656","Catalog Record")</f>
        <v>Catalog Record</v>
      </c>
      <c r="AV1390" s="9" t="str">
        <f aca="false">HYPERLINK("http://www.worldcat.org/oclc/373578","WorldCat Record")</f>
        <v>WorldCat Record</v>
      </c>
      <c r="AW1390" s="6" t="s">
        <v>10881</v>
      </c>
      <c r="AX1390" s="6" t="s">
        <v>10882</v>
      </c>
      <c r="AY1390" s="6" t="s">
        <v>10883</v>
      </c>
      <c r="AZ1390" s="6" t="s">
        <v>10883</v>
      </c>
      <c r="BA1390" s="6" t="s">
        <v>10884</v>
      </c>
      <c r="BB1390" s="28"/>
      <c r="BC1390" s="6" t="s">
        <v>10885</v>
      </c>
      <c r="BE1390" s="15" t="s">
        <v>2145</v>
      </c>
      <c r="BF1390" s="6" t="s">
        <v>10886</v>
      </c>
    </row>
    <row r="1391" customFormat="false" ht="174.5" hidden="false" customHeight="false" outlineLevel="0" collapsed="false">
      <c r="A1391" s="26" t="s">
        <v>63</v>
      </c>
      <c r="B1391" s="27" t="s">
        <v>2129</v>
      </c>
      <c r="C1391" s="27" t="s">
        <v>2130</v>
      </c>
      <c r="D1391" s="27" t="s">
        <v>10887</v>
      </c>
      <c r="E1391" s="27" t="s">
        <v>10888</v>
      </c>
      <c r="F1391" s="27" t="s">
        <v>10889</v>
      </c>
      <c r="G1391" s="28"/>
      <c r="H1391" s="6" t="s">
        <v>63</v>
      </c>
      <c r="I1391" s="6" t="s">
        <v>62</v>
      </c>
      <c r="J1391" s="6" t="s">
        <v>63</v>
      </c>
      <c r="K1391" s="6" t="s">
        <v>63</v>
      </c>
      <c r="L1391" s="6" t="s">
        <v>64</v>
      </c>
      <c r="M1391" s="27" t="s">
        <v>10890</v>
      </c>
      <c r="N1391" s="27" t="s">
        <v>10891</v>
      </c>
      <c r="O1391" s="6" t="s">
        <v>7428</v>
      </c>
      <c r="P1391" s="28"/>
      <c r="Q1391" s="6" t="s">
        <v>67</v>
      </c>
      <c r="R1391" s="6" t="s">
        <v>1108</v>
      </c>
      <c r="S1391" s="28"/>
      <c r="T1391" s="6" t="s">
        <v>6138</v>
      </c>
      <c r="U1391" s="7" t="n">
        <v>2</v>
      </c>
      <c r="V1391" s="7" t="n">
        <v>2</v>
      </c>
      <c r="W1391" s="8" t="s">
        <v>10892</v>
      </c>
      <c r="X1391" s="8" t="s">
        <v>10892</v>
      </c>
      <c r="Y1391" s="8" t="s">
        <v>10754</v>
      </c>
      <c r="Z1391" s="8" t="s">
        <v>10754</v>
      </c>
      <c r="AA1391" s="7" t="n">
        <v>506</v>
      </c>
      <c r="AB1391" s="7" t="n">
        <v>434</v>
      </c>
      <c r="AC1391" s="7" t="n">
        <v>449</v>
      </c>
      <c r="AD1391" s="7" t="n">
        <v>5</v>
      </c>
      <c r="AE1391" s="7" t="n">
        <v>5</v>
      </c>
      <c r="AF1391" s="7" t="n">
        <v>31</v>
      </c>
      <c r="AG1391" s="7" t="n">
        <v>32</v>
      </c>
      <c r="AH1391" s="7" t="n">
        <v>12</v>
      </c>
      <c r="AI1391" s="7" t="n">
        <v>12</v>
      </c>
      <c r="AJ1391" s="7" t="n">
        <v>8</v>
      </c>
      <c r="AK1391" s="7" t="n">
        <v>9</v>
      </c>
      <c r="AL1391" s="7" t="n">
        <v>18</v>
      </c>
      <c r="AM1391" s="7" t="n">
        <v>19</v>
      </c>
      <c r="AN1391" s="7" t="n">
        <v>4</v>
      </c>
      <c r="AO1391" s="7" t="n">
        <v>4</v>
      </c>
      <c r="AP1391" s="7" t="n">
        <v>0</v>
      </c>
      <c r="AQ1391" s="7" t="n">
        <v>0</v>
      </c>
      <c r="AR1391" s="6" t="s">
        <v>63</v>
      </c>
      <c r="AS1391" s="6" t="s">
        <v>57</v>
      </c>
      <c r="AT1391" s="9" t="str">
        <f aca="false">HYPERLINK("http://catalog.hathitrust.org/Record/000034726","HathiTrust Record")</f>
        <v>HathiTrust Record</v>
      </c>
      <c r="AU1391" s="9" t="str">
        <f aca="false">HYPERLINK("https://creighton-primo.hosted.exlibrisgroup.com/primo-explore/search?tab=default_tab&amp;search_scope=EVERYTHING&amp;vid=01CRU&amp;lang=en_US&amp;offset=0&amp;query=any,contains,991003829659702656","Catalog Record")</f>
        <v>Catalog Record</v>
      </c>
      <c r="AV1391" s="9" t="str">
        <f aca="false">HYPERLINK("http://www.worldcat.org/oclc/1583688","WorldCat Record")</f>
        <v>WorldCat Record</v>
      </c>
      <c r="AW1391" s="6" t="s">
        <v>10893</v>
      </c>
      <c r="AX1391" s="6" t="s">
        <v>10894</v>
      </c>
      <c r="AY1391" s="6" t="s">
        <v>10895</v>
      </c>
      <c r="AZ1391" s="6" t="s">
        <v>10895</v>
      </c>
      <c r="BA1391" s="6" t="s">
        <v>10896</v>
      </c>
      <c r="BB1391" s="6" t="s">
        <v>10897</v>
      </c>
      <c r="BC1391" s="6" t="s">
        <v>10898</v>
      </c>
      <c r="BE1391" s="15" t="s">
        <v>2145</v>
      </c>
      <c r="BF1391" s="6" t="s">
        <v>10899</v>
      </c>
    </row>
    <row r="1392" customFormat="false" ht="128.5" hidden="false" customHeight="false" outlineLevel="0" collapsed="false">
      <c r="A1392" s="26" t="s">
        <v>63</v>
      </c>
      <c r="B1392" s="27" t="s">
        <v>2129</v>
      </c>
      <c r="C1392" s="27" t="s">
        <v>2130</v>
      </c>
      <c r="D1392" s="27" t="s">
        <v>10900</v>
      </c>
      <c r="E1392" s="27" t="s">
        <v>10901</v>
      </c>
      <c r="F1392" s="27" t="s">
        <v>10902</v>
      </c>
      <c r="G1392" s="28"/>
      <c r="H1392" s="6" t="s">
        <v>63</v>
      </c>
      <c r="I1392" s="6" t="s">
        <v>62</v>
      </c>
      <c r="J1392" s="6" t="s">
        <v>63</v>
      </c>
      <c r="K1392" s="6" t="s">
        <v>63</v>
      </c>
      <c r="L1392" s="6" t="s">
        <v>64</v>
      </c>
      <c r="M1392" s="27" t="s">
        <v>10903</v>
      </c>
      <c r="N1392" s="27" t="s">
        <v>10904</v>
      </c>
      <c r="O1392" s="6" t="s">
        <v>2975</v>
      </c>
      <c r="P1392" s="28"/>
      <c r="Q1392" s="6" t="s">
        <v>67</v>
      </c>
      <c r="R1392" s="6" t="s">
        <v>68</v>
      </c>
      <c r="S1392" s="28"/>
      <c r="T1392" s="6" t="s">
        <v>6138</v>
      </c>
      <c r="U1392" s="7" t="n">
        <v>2</v>
      </c>
      <c r="V1392" s="7" t="n">
        <v>2</v>
      </c>
      <c r="W1392" s="8" t="s">
        <v>10905</v>
      </c>
      <c r="X1392" s="8" t="s">
        <v>10905</v>
      </c>
      <c r="Y1392" s="8" t="s">
        <v>9981</v>
      </c>
      <c r="Z1392" s="8" t="s">
        <v>9981</v>
      </c>
      <c r="AA1392" s="7" t="n">
        <v>333</v>
      </c>
      <c r="AB1392" s="7" t="n">
        <v>309</v>
      </c>
      <c r="AC1392" s="7" t="n">
        <v>347</v>
      </c>
      <c r="AD1392" s="7" t="n">
        <v>3</v>
      </c>
      <c r="AE1392" s="7" t="n">
        <v>3</v>
      </c>
      <c r="AF1392" s="7" t="n">
        <v>28</v>
      </c>
      <c r="AG1392" s="7" t="n">
        <v>30</v>
      </c>
      <c r="AH1392" s="7" t="n">
        <v>5</v>
      </c>
      <c r="AI1392" s="7" t="n">
        <v>6</v>
      </c>
      <c r="AJ1392" s="7" t="n">
        <v>8</v>
      </c>
      <c r="AK1392" s="7" t="n">
        <v>8</v>
      </c>
      <c r="AL1392" s="7" t="n">
        <v>21</v>
      </c>
      <c r="AM1392" s="7" t="n">
        <v>23</v>
      </c>
      <c r="AN1392" s="7" t="n">
        <v>2</v>
      </c>
      <c r="AO1392" s="7" t="n">
        <v>2</v>
      </c>
      <c r="AP1392" s="7" t="n">
        <v>0</v>
      </c>
      <c r="AQ1392" s="7" t="n">
        <v>0</v>
      </c>
      <c r="AR1392" s="6" t="s">
        <v>63</v>
      </c>
      <c r="AS1392" s="6" t="s">
        <v>57</v>
      </c>
      <c r="AT1392" s="9" t="str">
        <f aca="false">HYPERLINK("http://catalog.hathitrust.org/Record/001916753","HathiTrust Record")</f>
        <v>HathiTrust Record</v>
      </c>
      <c r="AU1392" s="9" t="str">
        <f aca="false">HYPERLINK("https://creighton-primo.hosted.exlibrisgroup.com/primo-explore/search?tab=default_tab&amp;search_scope=EVERYTHING&amp;vid=01CRU&amp;lang=en_US&amp;offset=0&amp;query=any,contains,991000136149702656","Catalog Record")</f>
        <v>Catalog Record</v>
      </c>
      <c r="AV1392" s="9" t="str">
        <f aca="false">HYPERLINK("http://www.worldcat.org/oclc/56386","WorldCat Record")</f>
        <v>WorldCat Record</v>
      </c>
      <c r="AW1392" s="6" t="s">
        <v>10906</v>
      </c>
      <c r="AX1392" s="6" t="s">
        <v>10907</v>
      </c>
      <c r="AY1392" s="6" t="s">
        <v>10908</v>
      </c>
      <c r="AZ1392" s="6" t="s">
        <v>10908</v>
      </c>
      <c r="BA1392" s="6" t="s">
        <v>10909</v>
      </c>
      <c r="BB1392" s="28"/>
      <c r="BC1392" s="6" t="s">
        <v>10910</v>
      </c>
      <c r="BE1392" s="15" t="s">
        <v>2145</v>
      </c>
      <c r="BF1392" s="6" t="s">
        <v>10911</v>
      </c>
    </row>
    <row r="1393" customFormat="false" ht="82.5" hidden="false" customHeight="false" outlineLevel="0" collapsed="false">
      <c r="A1393" s="26" t="s">
        <v>63</v>
      </c>
      <c r="B1393" s="27" t="s">
        <v>2129</v>
      </c>
      <c r="C1393" s="27" t="s">
        <v>2130</v>
      </c>
      <c r="D1393" s="27" t="s">
        <v>10912</v>
      </c>
      <c r="E1393" s="27" t="s">
        <v>10913</v>
      </c>
      <c r="F1393" s="27" t="s">
        <v>10914</v>
      </c>
      <c r="G1393" s="28"/>
      <c r="H1393" s="6" t="s">
        <v>63</v>
      </c>
      <c r="I1393" s="6" t="s">
        <v>62</v>
      </c>
      <c r="J1393" s="6" t="s">
        <v>63</v>
      </c>
      <c r="K1393" s="6" t="s">
        <v>63</v>
      </c>
      <c r="L1393" s="6" t="s">
        <v>64</v>
      </c>
      <c r="M1393" s="27" t="s">
        <v>10915</v>
      </c>
      <c r="N1393" s="27" t="s">
        <v>10916</v>
      </c>
      <c r="O1393" s="6" t="s">
        <v>2343</v>
      </c>
      <c r="P1393" s="28"/>
      <c r="Q1393" s="6" t="s">
        <v>67</v>
      </c>
      <c r="R1393" s="6" t="s">
        <v>68</v>
      </c>
      <c r="S1393" s="28"/>
      <c r="T1393" s="6" t="s">
        <v>6138</v>
      </c>
      <c r="U1393" s="7" t="n">
        <v>4</v>
      </c>
      <c r="V1393" s="7" t="n">
        <v>4</v>
      </c>
      <c r="W1393" s="8" t="s">
        <v>10917</v>
      </c>
      <c r="X1393" s="8" t="s">
        <v>10917</v>
      </c>
      <c r="Y1393" s="8" t="s">
        <v>10754</v>
      </c>
      <c r="Z1393" s="8" t="s">
        <v>10754</v>
      </c>
      <c r="AA1393" s="7" t="n">
        <v>377</v>
      </c>
      <c r="AB1393" s="7" t="n">
        <v>327</v>
      </c>
      <c r="AC1393" s="7" t="n">
        <v>329</v>
      </c>
      <c r="AD1393" s="7" t="n">
        <v>3</v>
      </c>
      <c r="AE1393" s="7" t="n">
        <v>3</v>
      </c>
      <c r="AF1393" s="7" t="n">
        <v>24</v>
      </c>
      <c r="AG1393" s="7" t="n">
        <v>24</v>
      </c>
      <c r="AH1393" s="7" t="n">
        <v>10</v>
      </c>
      <c r="AI1393" s="7" t="n">
        <v>10</v>
      </c>
      <c r="AJ1393" s="7" t="n">
        <v>3</v>
      </c>
      <c r="AK1393" s="7" t="n">
        <v>3</v>
      </c>
      <c r="AL1393" s="7" t="n">
        <v>18</v>
      </c>
      <c r="AM1393" s="7" t="n">
        <v>18</v>
      </c>
      <c r="AN1393" s="7" t="n">
        <v>1</v>
      </c>
      <c r="AO1393" s="7" t="n">
        <v>1</v>
      </c>
      <c r="AP1393" s="7" t="n">
        <v>0</v>
      </c>
      <c r="AQ1393" s="7" t="n">
        <v>0</v>
      </c>
      <c r="AR1393" s="6" t="s">
        <v>63</v>
      </c>
      <c r="AS1393" s="6" t="s">
        <v>57</v>
      </c>
      <c r="AT1393" s="9" t="str">
        <f aca="false">HYPERLINK("http://catalog.hathitrust.org/Record/000098630","HathiTrust Record")</f>
        <v>HathiTrust Record</v>
      </c>
      <c r="AU1393" s="9" t="str">
        <f aca="false">HYPERLINK("https://creighton-primo.hosted.exlibrisgroup.com/primo-explore/search?tab=default_tab&amp;search_scope=EVERYTHING&amp;vid=01CRU&amp;lang=en_US&amp;offset=0&amp;query=any,contains,991005050619702656","Catalog Record")</f>
        <v>Catalog Record</v>
      </c>
      <c r="AV1393" s="9" t="str">
        <f aca="false">HYPERLINK("http://www.worldcat.org/oclc/6864416","WorldCat Record")</f>
        <v>WorldCat Record</v>
      </c>
      <c r="AW1393" s="6" t="s">
        <v>10918</v>
      </c>
      <c r="AX1393" s="6" t="s">
        <v>10919</v>
      </c>
      <c r="AY1393" s="6" t="s">
        <v>10920</v>
      </c>
      <c r="AZ1393" s="6" t="s">
        <v>10920</v>
      </c>
      <c r="BA1393" s="6" t="s">
        <v>10921</v>
      </c>
      <c r="BB1393" s="6" t="s">
        <v>10922</v>
      </c>
      <c r="BC1393" s="6" t="s">
        <v>10923</v>
      </c>
      <c r="BE1393" s="15" t="s">
        <v>2145</v>
      </c>
      <c r="BF1393" s="6" t="s">
        <v>10924</v>
      </c>
    </row>
    <row r="1394" customFormat="false" ht="82.5" hidden="false" customHeight="false" outlineLevel="0" collapsed="false">
      <c r="A1394" s="26" t="s">
        <v>63</v>
      </c>
      <c r="B1394" s="27" t="s">
        <v>2129</v>
      </c>
      <c r="C1394" s="27" t="s">
        <v>2130</v>
      </c>
      <c r="D1394" s="27" t="s">
        <v>10925</v>
      </c>
      <c r="E1394" s="27" t="s">
        <v>10926</v>
      </c>
      <c r="F1394" s="27" t="s">
        <v>10927</v>
      </c>
      <c r="G1394" s="28"/>
      <c r="H1394" s="6" t="s">
        <v>63</v>
      </c>
      <c r="I1394" s="6" t="s">
        <v>62</v>
      </c>
      <c r="J1394" s="6" t="s">
        <v>63</v>
      </c>
      <c r="K1394" s="6" t="s">
        <v>63</v>
      </c>
      <c r="L1394" s="6" t="s">
        <v>64</v>
      </c>
      <c r="M1394" s="27" t="s">
        <v>10928</v>
      </c>
      <c r="N1394" s="27" t="s">
        <v>10929</v>
      </c>
      <c r="O1394" s="6" t="s">
        <v>2797</v>
      </c>
      <c r="P1394" s="28"/>
      <c r="Q1394" s="6" t="s">
        <v>4501</v>
      </c>
      <c r="R1394" s="6" t="s">
        <v>367</v>
      </c>
      <c r="S1394" s="28"/>
      <c r="T1394" s="6" t="s">
        <v>6138</v>
      </c>
      <c r="U1394" s="7" t="n">
        <v>2</v>
      </c>
      <c r="V1394" s="7" t="n">
        <v>2</v>
      </c>
      <c r="W1394" s="8" t="s">
        <v>10930</v>
      </c>
      <c r="X1394" s="8" t="s">
        <v>10930</v>
      </c>
      <c r="Y1394" s="8" t="s">
        <v>10754</v>
      </c>
      <c r="Z1394" s="8" t="s">
        <v>10754</v>
      </c>
      <c r="AA1394" s="7" t="n">
        <v>57</v>
      </c>
      <c r="AB1394" s="7" t="n">
        <v>38</v>
      </c>
      <c r="AC1394" s="7" t="n">
        <v>40</v>
      </c>
      <c r="AD1394" s="7" t="n">
        <v>1</v>
      </c>
      <c r="AE1394" s="7" t="n">
        <v>1</v>
      </c>
      <c r="AF1394" s="7" t="n">
        <v>8</v>
      </c>
      <c r="AG1394" s="7" t="n">
        <v>8</v>
      </c>
      <c r="AH1394" s="7" t="n">
        <v>0</v>
      </c>
      <c r="AI1394" s="7" t="n">
        <v>0</v>
      </c>
      <c r="AJ1394" s="7" t="n">
        <v>2</v>
      </c>
      <c r="AK1394" s="7" t="n">
        <v>2</v>
      </c>
      <c r="AL1394" s="7" t="n">
        <v>8</v>
      </c>
      <c r="AM1394" s="7" t="n">
        <v>8</v>
      </c>
      <c r="AN1394" s="7" t="n">
        <v>0</v>
      </c>
      <c r="AO1394" s="7" t="n">
        <v>0</v>
      </c>
      <c r="AP1394" s="7" t="n">
        <v>0</v>
      </c>
      <c r="AQ1394" s="7" t="n">
        <v>0</v>
      </c>
      <c r="AR1394" s="6" t="s">
        <v>63</v>
      </c>
      <c r="AS1394" s="6" t="s">
        <v>57</v>
      </c>
      <c r="AT1394" s="9" t="str">
        <f aca="false">HYPERLINK("http://catalog.hathitrust.org/Record/001958415","HathiTrust Record")</f>
        <v>HathiTrust Record</v>
      </c>
      <c r="AU1394" s="9" t="str">
        <f aca="false">HYPERLINK("https://creighton-primo.hosted.exlibrisgroup.com/primo-explore/search?tab=default_tab&amp;search_scope=EVERYTHING&amp;vid=01CRU&amp;lang=en_US&amp;offset=0&amp;query=any,contains,991003517749702656","Catalog Record")</f>
        <v>Catalog Record</v>
      </c>
      <c r="AV1394" s="9" t="str">
        <f aca="false">HYPERLINK("http://www.worldcat.org/oclc/1076132","WorldCat Record")</f>
        <v>WorldCat Record</v>
      </c>
      <c r="AW1394" s="6" t="s">
        <v>10931</v>
      </c>
      <c r="AX1394" s="6" t="s">
        <v>10932</v>
      </c>
      <c r="AY1394" s="6" t="s">
        <v>10933</v>
      </c>
      <c r="AZ1394" s="6" t="s">
        <v>10933</v>
      </c>
      <c r="BA1394" s="6" t="s">
        <v>10934</v>
      </c>
      <c r="BB1394" s="28"/>
      <c r="BC1394" s="6" t="s">
        <v>10935</v>
      </c>
      <c r="BE1394" s="15" t="s">
        <v>2145</v>
      </c>
      <c r="BF1394" s="6" t="s">
        <v>10936</v>
      </c>
    </row>
    <row r="1395" customFormat="false" ht="117" hidden="false" customHeight="false" outlineLevel="0" collapsed="false">
      <c r="A1395" s="26" t="s">
        <v>63</v>
      </c>
      <c r="B1395" s="27" t="s">
        <v>2129</v>
      </c>
      <c r="C1395" s="27" t="s">
        <v>2130</v>
      </c>
      <c r="D1395" s="27" t="s">
        <v>10937</v>
      </c>
      <c r="E1395" s="27" t="s">
        <v>10938</v>
      </c>
      <c r="F1395" s="27" t="s">
        <v>10939</v>
      </c>
      <c r="G1395" s="28"/>
      <c r="H1395" s="6" t="s">
        <v>63</v>
      </c>
      <c r="I1395" s="6" t="s">
        <v>62</v>
      </c>
      <c r="J1395" s="6" t="s">
        <v>63</v>
      </c>
      <c r="K1395" s="6" t="s">
        <v>63</v>
      </c>
      <c r="L1395" s="6" t="s">
        <v>64</v>
      </c>
      <c r="M1395" s="27" t="s">
        <v>10816</v>
      </c>
      <c r="N1395" s="27" t="s">
        <v>10940</v>
      </c>
      <c r="O1395" s="6" t="s">
        <v>2329</v>
      </c>
      <c r="P1395" s="28"/>
      <c r="Q1395" s="6" t="s">
        <v>4501</v>
      </c>
      <c r="R1395" s="6" t="s">
        <v>671</v>
      </c>
      <c r="S1395" s="28"/>
      <c r="T1395" s="6" t="s">
        <v>6138</v>
      </c>
      <c r="U1395" s="7" t="n">
        <v>1</v>
      </c>
      <c r="V1395" s="7" t="n">
        <v>1</v>
      </c>
      <c r="W1395" s="8" t="s">
        <v>10941</v>
      </c>
      <c r="X1395" s="8" t="s">
        <v>10941</v>
      </c>
      <c r="Y1395" s="8" t="s">
        <v>10941</v>
      </c>
      <c r="Z1395" s="8" t="s">
        <v>10941</v>
      </c>
      <c r="AA1395" s="7" t="n">
        <v>226</v>
      </c>
      <c r="AB1395" s="7" t="n">
        <v>161</v>
      </c>
      <c r="AC1395" s="7" t="n">
        <v>172</v>
      </c>
      <c r="AD1395" s="7" t="n">
        <v>2</v>
      </c>
      <c r="AE1395" s="7" t="n">
        <v>2</v>
      </c>
      <c r="AF1395" s="7" t="n">
        <v>24</v>
      </c>
      <c r="AG1395" s="7" t="n">
        <v>26</v>
      </c>
      <c r="AH1395" s="7" t="n">
        <v>7</v>
      </c>
      <c r="AI1395" s="7" t="n">
        <v>7</v>
      </c>
      <c r="AJ1395" s="7" t="n">
        <v>5</v>
      </c>
      <c r="AK1395" s="7" t="n">
        <v>6</v>
      </c>
      <c r="AL1395" s="7" t="n">
        <v>22</v>
      </c>
      <c r="AM1395" s="7" t="n">
        <v>23</v>
      </c>
      <c r="AN1395" s="7" t="n">
        <v>1</v>
      </c>
      <c r="AO1395" s="7" t="n">
        <v>1</v>
      </c>
      <c r="AP1395" s="7" t="n">
        <v>0</v>
      </c>
      <c r="AQ1395" s="7" t="n">
        <v>0</v>
      </c>
      <c r="AR1395" s="6" t="s">
        <v>63</v>
      </c>
      <c r="AS1395" s="6" t="s">
        <v>57</v>
      </c>
      <c r="AT1395" s="9" t="str">
        <f aca="false">HYPERLINK("http://catalog.hathitrust.org/Record/001385043","HathiTrust Record")</f>
        <v>HathiTrust Record</v>
      </c>
      <c r="AU1395" s="9" t="str">
        <f aca="false">HYPERLINK("https://creighton-primo.hosted.exlibrisgroup.com/primo-explore/search?tab=default_tab&amp;search_scope=EVERYTHING&amp;vid=01CRU&amp;lang=en_US&amp;offset=0&amp;query=any,contains,991005290449702656","Catalog Record")</f>
        <v>Catalog Record</v>
      </c>
      <c r="AV1395" s="9" t="str">
        <f aca="false">HYPERLINK("http://www.worldcat.org/oclc/853178","WorldCat Record")</f>
        <v>WorldCat Record</v>
      </c>
      <c r="AW1395" s="6" t="s">
        <v>10942</v>
      </c>
      <c r="AX1395" s="6" t="s">
        <v>10943</v>
      </c>
      <c r="AY1395" s="6" t="s">
        <v>10944</v>
      </c>
      <c r="AZ1395" s="6" t="s">
        <v>10944</v>
      </c>
      <c r="BA1395" s="6" t="s">
        <v>10945</v>
      </c>
      <c r="BB1395" s="28"/>
      <c r="BC1395" s="6" t="s">
        <v>10946</v>
      </c>
      <c r="BE1395" s="15" t="s">
        <v>2145</v>
      </c>
      <c r="BF1395" s="6" t="s">
        <v>10947</v>
      </c>
    </row>
    <row r="1396" customFormat="false" ht="59.5" hidden="false" customHeight="false" outlineLevel="0" collapsed="false">
      <c r="A1396" s="26" t="s">
        <v>63</v>
      </c>
      <c r="B1396" s="27" t="s">
        <v>2129</v>
      </c>
      <c r="C1396" s="27" t="s">
        <v>2130</v>
      </c>
      <c r="D1396" s="27" t="s">
        <v>10948</v>
      </c>
      <c r="E1396" s="27" t="s">
        <v>10949</v>
      </c>
      <c r="F1396" s="27" t="s">
        <v>10950</v>
      </c>
      <c r="G1396" s="28"/>
      <c r="H1396" s="6" t="s">
        <v>63</v>
      </c>
      <c r="I1396" s="6" t="s">
        <v>62</v>
      </c>
      <c r="J1396" s="6" t="s">
        <v>63</v>
      </c>
      <c r="K1396" s="6" t="s">
        <v>63</v>
      </c>
      <c r="L1396" s="6" t="s">
        <v>64</v>
      </c>
      <c r="M1396" s="27" t="s">
        <v>10951</v>
      </c>
      <c r="N1396" s="27" t="s">
        <v>10952</v>
      </c>
      <c r="O1396" s="6" t="s">
        <v>3340</v>
      </c>
      <c r="P1396" s="27" t="s">
        <v>327</v>
      </c>
      <c r="Q1396" s="6" t="s">
        <v>67</v>
      </c>
      <c r="R1396" s="6" t="s">
        <v>68</v>
      </c>
      <c r="S1396" s="28"/>
      <c r="T1396" s="6" t="s">
        <v>6138</v>
      </c>
      <c r="U1396" s="7" t="n">
        <v>4</v>
      </c>
      <c r="V1396" s="7" t="n">
        <v>4</v>
      </c>
      <c r="W1396" s="8" t="s">
        <v>4609</v>
      </c>
      <c r="X1396" s="8" t="s">
        <v>4609</v>
      </c>
      <c r="Y1396" s="8" t="s">
        <v>10754</v>
      </c>
      <c r="Z1396" s="8" t="s">
        <v>10754</v>
      </c>
      <c r="AA1396" s="7" t="n">
        <v>1058</v>
      </c>
      <c r="AB1396" s="7" t="n">
        <v>972</v>
      </c>
      <c r="AC1396" s="7" t="n">
        <v>1104</v>
      </c>
      <c r="AD1396" s="7" t="n">
        <v>8</v>
      </c>
      <c r="AE1396" s="7" t="n">
        <v>8</v>
      </c>
      <c r="AF1396" s="7" t="n">
        <v>39</v>
      </c>
      <c r="AG1396" s="7" t="n">
        <v>44</v>
      </c>
      <c r="AH1396" s="7" t="n">
        <v>13</v>
      </c>
      <c r="AI1396" s="7" t="n">
        <v>16</v>
      </c>
      <c r="AJ1396" s="7" t="n">
        <v>9</v>
      </c>
      <c r="AK1396" s="7" t="n">
        <v>9</v>
      </c>
      <c r="AL1396" s="7" t="n">
        <v>24</v>
      </c>
      <c r="AM1396" s="7" t="n">
        <v>27</v>
      </c>
      <c r="AN1396" s="7" t="n">
        <v>5</v>
      </c>
      <c r="AO1396" s="7" t="n">
        <v>5</v>
      </c>
      <c r="AP1396" s="7" t="n">
        <v>0</v>
      </c>
      <c r="AQ1396" s="7" t="n">
        <v>0</v>
      </c>
      <c r="AR1396" s="6" t="s">
        <v>63</v>
      </c>
      <c r="AS1396" s="6" t="s">
        <v>57</v>
      </c>
      <c r="AT1396" s="9" t="str">
        <f aca="false">HYPERLINK("http://catalog.hathitrust.org/Record/000729802","HathiTrust Record")</f>
        <v>HathiTrust Record</v>
      </c>
      <c r="AU1396" s="9" t="str">
        <f aca="false">HYPERLINK("https://creighton-primo.hosted.exlibrisgroup.com/primo-explore/search?tab=default_tab&amp;search_scope=EVERYTHING&amp;vid=01CRU&amp;lang=en_US&amp;offset=0&amp;query=any,contains,991004156239702656","Catalog Record")</f>
        <v>Catalog Record</v>
      </c>
      <c r="AV1396" s="9" t="str">
        <f aca="false">HYPERLINK("http://www.worldcat.org/oclc/2542005","WorldCat Record")</f>
        <v>WorldCat Record</v>
      </c>
      <c r="AW1396" s="6" t="s">
        <v>10953</v>
      </c>
      <c r="AX1396" s="6" t="s">
        <v>10954</v>
      </c>
      <c r="AY1396" s="6" t="s">
        <v>10955</v>
      </c>
      <c r="AZ1396" s="6" t="s">
        <v>10955</v>
      </c>
      <c r="BA1396" s="6" t="s">
        <v>10956</v>
      </c>
      <c r="BB1396" s="6" t="s">
        <v>10957</v>
      </c>
      <c r="BC1396" s="6" t="s">
        <v>10958</v>
      </c>
      <c r="BE1396" s="15" t="s">
        <v>2145</v>
      </c>
      <c r="BF1396" s="6" t="s">
        <v>10959</v>
      </c>
    </row>
    <row r="1397" customFormat="false" ht="151.5" hidden="false" customHeight="false" outlineLevel="0" collapsed="false">
      <c r="A1397" s="26" t="s">
        <v>63</v>
      </c>
      <c r="B1397" s="27" t="s">
        <v>2129</v>
      </c>
      <c r="C1397" s="27" t="s">
        <v>2130</v>
      </c>
      <c r="D1397" s="27" t="s">
        <v>10960</v>
      </c>
      <c r="E1397" s="27" t="s">
        <v>10961</v>
      </c>
      <c r="F1397" s="27" t="s">
        <v>10962</v>
      </c>
      <c r="G1397" s="28"/>
      <c r="H1397" s="6" t="s">
        <v>63</v>
      </c>
      <c r="I1397" s="6" t="s">
        <v>62</v>
      </c>
      <c r="J1397" s="6" t="s">
        <v>63</v>
      </c>
      <c r="K1397" s="6" t="s">
        <v>63</v>
      </c>
      <c r="L1397" s="6" t="s">
        <v>64</v>
      </c>
      <c r="M1397" s="27" t="s">
        <v>10963</v>
      </c>
      <c r="N1397" s="27" t="s">
        <v>10964</v>
      </c>
      <c r="O1397" s="6" t="s">
        <v>2343</v>
      </c>
      <c r="P1397" s="28"/>
      <c r="Q1397" s="6" t="s">
        <v>67</v>
      </c>
      <c r="R1397" s="6" t="s">
        <v>68</v>
      </c>
      <c r="S1397" s="27" t="s">
        <v>10965</v>
      </c>
      <c r="T1397" s="6" t="s">
        <v>6138</v>
      </c>
      <c r="U1397" s="7" t="n">
        <v>2</v>
      </c>
      <c r="V1397" s="7" t="n">
        <v>2</v>
      </c>
      <c r="W1397" s="8" t="s">
        <v>10843</v>
      </c>
      <c r="X1397" s="8" t="s">
        <v>10843</v>
      </c>
      <c r="Y1397" s="8" t="s">
        <v>10754</v>
      </c>
      <c r="Z1397" s="8" t="s">
        <v>10754</v>
      </c>
      <c r="AA1397" s="7" t="n">
        <v>333</v>
      </c>
      <c r="AB1397" s="7" t="n">
        <v>254</v>
      </c>
      <c r="AC1397" s="7" t="n">
        <v>260</v>
      </c>
      <c r="AD1397" s="7" t="n">
        <v>2</v>
      </c>
      <c r="AE1397" s="7" t="n">
        <v>2</v>
      </c>
      <c r="AF1397" s="7" t="n">
        <v>21</v>
      </c>
      <c r="AG1397" s="7" t="n">
        <v>21</v>
      </c>
      <c r="AH1397" s="7" t="n">
        <v>5</v>
      </c>
      <c r="AI1397" s="7" t="n">
        <v>5</v>
      </c>
      <c r="AJ1397" s="7" t="n">
        <v>6</v>
      </c>
      <c r="AK1397" s="7" t="n">
        <v>6</v>
      </c>
      <c r="AL1397" s="7" t="n">
        <v>18</v>
      </c>
      <c r="AM1397" s="7" t="n">
        <v>18</v>
      </c>
      <c r="AN1397" s="7" t="n">
        <v>1</v>
      </c>
      <c r="AO1397" s="7" t="n">
        <v>1</v>
      </c>
      <c r="AP1397" s="7" t="n">
        <v>0</v>
      </c>
      <c r="AQ1397" s="7" t="n">
        <v>0</v>
      </c>
      <c r="AR1397" s="6" t="s">
        <v>63</v>
      </c>
      <c r="AS1397" s="6" t="s">
        <v>57</v>
      </c>
      <c r="AT1397" s="9" t="str">
        <f aca="false">HYPERLINK("http://catalog.hathitrust.org/Record/000182352","HathiTrust Record")</f>
        <v>HathiTrust Record</v>
      </c>
      <c r="AU1397" s="9" t="str">
        <f aca="false">HYPERLINK("https://creighton-primo.hosted.exlibrisgroup.com/primo-explore/search?tab=default_tab&amp;search_scope=EVERYTHING&amp;vid=01CRU&amp;lang=en_US&amp;offset=0&amp;query=any,contains,991005102399702656","Catalog Record")</f>
        <v>Catalog Record</v>
      </c>
      <c r="AV1397" s="9" t="str">
        <f aca="false">HYPERLINK("http://www.worldcat.org/oclc/7306220","WorldCat Record")</f>
        <v>WorldCat Record</v>
      </c>
      <c r="AW1397" s="6" t="s">
        <v>10966</v>
      </c>
      <c r="AX1397" s="6" t="s">
        <v>10967</v>
      </c>
      <c r="AY1397" s="6" t="s">
        <v>10968</v>
      </c>
      <c r="AZ1397" s="6" t="s">
        <v>10968</v>
      </c>
      <c r="BA1397" s="6" t="s">
        <v>10969</v>
      </c>
      <c r="BB1397" s="6" t="s">
        <v>10970</v>
      </c>
      <c r="BC1397" s="6" t="s">
        <v>10971</v>
      </c>
      <c r="BE1397" s="15" t="s">
        <v>2145</v>
      </c>
      <c r="BF1397" s="6" t="s">
        <v>10972</v>
      </c>
    </row>
    <row r="1398" customFormat="false" ht="94" hidden="false" customHeight="false" outlineLevel="0" collapsed="false">
      <c r="A1398" s="26" t="s">
        <v>63</v>
      </c>
      <c r="B1398" s="27" t="s">
        <v>2129</v>
      </c>
      <c r="C1398" s="27" t="s">
        <v>2130</v>
      </c>
      <c r="D1398" s="27" t="s">
        <v>10973</v>
      </c>
      <c r="E1398" s="27" t="s">
        <v>10974</v>
      </c>
      <c r="F1398" s="27" t="s">
        <v>10975</v>
      </c>
      <c r="G1398" s="28"/>
      <c r="H1398" s="6" t="s">
        <v>63</v>
      </c>
      <c r="I1398" s="6" t="s">
        <v>62</v>
      </c>
      <c r="J1398" s="6" t="s">
        <v>63</v>
      </c>
      <c r="K1398" s="6" t="s">
        <v>63</v>
      </c>
      <c r="L1398" s="6" t="s">
        <v>64</v>
      </c>
      <c r="M1398" s="27" t="s">
        <v>10976</v>
      </c>
      <c r="N1398" s="27" t="s">
        <v>10977</v>
      </c>
      <c r="O1398" s="6" t="s">
        <v>2467</v>
      </c>
      <c r="P1398" s="28"/>
      <c r="Q1398" s="6" t="s">
        <v>67</v>
      </c>
      <c r="R1398" s="6" t="s">
        <v>4707</v>
      </c>
      <c r="S1398" s="27" t="s">
        <v>10978</v>
      </c>
      <c r="T1398" s="6" t="s">
        <v>6138</v>
      </c>
      <c r="U1398" s="7" t="n">
        <v>4</v>
      </c>
      <c r="V1398" s="7" t="n">
        <v>4</v>
      </c>
      <c r="W1398" s="8" t="s">
        <v>3056</v>
      </c>
      <c r="X1398" s="8" t="s">
        <v>3056</v>
      </c>
      <c r="Y1398" s="8" t="s">
        <v>10754</v>
      </c>
      <c r="Z1398" s="8" t="s">
        <v>10754</v>
      </c>
      <c r="AA1398" s="7" t="n">
        <v>413</v>
      </c>
      <c r="AB1398" s="7" t="n">
        <v>362</v>
      </c>
      <c r="AC1398" s="7" t="n">
        <v>369</v>
      </c>
      <c r="AD1398" s="7" t="n">
        <v>4</v>
      </c>
      <c r="AE1398" s="7" t="n">
        <v>4</v>
      </c>
      <c r="AF1398" s="7" t="n">
        <v>36</v>
      </c>
      <c r="AG1398" s="7" t="n">
        <v>36</v>
      </c>
      <c r="AH1398" s="7" t="n">
        <v>10</v>
      </c>
      <c r="AI1398" s="7" t="n">
        <v>10</v>
      </c>
      <c r="AJ1398" s="7" t="n">
        <v>10</v>
      </c>
      <c r="AK1398" s="7" t="n">
        <v>10</v>
      </c>
      <c r="AL1398" s="7" t="n">
        <v>26</v>
      </c>
      <c r="AM1398" s="7" t="n">
        <v>26</v>
      </c>
      <c r="AN1398" s="7" t="n">
        <v>2</v>
      </c>
      <c r="AO1398" s="7" t="n">
        <v>2</v>
      </c>
      <c r="AP1398" s="7" t="n">
        <v>0</v>
      </c>
      <c r="AQ1398" s="7" t="n">
        <v>0</v>
      </c>
      <c r="AR1398" s="6" t="s">
        <v>63</v>
      </c>
      <c r="AS1398" s="6" t="s">
        <v>57</v>
      </c>
      <c r="AT1398" s="9" t="str">
        <f aca="false">HYPERLINK("http://catalog.hathitrust.org/Record/001385052","HathiTrust Record")</f>
        <v>HathiTrust Record</v>
      </c>
      <c r="AU1398" s="9" t="str">
        <f aca="false">HYPERLINK("https://creighton-primo.hosted.exlibrisgroup.com/primo-explore/search?tab=default_tab&amp;search_scope=EVERYTHING&amp;vid=01CRU&amp;lang=en_US&amp;offset=0&amp;query=any,contains,991001931699702656","Catalog Record")</f>
        <v>Catalog Record</v>
      </c>
      <c r="AV1398" s="9" t="str">
        <f aca="false">HYPERLINK("http://www.worldcat.org/oclc/249104","WorldCat Record")</f>
        <v>WorldCat Record</v>
      </c>
      <c r="AW1398" s="6" t="s">
        <v>10979</v>
      </c>
      <c r="AX1398" s="6" t="s">
        <v>10980</v>
      </c>
      <c r="AY1398" s="6" t="s">
        <v>10981</v>
      </c>
      <c r="AZ1398" s="6" t="s">
        <v>10981</v>
      </c>
      <c r="BA1398" s="6" t="s">
        <v>10982</v>
      </c>
      <c r="BB1398" s="28"/>
      <c r="BC1398" s="6" t="s">
        <v>10983</v>
      </c>
      <c r="BE1398" s="15" t="s">
        <v>2145</v>
      </c>
      <c r="BF1398" s="6" t="s">
        <v>10984</v>
      </c>
    </row>
    <row r="1399" customFormat="false" ht="117" hidden="false" customHeight="false" outlineLevel="0" collapsed="false">
      <c r="A1399" s="26" t="s">
        <v>63</v>
      </c>
      <c r="B1399" s="27" t="s">
        <v>2129</v>
      </c>
      <c r="C1399" s="27" t="s">
        <v>2130</v>
      </c>
      <c r="D1399" s="27" t="s">
        <v>10985</v>
      </c>
      <c r="E1399" s="27" t="s">
        <v>10986</v>
      </c>
      <c r="F1399" s="27" t="s">
        <v>10987</v>
      </c>
      <c r="G1399" s="28"/>
      <c r="H1399" s="6" t="s">
        <v>63</v>
      </c>
      <c r="I1399" s="6" t="s">
        <v>62</v>
      </c>
      <c r="J1399" s="6" t="s">
        <v>63</v>
      </c>
      <c r="K1399" s="6" t="s">
        <v>63</v>
      </c>
      <c r="L1399" s="6" t="s">
        <v>64</v>
      </c>
      <c r="M1399" s="27" t="s">
        <v>10988</v>
      </c>
      <c r="N1399" s="27" t="s">
        <v>10989</v>
      </c>
      <c r="O1399" s="6" t="s">
        <v>2467</v>
      </c>
      <c r="P1399" s="28"/>
      <c r="Q1399" s="6" t="s">
        <v>67</v>
      </c>
      <c r="R1399" s="6" t="s">
        <v>68</v>
      </c>
      <c r="S1399" s="28"/>
      <c r="T1399" s="6" t="s">
        <v>6138</v>
      </c>
      <c r="U1399" s="7" t="n">
        <v>2</v>
      </c>
      <c r="V1399" s="7" t="n">
        <v>2</v>
      </c>
      <c r="W1399" s="8" t="s">
        <v>10905</v>
      </c>
      <c r="X1399" s="8" t="s">
        <v>10905</v>
      </c>
      <c r="Y1399" s="8" t="s">
        <v>10754</v>
      </c>
      <c r="Z1399" s="8" t="s">
        <v>10754</v>
      </c>
      <c r="AA1399" s="7" t="n">
        <v>591</v>
      </c>
      <c r="AB1399" s="7" t="n">
        <v>567</v>
      </c>
      <c r="AC1399" s="7" t="n">
        <v>629</v>
      </c>
      <c r="AD1399" s="7" t="n">
        <v>2</v>
      </c>
      <c r="AE1399" s="7" t="n">
        <v>2</v>
      </c>
      <c r="AF1399" s="7" t="n">
        <v>34</v>
      </c>
      <c r="AG1399" s="7" t="n">
        <v>36</v>
      </c>
      <c r="AH1399" s="7" t="n">
        <v>13</v>
      </c>
      <c r="AI1399" s="7" t="n">
        <v>13</v>
      </c>
      <c r="AJ1399" s="7" t="n">
        <v>7</v>
      </c>
      <c r="AK1399" s="7" t="n">
        <v>8</v>
      </c>
      <c r="AL1399" s="7" t="n">
        <v>26</v>
      </c>
      <c r="AM1399" s="7" t="n">
        <v>27</v>
      </c>
      <c r="AN1399" s="7" t="n">
        <v>1</v>
      </c>
      <c r="AO1399" s="7" t="n">
        <v>1</v>
      </c>
      <c r="AP1399" s="7" t="n">
        <v>0</v>
      </c>
      <c r="AQ1399" s="7" t="n">
        <v>0</v>
      </c>
      <c r="AR1399" s="6" t="s">
        <v>63</v>
      </c>
      <c r="AS1399" s="6" t="s">
        <v>57</v>
      </c>
      <c r="AT1399" s="9" t="str">
        <f aca="false">HYPERLINK("http://catalog.hathitrust.org/Record/001385062","HathiTrust Record")</f>
        <v>HathiTrust Record</v>
      </c>
      <c r="AU1399" s="9" t="str">
        <f aca="false">HYPERLINK("https://creighton-primo.hosted.exlibrisgroup.com/primo-explore/search?tab=default_tab&amp;search_scope=EVERYTHING&amp;vid=01CRU&amp;lang=en_US&amp;offset=0&amp;query=any,contains,991000938799702656","Catalog Record")</f>
        <v>Catalog Record</v>
      </c>
      <c r="AV1399" s="9" t="str">
        <f aca="false">HYPERLINK("http://www.worldcat.org/oclc/165719","WorldCat Record")</f>
        <v>WorldCat Record</v>
      </c>
      <c r="AW1399" s="6" t="s">
        <v>10990</v>
      </c>
      <c r="AX1399" s="6" t="s">
        <v>10991</v>
      </c>
      <c r="AY1399" s="6" t="s">
        <v>10992</v>
      </c>
      <c r="AZ1399" s="6" t="s">
        <v>10992</v>
      </c>
      <c r="BA1399" s="6" t="s">
        <v>10993</v>
      </c>
      <c r="BB1399" s="28"/>
      <c r="BC1399" s="6" t="s">
        <v>10994</v>
      </c>
      <c r="BE1399" s="15" t="s">
        <v>2145</v>
      </c>
      <c r="BF1399" s="6" t="s">
        <v>10995</v>
      </c>
    </row>
    <row r="1400" customFormat="false" ht="243.5" hidden="false" customHeight="false" outlineLevel="0" collapsed="false">
      <c r="A1400" s="26" t="s">
        <v>63</v>
      </c>
      <c r="B1400" s="27" t="s">
        <v>2129</v>
      </c>
      <c r="C1400" s="27" t="s">
        <v>2130</v>
      </c>
      <c r="D1400" s="27" t="s">
        <v>10996</v>
      </c>
      <c r="E1400" s="27" t="s">
        <v>10997</v>
      </c>
      <c r="F1400" s="27" t="s">
        <v>10998</v>
      </c>
      <c r="G1400" s="28"/>
      <c r="H1400" s="6" t="s">
        <v>63</v>
      </c>
      <c r="I1400" s="6" t="s">
        <v>62</v>
      </c>
      <c r="J1400" s="6" t="s">
        <v>63</v>
      </c>
      <c r="K1400" s="6" t="s">
        <v>63</v>
      </c>
      <c r="L1400" s="6" t="s">
        <v>64</v>
      </c>
      <c r="M1400" s="27" t="s">
        <v>10999</v>
      </c>
      <c r="N1400" s="27" t="s">
        <v>11000</v>
      </c>
      <c r="O1400" s="6" t="s">
        <v>2467</v>
      </c>
      <c r="P1400" s="28"/>
      <c r="Q1400" s="6" t="s">
        <v>67</v>
      </c>
      <c r="R1400" s="6" t="s">
        <v>1224</v>
      </c>
      <c r="S1400" s="28"/>
      <c r="T1400" s="6" t="s">
        <v>6138</v>
      </c>
      <c r="U1400" s="7" t="n">
        <v>2</v>
      </c>
      <c r="V1400" s="7" t="n">
        <v>2</v>
      </c>
      <c r="W1400" s="8" t="s">
        <v>4609</v>
      </c>
      <c r="X1400" s="8" t="s">
        <v>4609</v>
      </c>
      <c r="Y1400" s="8" t="s">
        <v>10754</v>
      </c>
      <c r="Z1400" s="8" t="s">
        <v>10754</v>
      </c>
      <c r="AA1400" s="7" t="n">
        <v>368</v>
      </c>
      <c r="AB1400" s="7" t="n">
        <v>346</v>
      </c>
      <c r="AC1400" s="7" t="n">
        <v>367</v>
      </c>
      <c r="AD1400" s="7" t="n">
        <v>3</v>
      </c>
      <c r="AE1400" s="7" t="n">
        <v>3</v>
      </c>
      <c r="AF1400" s="7" t="n">
        <v>33</v>
      </c>
      <c r="AG1400" s="7" t="n">
        <v>34</v>
      </c>
      <c r="AH1400" s="7" t="n">
        <v>12</v>
      </c>
      <c r="AI1400" s="7" t="n">
        <v>13</v>
      </c>
      <c r="AJ1400" s="7" t="n">
        <v>6</v>
      </c>
      <c r="AK1400" s="7" t="n">
        <v>6</v>
      </c>
      <c r="AL1400" s="7" t="n">
        <v>24</v>
      </c>
      <c r="AM1400" s="7" t="n">
        <v>25</v>
      </c>
      <c r="AN1400" s="7" t="n">
        <v>1</v>
      </c>
      <c r="AO1400" s="7" t="n">
        <v>1</v>
      </c>
      <c r="AP1400" s="7" t="n">
        <v>0</v>
      </c>
      <c r="AQ1400" s="7" t="n">
        <v>0</v>
      </c>
      <c r="AR1400" s="6" t="s">
        <v>63</v>
      </c>
      <c r="AS1400" s="6" t="s">
        <v>57</v>
      </c>
      <c r="AT1400" s="9" t="str">
        <f aca="false">HYPERLINK("http://catalog.hathitrust.org/Record/009512103","HathiTrust Record")</f>
        <v>HathiTrust Record</v>
      </c>
      <c r="AU1400" s="9" t="str">
        <f aca="false">HYPERLINK("https://creighton-primo.hosted.exlibrisgroup.com/primo-explore/search?tab=default_tab&amp;search_scope=EVERYTHING&amp;vid=01CRU&amp;lang=en_US&amp;offset=0&amp;query=any,contains,991003140809702656","Catalog Record")</f>
        <v>Catalog Record</v>
      </c>
      <c r="AV1400" s="9" t="str">
        <f aca="false">HYPERLINK("http://www.worldcat.org/oclc/682282","WorldCat Record")</f>
        <v>WorldCat Record</v>
      </c>
      <c r="AW1400" s="6" t="s">
        <v>11001</v>
      </c>
      <c r="AX1400" s="6" t="s">
        <v>11002</v>
      </c>
      <c r="AY1400" s="6" t="s">
        <v>11003</v>
      </c>
      <c r="AZ1400" s="6" t="s">
        <v>11003</v>
      </c>
      <c r="BA1400" s="6" t="s">
        <v>11004</v>
      </c>
      <c r="BB1400" s="28"/>
      <c r="BC1400" s="6" t="s">
        <v>11005</v>
      </c>
      <c r="BE1400" s="15" t="s">
        <v>2145</v>
      </c>
      <c r="BF1400" s="6" t="s">
        <v>11006</v>
      </c>
    </row>
    <row r="1401" customFormat="false" ht="59.5" hidden="false" customHeight="false" outlineLevel="0" collapsed="false">
      <c r="A1401" s="26" t="s">
        <v>63</v>
      </c>
      <c r="B1401" s="27" t="s">
        <v>2129</v>
      </c>
      <c r="C1401" s="27" t="s">
        <v>2130</v>
      </c>
      <c r="D1401" s="27" t="s">
        <v>11007</v>
      </c>
      <c r="E1401" s="27" t="s">
        <v>11008</v>
      </c>
      <c r="F1401" s="27" t="s">
        <v>11009</v>
      </c>
      <c r="G1401" s="28"/>
      <c r="H1401" s="6" t="s">
        <v>63</v>
      </c>
      <c r="I1401" s="6" t="s">
        <v>62</v>
      </c>
      <c r="J1401" s="6" t="s">
        <v>63</v>
      </c>
      <c r="K1401" s="6" t="s">
        <v>63</v>
      </c>
      <c r="L1401" s="6" t="s">
        <v>64</v>
      </c>
      <c r="M1401" s="27" t="s">
        <v>11010</v>
      </c>
      <c r="N1401" s="27" t="s">
        <v>11011</v>
      </c>
      <c r="O1401" s="6" t="s">
        <v>2467</v>
      </c>
      <c r="P1401" s="27" t="s">
        <v>255</v>
      </c>
      <c r="Q1401" s="6" t="s">
        <v>67</v>
      </c>
      <c r="R1401" s="6" t="s">
        <v>68</v>
      </c>
      <c r="S1401" s="28"/>
      <c r="T1401" s="6" t="s">
        <v>6138</v>
      </c>
      <c r="U1401" s="7" t="n">
        <v>5</v>
      </c>
      <c r="V1401" s="7" t="n">
        <v>5</v>
      </c>
      <c r="W1401" s="8" t="s">
        <v>4609</v>
      </c>
      <c r="X1401" s="8" t="s">
        <v>4609</v>
      </c>
      <c r="Y1401" s="8" t="s">
        <v>10754</v>
      </c>
      <c r="Z1401" s="8" t="s">
        <v>10754</v>
      </c>
      <c r="AA1401" s="7" t="n">
        <v>760</v>
      </c>
      <c r="AB1401" s="7" t="n">
        <v>736</v>
      </c>
      <c r="AC1401" s="7" t="n">
        <v>749</v>
      </c>
      <c r="AD1401" s="7" t="n">
        <v>8</v>
      </c>
      <c r="AE1401" s="7" t="n">
        <v>8</v>
      </c>
      <c r="AF1401" s="7" t="n">
        <v>38</v>
      </c>
      <c r="AG1401" s="7" t="n">
        <v>38</v>
      </c>
      <c r="AH1401" s="7" t="n">
        <v>13</v>
      </c>
      <c r="AI1401" s="7" t="n">
        <v>13</v>
      </c>
      <c r="AJ1401" s="7" t="n">
        <v>9</v>
      </c>
      <c r="AK1401" s="7" t="n">
        <v>9</v>
      </c>
      <c r="AL1401" s="7" t="n">
        <v>21</v>
      </c>
      <c r="AM1401" s="7" t="n">
        <v>21</v>
      </c>
      <c r="AN1401" s="7" t="n">
        <v>6</v>
      </c>
      <c r="AO1401" s="7" t="n">
        <v>6</v>
      </c>
      <c r="AP1401" s="7" t="n">
        <v>0</v>
      </c>
      <c r="AQ1401" s="7" t="n">
        <v>0</v>
      </c>
      <c r="AR1401" s="6" t="s">
        <v>63</v>
      </c>
      <c r="AS1401" s="6" t="s">
        <v>57</v>
      </c>
      <c r="AT1401" s="9" t="str">
        <f aca="false">HYPERLINK("http://catalog.hathitrust.org/Record/004462783","HathiTrust Record")</f>
        <v>HathiTrust Record</v>
      </c>
      <c r="AU1401" s="9" t="str">
        <f aca="false">HYPERLINK("https://creighton-primo.hosted.exlibrisgroup.com/primo-explore/search?tab=default_tab&amp;search_scope=EVERYTHING&amp;vid=01CRU&amp;lang=en_US&amp;offset=0&amp;query=any,contains,991002202079702656","Catalog Record")</f>
        <v>Catalog Record</v>
      </c>
      <c r="AV1401" s="9" t="str">
        <f aca="false">HYPERLINK("http://www.worldcat.org/oclc/284604","WorldCat Record")</f>
        <v>WorldCat Record</v>
      </c>
      <c r="AW1401" s="6" t="s">
        <v>11012</v>
      </c>
      <c r="AX1401" s="6" t="s">
        <v>11013</v>
      </c>
      <c r="AY1401" s="6" t="s">
        <v>11014</v>
      </c>
      <c r="AZ1401" s="6" t="s">
        <v>11014</v>
      </c>
      <c r="BA1401" s="6" t="s">
        <v>11015</v>
      </c>
      <c r="BB1401" s="28"/>
      <c r="BC1401" s="6" t="s">
        <v>11016</v>
      </c>
      <c r="BE1401" s="15" t="s">
        <v>2145</v>
      </c>
      <c r="BF1401" s="6" t="s">
        <v>11017</v>
      </c>
    </row>
    <row r="1402" customFormat="false" ht="140" hidden="false" customHeight="false" outlineLevel="0" collapsed="false">
      <c r="A1402" s="26" t="s">
        <v>63</v>
      </c>
      <c r="B1402" s="27" t="s">
        <v>2129</v>
      </c>
      <c r="C1402" s="27" t="s">
        <v>2130</v>
      </c>
      <c r="D1402" s="27" t="s">
        <v>11018</v>
      </c>
      <c r="E1402" s="27" t="s">
        <v>11019</v>
      </c>
      <c r="F1402" s="27" t="s">
        <v>11020</v>
      </c>
      <c r="G1402" s="28"/>
      <c r="H1402" s="6" t="s">
        <v>63</v>
      </c>
      <c r="I1402" s="6" t="s">
        <v>62</v>
      </c>
      <c r="J1402" s="6" t="s">
        <v>63</v>
      </c>
      <c r="K1402" s="6" t="s">
        <v>63</v>
      </c>
      <c r="L1402" s="6" t="s">
        <v>64</v>
      </c>
      <c r="M1402" s="27" t="s">
        <v>11021</v>
      </c>
      <c r="N1402" s="27" t="s">
        <v>11022</v>
      </c>
      <c r="O1402" s="6" t="s">
        <v>2975</v>
      </c>
      <c r="P1402" s="28"/>
      <c r="Q1402" s="6" t="s">
        <v>67</v>
      </c>
      <c r="R1402" s="6" t="s">
        <v>384</v>
      </c>
      <c r="S1402" s="28"/>
      <c r="T1402" s="6" t="s">
        <v>6138</v>
      </c>
      <c r="U1402" s="7" t="n">
        <v>2</v>
      </c>
      <c r="V1402" s="7" t="n">
        <v>2</v>
      </c>
      <c r="W1402" s="8" t="s">
        <v>10905</v>
      </c>
      <c r="X1402" s="8" t="s">
        <v>10905</v>
      </c>
      <c r="Y1402" s="8" t="s">
        <v>9981</v>
      </c>
      <c r="Z1402" s="8" t="s">
        <v>9981</v>
      </c>
      <c r="AA1402" s="7" t="n">
        <v>258</v>
      </c>
      <c r="AB1402" s="7" t="n">
        <v>154</v>
      </c>
      <c r="AC1402" s="7" t="n">
        <v>160</v>
      </c>
      <c r="AD1402" s="7" t="n">
        <v>2</v>
      </c>
      <c r="AE1402" s="7" t="n">
        <v>2</v>
      </c>
      <c r="AF1402" s="7" t="n">
        <v>13</v>
      </c>
      <c r="AG1402" s="7" t="n">
        <v>13</v>
      </c>
      <c r="AH1402" s="7" t="n">
        <v>1</v>
      </c>
      <c r="AI1402" s="7" t="n">
        <v>1</v>
      </c>
      <c r="AJ1402" s="7" t="n">
        <v>4</v>
      </c>
      <c r="AK1402" s="7" t="n">
        <v>4</v>
      </c>
      <c r="AL1402" s="7" t="n">
        <v>9</v>
      </c>
      <c r="AM1402" s="7" t="n">
        <v>9</v>
      </c>
      <c r="AN1402" s="7" t="n">
        <v>1</v>
      </c>
      <c r="AO1402" s="7" t="n">
        <v>1</v>
      </c>
      <c r="AP1402" s="7" t="n">
        <v>0</v>
      </c>
      <c r="AQ1402" s="7" t="n">
        <v>0</v>
      </c>
      <c r="AR1402" s="6" t="s">
        <v>63</v>
      </c>
      <c r="AS1402" s="6" t="s">
        <v>57</v>
      </c>
      <c r="AT1402" s="9" t="str">
        <f aca="false">HYPERLINK("http://catalog.hathitrust.org/Record/001385074","HathiTrust Record")</f>
        <v>HathiTrust Record</v>
      </c>
      <c r="AU1402" s="9" t="str">
        <f aca="false">HYPERLINK("https://creighton-primo.hosted.exlibrisgroup.com/primo-explore/search?tab=default_tab&amp;search_scope=EVERYTHING&amp;vid=01CRU&amp;lang=en_US&amp;offset=0&amp;query=any,contains,991000368619702656","Catalog Record")</f>
        <v>Catalog Record</v>
      </c>
      <c r="AV1402" s="9" t="str">
        <f aca="false">HYPERLINK("http://www.worldcat.org/oclc/71171","WorldCat Record")</f>
        <v>WorldCat Record</v>
      </c>
      <c r="AW1402" s="6" t="s">
        <v>11023</v>
      </c>
      <c r="AX1402" s="6" t="s">
        <v>11024</v>
      </c>
      <c r="AY1402" s="6" t="s">
        <v>11025</v>
      </c>
      <c r="AZ1402" s="6" t="s">
        <v>11025</v>
      </c>
      <c r="BA1402" s="6" t="s">
        <v>11026</v>
      </c>
      <c r="BB1402" s="6" t="s">
        <v>11027</v>
      </c>
      <c r="BC1402" s="6" t="s">
        <v>11028</v>
      </c>
      <c r="BE1402" s="15" t="s">
        <v>2145</v>
      </c>
      <c r="BF1402" s="6" t="s">
        <v>11029</v>
      </c>
    </row>
    <row r="1403" customFormat="false" ht="82.5" hidden="false" customHeight="false" outlineLevel="0" collapsed="false">
      <c r="A1403" s="26" t="s">
        <v>63</v>
      </c>
      <c r="B1403" s="27" t="s">
        <v>2129</v>
      </c>
      <c r="C1403" s="27" t="s">
        <v>2130</v>
      </c>
      <c r="D1403" s="27" t="s">
        <v>11030</v>
      </c>
      <c r="E1403" s="27" t="s">
        <v>11031</v>
      </c>
      <c r="F1403" s="27" t="s">
        <v>11032</v>
      </c>
      <c r="G1403" s="28"/>
      <c r="H1403" s="6" t="s">
        <v>63</v>
      </c>
      <c r="I1403" s="6" t="s">
        <v>62</v>
      </c>
      <c r="J1403" s="6" t="s">
        <v>63</v>
      </c>
      <c r="K1403" s="6" t="s">
        <v>63</v>
      </c>
      <c r="L1403" s="6" t="s">
        <v>64</v>
      </c>
      <c r="M1403" s="27" t="s">
        <v>11033</v>
      </c>
      <c r="N1403" s="27" t="s">
        <v>11034</v>
      </c>
      <c r="O1403" s="6" t="s">
        <v>208</v>
      </c>
      <c r="P1403" s="28"/>
      <c r="Q1403" s="6" t="s">
        <v>67</v>
      </c>
      <c r="R1403" s="6" t="s">
        <v>222</v>
      </c>
      <c r="S1403" s="27" t="s">
        <v>11035</v>
      </c>
      <c r="T1403" s="6" t="s">
        <v>6138</v>
      </c>
      <c r="U1403" s="7" t="n">
        <v>2</v>
      </c>
      <c r="V1403" s="7" t="n">
        <v>2</v>
      </c>
      <c r="W1403" s="8" t="s">
        <v>11036</v>
      </c>
      <c r="X1403" s="8" t="s">
        <v>11036</v>
      </c>
      <c r="Y1403" s="8" t="s">
        <v>10754</v>
      </c>
      <c r="Z1403" s="8" t="s">
        <v>10754</v>
      </c>
      <c r="AA1403" s="7" t="n">
        <v>809</v>
      </c>
      <c r="AB1403" s="7" t="n">
        <v>726</v>
      </c>
      <c r="AC1403" s="7" t="n">
        <v>785</v>
      </c>
      <c r="AD1403" s="7" t="n">
        <v>4</v>
      </c>
      <c r="AE1403" s="7" t="n">
        <v>4</v>
      </c>
      <c r="AF1403" s="7" t="n">
        <v>33</v>
      </c>
      <c r="AG1403" s="7" t="n">
        <v>33</v>
      </c>
      <c r="AH1403" s="7" t="n">
        <v>13</v>
      </c>
      <c r="AI1403" s="7" t="n">
        <v>13</v>
      </c>
      <c r="AJ1403" s="7" t="n">
        <v>9</v>
      </c>
      <c r="AK1403" s="7" t="n">
        <v>9</v>
      </c>
      <c r="AL1403" s="7" t="n">
        <v>18</v>
      </c>
      <c r="AM1403" s="7" t="n">
        <v>18</v>
      </c>
      <c r="AN1403" s="7" t="n">
        <v>3</v>
      </c>
      <c r="AO1403" s="7" t="n">
        <v>3</v>
      </c>
      <c r="AP1403" s="7" t="n">
        <v>0</v>
      </c>
      <c r="AQ1403" s="7" t="n">
        <v>0</v>
      </c>
      <c r="AR1403" s="6" t="s">
        <v>63</v>
      </c>
      <c r="AS1403" s="6" t="s">
        <v>57</v>
      </c>
      <c r="AT1403" s="9" t="str">
        <f aca="false">HYPERLINK("http://catalog.hathitrust.org/Record/000831124","HathiTrust Record")</f>
        <v>HathiTrust Record</v>
      </c>
      <c r="AU1403" s="9" t="str">
        <f aca="false">HYPERLINK("https://creighton-primo.hosted.exlibrisgroup.com/primo-explore/search?tab=default_tab&amp;search_scope=EVERYTHING&amp;vid=01CRU&amp;lang=en_US&amp;offset=0&amp;query=any,contains,991000991499702656","Catalog Record")</f>
        <v>Catalog Record</v>
      </c>
      <c r="AV1403" s="9" t="str">
        <f aca="false">HYPERLINK("http://www.worldcat.org/oclc/15108350","WorldCat Record")</f>
        <v>WorldCat Record</v>
      </c>
      <c r="AW1403" s="6" t="s">
        <v>11037</v>
      </c>
      <c r="AX1403" s="6" t="s">
        <v>11038</v>
      </c>
      <c r="AY1403" s="6" t="s">
        <v>11039</v>
      </c>
      <c r="AZ1403" s="6" t="s">
        <v>11039</v>
      </c>
      <c r="BA1403" s="6" t="s">
        <v>11040</v>
      </c>
      <c r="BB1403" s="6" t="s">
        <v>11041</v>
      </c>
      <c r="BC1403" s="6" t="s">
        <v>11042</v>
      </c>
      <c r="BE1403" s="15" t="s">
        <v>2145</v>
      </c>
      <c r="BF1403" s="6" t="s">
        <v>11043</v>
      </c>
    </row>
    <row r="1404" customFormat="false" ht="140" hidden="false" customHeight="false" outlineLevel="0" collapsed="false">
      <c r="A1404" s="26" t="s">
        <v>63</v>
      </c>
      <c r="B1404" s="27" t="s">
        <v>2129</v>
      </c>
      <c r="C1404" s="27" t="s">
        <v>2130</v>
      </c>
      <c r="D1404" s="27" t="s">
        <v>11044</v>
      </c>
      <c r="E1404" s="27" t="s">
        <v>11045</v>
      </c>
      <c r="F1404" s="27" t="s">
        <v>11046</v>
      </c>
      <c r="G1404" s="28"/>
      <c r="H1404" s="6" t="s">
        <v>63</v>
      </c>
      <c r="I1404" s="6" t="s">
        <v>62</v>
      </c>
      <c r="J1404" s="6" t="s">
        <v>63</v>
      </c>
      <c r="K1404" s="6" t="s">
        <v>63</v>
      </c>
      <c r="L1404" s="6" t="s">
        <v>64</v>
      </c>
      <c r="M1404" s="27" t="s">
        <v>11047</v>
      </c>
      <c r="N1404" s="27" t="s">
        <v>11048</v>
      </c>
      <c r="O1404" s="6" t="s">
        <v>122</v>
      </c>
      <c r="P1404" s="28"/>
      <c r="Q1404" s="6" t="s">
        <v>67</v>
      </c>
      <c r="R1404" s="6" t="s">
        <v>1059</v>
      </c>
      <c r="S1404" s="27" t="s">
        <v>11049</v>
      </c>
      <c r="T1404" s="6" t="s">
        <v>6138</v>
      </c>
      <c r="U1404" s="7" t="n">
        <v>1</v>
      </c>
      <c r="V1404" s="7" t="n">
        <v>1</v>
      </c>
      <c r="W1404" s="8" t="s">
        <v>11050</v>
      </c>
      <c r="X1404" s="8" t="s">
        <v>11050</v>
      </c>
      <c r="Y1404" s="8" t="s">
        <v>10754</v>
      </c>
      <c r="Z1404" s="8" t="s">
        <v>10754</v>
      </c>
      <c r="AA1404" s="7" t="n">
        <v>594</v>
      </c>
      <c r="AB1404" s="7" t="n">
        <v>555</v>
      </c>
      <c r="AC1404" s="7" t="n">
        <v>639</v>
      </c>
      <c r="AD1404" s="7" t="n">
        <v>4</v>
      </c>
      <c r="AE1404" s="7" t="n">
        <v>4</v>
      </c>
      <c r="AF1404" s="7" t="n">
        <v>28</v>
      </c>
      <c r="AG1404" s="7" t="n">
        <v>29</v>
      </c>
      <c r="AH1404" s="7" t="n">
        <v>11</v>
      </c>
      <c r="AI1404" s="7" t="n">
        <v>11</v>
      </c>
      <c r="AJ1404" s="7" t="n">
        <v>6</v>
      </c>
      <c r="AK1404" s="7" t="n">
        <v>7</v>
      </c>
      <c r="AL1404" s="7" t="n">
        <v>16</v>
      </c>
      <c r="AM1404" s="7" t="n">
        <v>17</v>
      </c>
      <c r="AN1404" s="7" t="n">
        <v>2</v>
      </c>
      <c r="AO1404" s="7" t="n">
        <v>2</v>
      </c>
      <c r="AP1404" s="7" t="n">
        <v>0</v>
      </c>
      <c r="AQ1404" s="7" t="n">
        <v>0</v>
      </c>
      <c r="AR1404" s="6" t="s">
        <v>63</v>
      </c>
      <c r="AS1404" s="6" t="s">
        <v>57</v>
      </c>
      <c r="AT1404" s="9" t="str">
        <f aca="false">HYPERLINK("http://catalog.hathitrust.org/Record/001385106","HathiTrust Record")</f>
        <v>HathiTrust Record</v>
      </c>
      <c r="AU1404" s="9" t="str">
        <f aca="false">HYPERLINK("https://creighton-primo.hosted.exlibrisgroup.com/primo-explore/search?tab=default_tab&amp;search_scope=EVERYTHING&amp;vid=01CRU&amp;lang=en_US&amp;offset=0&amp;query=any,contains,991001696959702656","Catalog Record")</f>
        <v>Catalog Record</v>
      </c>
      <c r="AV1404" s="9" t="str">
        <f aca="false">HYPERLINK("http://www.worldcat.org/oclc/234438","WorldCat Record")</f>
        <v>WorldCat Record</v>
      </c>
      <c r="AW1404" s="6" t="s">
        <v>11051</v>
      </c>
      <c r="AX1404" s="6" t="s">
        <v>11052</v>
      </c>
      <c r="AY1404" s="6" t="s">
        <v>11053</v>
      </c>
      <c r="AZ1404" s="6" t="s">
        <v>11053</v>
      </c>
      <c r="BA1404" s="6" t="s">
        <v>11054</v>
      </c>
      <c r="BB1404" s="28"/>
      <c r="BC1404" s="6" t="s">
        <v>11055</v>
      </c>
      <c r="BE1404" s="15" t="s">
        <v>2145</v>
      </c>
      <c r="BF1404" s="6" t="s">
        <v>11056</v>
      </c>
    </row>
    <row r="1405" customFormat="false" ht="82.5" hidden="false" customHeight="false" outlineLevel="0" collapsed="false">
      <c r="A1405" s="26" t="s">
        <v>63</v>
      </c>
      <c r="B1405" s="27" t="s">
        <v>2129</v>
      </c>
      <c r="C1405" s="27" t="s">
        <v>2130</v>
      </c>
      <c r="D1405" s="27" t="s">
        <v>11057</v>
      </c>
      <c r="E1405" s="27" t="s">
        <v>11058</v>
      </c>
      <c r="F1405" s="27" t="s">
        <v>11059</v>
      </c>
      <c r="G1405" s="28"/>
      <c r="H1405" s="6" t="s">
        <v>63</v>
      </c>
      <c r="I1405" s="6" t="s">
        <v>62</v>
      </c>
      <c r="J1405" s="6" t="s">
        <v>63</v>
      </c>
      <c r="K1405" s="6" t="s">
        <v>63</v>
      </c>
      <c r="L1405" s="6" t="s">
        <v>64</v>
      </c>
      <c r="M1405" s="27" t="s">
        <v>11060</v>
      </c>
      <c r="N1405" s="27" t="s">
        <v>11061</v>
      </c>
      <c r="O1405" s="6" t="s">
        <v>195</v>
      </c>
      <c r="P1405" s="28"/>
      <c r="Q1405" s="6" t="s">
        <v>67</v>
      </c>
      <c r="R1405" s="6" t="s">
        <v>123</v>
      </c>
      <c r="S1405" s="27" t="s">
        <v>10740</v>
      </c>
      <c r="T1405" s="6" t="s">
        <v>6138</v>
      </c>
      <c r="U1405" s="7" t="n">
        <v>1</v>
      </c>
      <c r="V1405" s="7" t="n">
        <v>1</v>
      </c>
      <c r="W1405" s="8" t="s">
        <v>11062</v>
      </c>
      <c r="X1405" s="8" t="s">
        <v>11062</v>
      </c>
      <c r="Y1405" s="8" t="s">
        <v>10754</v>
      </c>
      <c r="Z1405" s="8" t="s">
        <v>10754</v>
      </c>
      <c r="AA1405" s="7" t="n">
        <v>264</v>
      </c>
      <c r="AB1405" s="7" t="n">
        <v>190</v>
      </c>
      <c r="AC1405" s="7" t="n">
        <v>517</v>
      </c>
      <c r="AD1405" s="7" t="n">
        <v>2</v>
      </c>
      <c r="AE1405" s="7" t="n">
        <v>2</v>
      </c>
      <c r="AF1405" s="7" t="n">
        <v>10</v>
      </c>
      <c r="AG1405" s="7" t="n">
        <v>28</v>
      </c>
      <c r="AH1405" s="7" t="n">
        <v>4</v>
      </c>
      <c r="AI1405" s="7" t="n">
        <v>13</v>
      </c>
      <c r="AJ1405" s="7" t="n">
        <v>2</v>
      </c>
      <c r="AK1405" s="7" t="n">
        <v>7</v>
      </c>
      <c r="AL1405" s="7" t="n">
        <v>5</v>
      </c>
      <c r="AM1405" s="7" t="n">
        <v>17</v>
      </c>
      <c r="AN1405" s="7" t="n">
        <v>1</v>
      </c>
      <c r="AO1405" s="7" t="n">
        <v>1</v>
      </c>
      <c r="AP1405" s="7" t="n">
        <v>0</v>
      </c>
      <c r="AQ1405" s="7" t="n">
        <v>0</v>
      </c>
      <c r="AR1405" s="6" t="s">
        <v>63</v>
      </c>
      <c r="AS1405" s="6" t="s">
        <v>57</v>
      </c>
      <c r="AT1405" s="9" t="str">
        <f aca="false">HYPERLINK("http://catalog.hathitrust.org/Record/007123870","HathiTrust Record")</f>
        <v>HathiTrust Record</v>
      </c>
      <c r="AU1405" s="9" t="str">
        <f aca="false">HYPERLINK("https://creighton-primo.hosted.exlibrisgroup.com/primo-explore/search?tab=default_tab&amp;search_scope=EVERYTHING&amp;vid=01CRU&amp;lang=en_US&amp;offset=0&amp;query=any,contains,991002563179702656","Catalog Record")</f>
        <v>Catalog Record</v>
      </c>
      <c r="AV1405" s="9" t="str">
        <f aca="false">HYPERLINK("http://www.worldcat.org/oclc/372119","WorldCat Record")</f>
        <v>WorldCat Record</v>
      </c>
      <c r="AW1405" s="6" t="s">
        <v>11063</v>
      </c>
      <c r="AX1405" s="6" t="s">
        <v>11064</v>
      </c>
      <c r="AY1405" s="6" t="s">
        <v>11065</v>
      </c>
      <c r="AZ1405" s="6" t="s">
        <v>11065</v>
      </c>
      <c r="BA1405" s="6" t="s">
        <v>11066</v>
      </c>
      <c r="BB1405" s="28"/>
      <c r="BC1405" s="6" t="s">
        <v>11067</v>
      </c>
      <c r="BE1405" s="15" t="s">
        <v>2145</v>
      </c>
      <c r="BF1405" s="6" t="s">
        <v>11068</v>
      </c>
    </row>
    <row r="1406" customFormat="false" ht="94" hidden="false" customHeight="false" outlineLevel="0" collapsed="false">
      <c r="A1406" s="26" t="s">
        <v>57</v>
      </c>
      <c r="B1406" s="27" t="s">
        <v>2129</v>
      </c>
      <c r="C1406" s="27" t="s">
        <v>2130</v>
      </c>
      <c r="D1406" s="27" t="s">
        <v>11069</v>
      </c>
      <c r="E1406" s="27" t="s">
        <v>11070</v>
      </c>
      <c r="F1406" s="27" t="s">
        <v>11071</v>
      </c>
      <c r="G1406" s="28"/>
      <c r="H1406" s="6" t="s">
        <v>63</v>
      </c>
      <c r="I1406" s="6" t="s">
        <v>62</v>
      </c>
      <c r="J1406" s="6" t="s">
        <v>63</v>
      </c>
      <c r="K1406" s="6" t="s">
        <v>63</v>
      </c>
      <c r="L1406" s="6" t="s">
        <v>64</v>
      </c>
      <c r="M1406" s="27" t="s">
        <v>11072</v>
      </c>
      <c r="N1406" s="27" t="s">
        <v>11073</v>
      </c>
      <c r="O1406" s="6" t="s">
        <v>2975</v>
      </c>
      <c r="P1406" s="28"/>
      <c r="Q1406" s="6" t="s">
        <v>67</v>
      </c>
      <c r="R1406" s="6" t="s">
        <v>222</v>
      </c>
      <c r="S1406" s="28"/>
      <c r="T1406" s="6" t="s">
        <v>6138</v>
      </c>
      <c r="U1406" s="7" t="n">
        <v>3</v>
      </c>
      <c r="V1406" s="7" t="n">
        <v>3</v>
      </c>
      <c r="W1406" s="8" t="s">
        <v>11074</v>
      </c>
      <c r="X1406" s="8" t="s">
        <v>11074</v>
      </c>
      <c r="Y1406" s="8" t="s">
        <v>7722</v>
      </c>
      <c r="Z1406" s="8" t="s">
        <v>7722</v>
      </c>
      <c r="AA1406" s="7" t="n">
        <v>1055</v>
      </c>
      <c r="AB1406" s="7" t="n">
        <v>876</v>
      </c>
      <c r="AC1406" s="7" t="n">
        <v>911</v>
      </c>
      <c r="AD1406" s="7" t="n">
        <v>7</v>
      </c>
      <c r="AE1406" s="7" t="n">
        <v>8</v>
      </c>
      <c r="AF1406" s="7" t="n">
        <v>43</v>
      </c>
      <c r="AG1406" s="7" t="n">
        <v>48</v>
      </c>
      <c r="AH1406" s="7" t="n">
        <v>16</v>
      </c>
      <c r="AI1406" s="7" t="n">
        <v>18</v>
      </c>
      <c r="AJ1406" s="7" t="n">
        <v>9</v>
      </c>
      <c r="AK1406" s="7" t="n">
        <v>11</v>
      </c>
      <c r="AL1406" s="7" t="n">
        <v>24</v>
      </c>
      <c r="AM1406" s="7" t="n">
        <v>26</v>
      </c>
      <c r="AN1406" s="7" t="n">
        <v>6</v>
      </c>
      <c r="AO1406" s="7" t="n">
        <v>7</v>
      </c>
      <c r="AP1406" s="7" t="n">
        <v>0</v>
      </c>
      <c r="AQ1406" s="7" t="n">
        <v>0</v>
      </c>
      <c r="AR1406" s="6" t="s">
        <v>63</v>
      </c>
      <c r="AS1406" s="6" t="s">
        <v>57</v>
      </c>
      <c r="AT1406" s="9" t="str">
        <f aca="false">HYPERLINK("http://catalog.hathitrust.org/Record/001385109","HathiTrust Record")</f>
        <v>HathiTrust Record</v>
      </c>
      <c r="AU1406" s="9" t="str">
        <f aca="false">HYPERLINK("https://creighton-primo.hosted.exlibrisgroup.com/primo-explore/search?tab=default_tab&amp;search_scope=EVERYTHING&amp;vid=01CRU&amp;lang=en_US&amp;offset=0&amp;query=any,contains,991000207779702656","Catalog Record")</f>
        <v>Catalog Record</v>
      </c>
      <c r="AV1406" s="9" t="str">
        <f aca="false">HYPERLINK("http://www.worldcat.org/oclc/65719","WorldCat Record")</f>
        <v>WorldCat Record</v>
      </c>
      <c r="AW1406" s="6" t="s">
        <v>11075</v>
      </c>
      <c r="AX1406" s="6" t="s">
        <v>11076</v>
      </c>
      <c r="AY1406" s="6" t="s">
        <v>11077</v>
      </c>
      <c r="AZ1406" s="6" t="s">
        <v>11077</v>
      </c>
      <c r="BA1406" s="6" t="s">
        <v>11078</v>
      </c>
      <c r="BB1406" s="6" t="s">
        <v>11079</v>
      </c>
      <c r="BC1406" s="6" t="s">
        <v>11080</v>
      </c>
      <c r="BE1406" s="15" t="s">
        <v>2145</v>
      </c>
      <c r="BF1406" s="6" t="s">
        <v>11081</v>
      </c>
    </row>
    <row r="1407" customFormat="false" ht="163" hidden="false" customHeight="false" outlineLevel="0" collapsed="false">
      <c r="A1407" s="26" t="s">
        <v>63</v>
      </c>
      <c r="B1407" s="27" t="s">
        <v>2129</v>
      </c>
      <c r="C1407" s="27" t="s">
        <v>2130</v>
      </c>
      <c r="D1407" s="27" t="s">
        <v>11082</v>
      </c>
      <c r="E1407" s="27" t="s">
        <v>11083</v>
      </c>
      <c r="F1407" s="27" t="s">
        <v>11084</v>
      </c>
      <c r="G1407" s="28"/>
      <c r="H1407" s="6" t="s">
        <v>63</v>
      </c>
      <c r="I1407" s="6" t="s">
        <v>62</v>
      </c>
      <c r="J1407" s="6" t="s">
        <v>63</v>
      </c>
      <c r="K1407" s="6" t="s">
        <v>63</v>
      </c>
      <c r="L1407" s="6" t="s">
        <v>64</v>
      </c>
      <c r="M1407" s="27" t="s">
        <v>11085</v>
      </c>
      <c r="N1407" s="27" t="s">
        <v>11086</v>
      </c>
      <c r="O1407" s="6" t="s">
        <v>3301</v>
      </c>
      <c r="P1407" s="28"/>
      <c r="Q1407" s="6" t="s">
        <v>67</v>
      </c>
      <c r="R1407" s="6" t="s">
        <v>68</v>
      </c>
      <c r="S1407" s="28"/>
      <c r="T1407" s="6" t="s">
        <v>6138</v>
      </c>
      <c r="U1407" s="7" t="n">
        <v>1</v>
      </c>
      <c r="V1407" s="7" t="n">
        <v>1</v>
      </c>
      <c r="W1407" s="8" t="s">
        <v>11087</v>
      </c>
      <c r="X1407" s="8" t="s">
        <v>11087</v>
      </c>
      <c r="Y1407" s="8" t="s">
        <v>9449</v>
      </c>
      <c r="Z1407" s="8" t="s">
        <v>9449</v>
      </c>
      <c r="AA1407" s="7" t="n">
        <v>1043</v>
      </c>
      <c r="AB1407" s="7" t="n">
        <v>1001</v>
      </c>
      <c r="AC1407" s="7" t="n">
        <v>1079</v>
      </c>
      <c r="AD1407" s="7" t="n">
        <v>10</v>
      </c>
      <c r="AE1407" s="7" t="n">
        <v>10</v>
      </c>
      <c r="AF1407" s="7" t="n">
        <v>32</v>
      </c>
      <c r="AG1407" s="7" t="n">
        <v>34</v>
      </c>
      <c r="AH1407" s="7" t="n">
        <v>13</v>
      </c>
      <c r="AI1407" s="7" t="n">
        <v>14</v>
      </c>
      <c r="AJ1407" s="7" t="n">
        <v>6</v>
      </c>
      <c r="AK1407" s="7" t="n">
        <v>7</v>
      </c>
      <c r="AL1407" s="7" t="n">
        <v>13</v>
      </c>
      <c r="AM1407" s="7" t="n">
        <v>13</v>
      </c>
      <c r="AN1407" s="7" t="n">
        <v>6</v>
      </c>
      <c r="AO1407" s="7" t="n">
        <v>6</v>
      </c>
      <c r="AP1407" s="7" t="n">
        <v>0</v>
      </c>
      <c r="AQ1407" s="7" t="n">
        <v>0</v>
      </c>
      <c r="AR1407" s="6" t="s">
        <v>63</v>
      </c>
      <c r="AS1407" s="6" t="s">
        <v>63</v>
      </c>
      <c r="AT1407" s="28"/>
      <c r="AU1407" s="9" t="str">
        <f aca="false">HYPERLINK("https://creighton-primo.hosted.exlibrisgroup.com/primo-explore/search?tab=default_tab&amp;search_scope=EVERYTHING&amp;vid=01CRU&amp;lang=en_US&amp;offset=0&amp;query=any,contains,991005214329702656","Catalog Record")</f>
        <v>Catalog Record</v>
      </c>
      <c r="AV1407" s="9" t="str">
        <f aca="false">HYPERLINK("http://www.worldcat.org/oclc/8172185","WorldCat Record")</f>
        <v>WorldCat Record</v>
      </c>
      <c r="AW1407" s="6" t="s">
        <v>11088</v>
      </c>
      <c r="AX1407" s="6" t="s">
        <v>11089</v>
      </c>
      <c r="AY1407" s="6" t="s">
        <v>11090</v>
      </c>
      <c r="AZ1407" s="6" t="s">
        <v>11090</v>
      </c>
      <c r="BA1407" s="6" t="s">
        <v>11091</v>
      </c>
      <c r="BB1407" s="6" t="s">
        <v>11092</v>
      </c>
      <c r="BC1407" s="6" t="s">
        <v>11093</v>
      </c>
      <c r="BE1407" s="15" t="s">
        <v>2145</v>
      </c>
      <c r="BF1407" s="6" t="s">
        <v>11094</v>
      </c>
    </row>
    <row r="1408" customFormat="false" ht="59.5" hidden="false" customHeight="false" outlineLevel="0" collapsed="false">
      <c r="A1408" s="26" t="s">
        <v>63</v>
      </c>
      <c r="B1408" s="27" t="s">
        <v>2129</v>
      </c>
      <c r="C1408" s="27" t="s">
        <v>2130</v>
      </c>
      <c r="D1408" s="27" t="s">
        <v>11095</v>
      </c>
      <c r="E1408" s="27" t="s">
        <v>11096</v>
      </c>
      <c r="F1408" s="27" t="s">
        <v>11097</v>
      </c>
      <c r="G1408" s="28"/>
      <c r="H1408" s="6" t="s">
        <v>63</v>
      </c>
      <c r="I1408" s="6" t="s">
        <v>62</v>
      </c>
      <c r="J1408" s="6" t="s">
        <v>63</v>
      </c>
      <c r="K1408" s="6" t="s">
        <v>63</v>
      </c>
      <c r="L1408" s="6" t="s">
        <v>64</v>
      </c>
      <c r="M1408" s="27" t="s">
        <v>11098</v>
      </c>
      <c r="N1408" s="27" t="s">
        <v>11099</v>
      </c>
      <c r="O1408" s="6" t="s">
        <v>2811</v>
      </c>
      <c r="P1408" s="28"/>
      <c r="Q1408" s="6" t="s">
        <v>67</v>
      </c>
      <c r="R1408" s="6" t="s">
        <v>68</v>
      </c>
      <c r="S1408" s="28"/>
      <c r="T1408" s="6" t="s">
        <v>6138</v>
      </c>
      <c r="U1408" s="7" t="n">
        <v>3</v>
      </c>
      <c r="V1408" s="7" t="n">
        <v>3</v>
      </c>
      <c r="W1408" s="8" t="s">
        <v>11100</v>
      </c>
      <c r="X1408" s="8" t="s">
        <v>11100</v>
      </c>
      <c r="Y1408" s="8" t="s">
        <v>7722</v>
      </c>
      <c r="Z1408" s="8" t="s">
        <v>7722</v>
      </c>
      <c r="AA1408" s="7" t="n">
        <v>156</v>
      </c>
      <c r="AB1408" s="7" t="n">
        <v>132</v>
      </c>
      <c r="AC1408" s="7" t="n">
        <v>590</v>
      </c>
      <c r="AD1408" s="7" t="n">
        <v>1</v>
      </c>
      <c r="AE1408" s="7" t="n">
        <v>3</v>
      </c>
      <c r="AF1408" s="7" t="n">
        <v>6</v>
      </c>
      <c r="AG1408" s="7" t="n">
        <v>27</v>
      </c>
      <c r="AH1408" s="7" t="n">
        <v>2</v>
      </c>
      <c r="AI1408" s="7" t="n">
        <v>9</v>
      </c>
      <c r="AJ1408" s="7" t="n">
        <v>2</v>
      </c>
      <c r="AK1408" s="7" t="n">
        <v>10</v>
      </c>
      <c r="AL1408" s="7" t="n">
        <v>5</v>
      </c>
      <c r="AM1408" s="7" t="n">
        <v>18</v>
      </c>
      <c r="AN1408" s="7" t="n">
        <v>0</v>
      </c>
      <c r="AO1408" s="7" t="n">
        <v>1</v>
      </c>
      <c r="AP1408" s="7" t="n">
        <v>0</v>
      </c>
      <c r="AQ1408" s="7" t="n">
        <v>0</v>
      </c>
      <c r="AR1408" s="6" t="s">
        <v>63</v>
      </c>
      <c r="AS1408" s="6" t="s">
        <v>57</v>
      </c>
      <c r="AT1408" s="9" t="str">
        <f aca="false">HYPERLINK("http://catalog.hathitrust.org/Record/012178121","HathiTrust Record")</f>
        <v>HathiTrust Record</v>
      </c>
      <c r="AU1408" s="9" t="str">
        <f aca="false">HYPERLINK("https://creighton-primo.hosted.exlibrisgroup.com/primo-explore/search?tab=default_tab&amp;search_scope=EVERYTHING&amp;vid=01CRU&amp;lang=en_US&amp;offset=0&amp;query=any,contains,991000919249702656","Catalog Record")</f>
        <v>Catalog Record</v>
      </c>
      <c r="AV1408" s="9" t="str">
        <f aca="false">HYPERLINK("http://www.worldcat.org/oclc/161043","WorldCat Record")</f>
        <v>WorldCat Record</v>
      </c>
      <c r="AW1408" s="6" t="s">
        <v>11101</v>
      </c>
      <c r="AX1408" s="6" t="s">
        <v>11102</v>
      </c>
      <c r="AY1408" s="6" t="s">
        <v>11103</v>
      </c>
      <c r="AZ1408" s="6" t="s">
        <v>11103</v>
      </c>
      <c r="BA1408" s="6" t="s">
        <v>11104</v>
      </c>
      <c r="BB1408" s="6" t="s">
        <v>11105</v>
      </c>
      <c r="BC1408" s="6" t="s">
        <v>11106</v>
      </c>
      <c r="BE1408" s="15" t="s">
        <v>2145</v>
      </c>
      <c r="BF1408" s="6" t="s">
        <v>11107</v>
      </c>
    </row>
    <row r="1409" customFormat="false" ht="59.5" hidden="false" customHeight="false" outlineLevel="0" collapsed="false">
      <c r="A1409" s="26" t="s">
        <v>63</v>
      </c>
      <c r="B1409" s="27" t="s">
        <v>2129</v>
      </c>
      <c r="C1409" s="27" t="s">
        <v>2130</v>
      </c>
      <c r="D1409" s="27" t="s">
        <v>11108</v>
      </c>
      <c r="E1409" s="27" t="s">
        <v>11109</v>
      </c>
      <c r="F1409" s="27" t="s">
        <v>11110</v>
      </c>
      <c r="G1409" s="28"/>
      <c r="H1409" s="6" t="s">
        <v>63</v>
      </c>
      <c r="I1409" s="6" t="s">
        <v>62</v>
      </c>
      <c r="J1409" s="6" t="s">
        <v>63</v>
      </c>
      <c r="K1409" s="6" t="s">
        <v>63</v>
      </c>
      <c r="L1409" s="6" t="s">
        <v>64</v>
      </c>
      <c r="M1409" s="27" t="s">
        <v>11111</v>
      </c>
      <c r="N1409" s="27" t="s">
        <v>11112</v>
      </c>
      <c r="O1409" s="6" t="s">
        <v>2315</v>
      </c>
      <c r="P1409" s="28"/>
      <c r="Q1409" s="6" t="s">
        <v>67</v>
      </c>
      <c r="R1409" s="6" t="s">
        <v>384</v>
      </c>
      <c r="S1409" s="28"/>
      <c r="T1409" s="6" t="s">
        <v>6138</v>
      </c>
      <c r="U1409" s="7" t="n">
        <v>5</v>
      </c>
      <c r="V1409" s="7" t="n">
        <v>5</v>
      </c>
      <c r="W1409" s="8" t="s">
        <v>8623</v>
      </c>
      <c r="X1409" s="8" t="s">
        <v>8623</v>
      </c>
      <c r="Y1409" s="8" t="s">
        <v>7722</v>
      </c>
      <c r="Z1409" s="8" t="s">
        <v>7722</v>
      </c>
      <c r="AA1409" s="7" t="n">
        <v>547</v>
      </c>
      <c r="AB1409" s="7" t="n">
        <v>407</v>
      </c>
      <c r="AC1409" s="7" t="n">
        <v>407</v>
      </c>
      <c r="AD1409" s="7" t="n">
        <v>5</v>
      </c>
      <c r="AE1409" s="7" t="n">
        <v>5</v>
      </c>
      <c r="AF1409" s="7" t="n">
        <v>27</v>
      </c>
      <c r="AG1409" s="7" t="n">
        <v>27</v>
      </c>
      <c r="AH1409" s="7" t="n">
        <v>10</v>
      </c>
      <c r="AI1409" s="7" t="n">
        <v>10</v>
      </c>
      <c r="AJ1409" s="7" t="n">
        <v>9</v>
      </c>
      <c r="AK1409" s="7" t="n">
        <v>9</v>
      </c>
      <c r="AL1409" s="7" t="n">
        <v>12</v>
      </c>
      <c r="AM1409" s="7" t="n">
        <v>12</v>
      </c>
      <c r="AN1409" s="7" t="n">
        <v>4</v>
      </c>
      <c r="AO1409" s="7" t="n">
        <v>4</v>
      </c>
      <c r="AP1409" s="7" t="n">
        <v>0</v>
      </c>
      <c r="AQ1409" s="7" t="n">
        <v>0</v>
      </c>
      <c r="AR1409" s="6" t="s">
        <v>63</v>
      </c>
      <c r="AS1409" s="6" t="s">
        <v>63</v>
      </c>
      <c r="AT1409" s="28"/>
      <c r="AU1409" s="9" t="str">
        <f aca="false">HYPERLINK("https://creighton-primo.hosted.exlibrisgroup.com/primo-explore/search?tab=default_tab&amp;search_scope=EVERYTHING&amp;vid=01CRU&amp;lang=en_US&amp;offset=0&amp;query=any,contains,991000695269702656","Catalog Record")</f>
        <v>Catalog Record</v>
      </c>
      <c r="AV1409" s="9" t="str">
        <f aca="false">HYPERLINK("http://www.worldcat.org/oclc/13582533","WorldCat Record")</f>
        <v>WorldCat Record</v>
      </c>
      <c r="AW1409" s="6" t="s">
        <v>11113</v>
      </c>
      <c r="AX1409" s="6" t="s">
        <v>11114</v>
      </c>
      <c r="AY1409" s="6" t="s">
        <v>11115</v>
      </c>
      <c r="AZ1409" s="6" t="s">
        <v>11115</v>
      </c>
      <c r="BA1409" s="6" t="s">
        <v>11116</v>
      </c>
      <c r="BB1409" s="6" t="s">
        <v>11117</v>
      </c>
      <c r="BC1409" s="6" t="s">
        <v>11118</v>
      </c>
      <c r="BE1409" s="15" t="s">
        <v>2145</v>
      </c>
      <c r="BF1409" s="6" t="s">
        <v>11119</v>
      </c>
    </row>
    <row r="1410" customFormat="false" ht="209" hidden="false" customHeight="false" outlineLevel="0" collapsed="false">
      <c r="A1410" s="26" t="s">
        <v>63</v>
      </c>
      <c r="B1410" s="27" t="s">
        <v>2129</v>
      </c>
      <c r="C1410" s="27" t="s">
        <v>2130</v>
      </c>
      <c r="D1410" s="27" t="s">
        <v>11120</v>
      </c>
      <c r="E1410" s="27" t="s">
        <v>11121</v>
      </c>
      <c r="F1410" s="27" t="s">
        <v>11122</v>
      </c>
      <c r="G1410" s="28"/>
      <c r="H1410" s="6" t="s">
        <v>63</v>
      </c>
      <c r="I1410" s="6" t="s">
        <v>62</v>
      </c>
      <c r="J1410" s="6" t="s">
        <v>63</v>
      </c>
      <c r="K1410" s="6" t="s">
        <v>63</v>
      </c>
      <c r="L1410" s="6" t="s">
        <v>64</v>
      </c>
      <c r="M1410" s="27" t="s">
        <v>11123</v>
      </c>
      <c r="N1410" s="27" t="s">
        <v>11124</v>
      </c>
      <c r="O1410" s="6" t="s">
        <v>7428</v>
      </c>
      <c r="P1410" s="28"/>
      <c r="Q1410" s="6" t="s">
        <v>67</v>
      </c>
      <c r="R1410" s="6" t="s">
        <v>68</v>
      </c>
      <c r="S1410" s="28"/>
      <c r="T1410" s="6" t="s">
        <v>6138</v>
      </c>
      <c r="U1410" s="7" t="n">
        <v>4</v>
      </c>
      <c r="V1410" s="7" t="n">
        <v>4</v>
      </c>
      <c r="W1410" s="8" t="s">
        <v>9840</v>
      </c>
      <c r="X1410" s="8" t="s">
        <v>9840</v>
      </c>
      <c r="Y1410" s="8" t="s">
        <v>7722</v>
      </c>
      <c r="Z1410" s="8" t="s">
        <v>7722</v>
      </c>
      <c r="AA1410" s="7" t="n">
        <v>201</v>
      </c>
      <c r="AB1410" s="7" t="n">
        <v>169</v>
      </c>
      <c r="AC1410" s="7" t="n">
        <v>170</v>
      </c>
      <c r="AD1410" s="7" t="n">
        <v>2</v>
      </c>
      <c r="AE1410" s="7" t="n">
        <v>2</v>
      </c>
      <c r="AF1410" s="7" t="n">
        <v>7</v>
      </c>
      <c r="AG1410" s="7" t="n">
        <v>7</v>
      </c>
      <c r="AH1410" s="7" t="n">
        <v>2</v>
      </c>
      <c r="AI1410" s="7" t="n">
        <v>2</v>
      </c>
      <c r="AJ1410" s="7" t="n">
        <v>2</v>
      </c>
      <c r="AK1410" s="7" t="n">
        <v>2</v>
      </c>
      <c r="AL1410" s="7" t="n">
        <v>3</v>
      </c>
      <c r="AM1410" s="7" t="n">
        <v>3</v>
      </c>
      <c r="AN1410" s="7" t="n">
        <v>1</v>
      </c>
      <c r="AO1410" s="7" t="n">
        <v>1</v>
      </c>
      <c r="AP1410" s="7" t="n">
        <v>0</v>
      </c>
      <c r="AQ1410" s="7" t="n">
        <v>0</v>
      </c>
      <c r="AR1410" s="6" t="s">
        <v>63</v>
      </c>
      <c r="AS1410" s="6" t="s">
        <v>63</v>
      </c>
      <c r="AT1410" s="28"/>
      <c r="AU1410" s="9" t="str">
        <f aca="false">HYPERLINK("https://creighton-primo.hosted.exlibrisgroup.com/primo-explore/search?tab=default_tab&amp;search_scope=EVERYTHING&amp;vid=01CRU&amp;lang=en_US&amp;offset=0&amp;query=any,contains,991004264759702656","Catalog Record")</f>
        <v>Catalog Record</v>
      </c>
      <c r="AV1410" s="9" t="str">
        <f aca="false">HYPERLINK("http://www.worldcat.org/oclc/2860799","WorldCat Record")</f>
        <v>WorldCat Record</v>
      </c>
      <c r="AW1410" s="6" t="s">
        <v>11125</v>
      </c>
      <c r="AX1410" s="6" t="s">
        <v>11126</v>
      </c>
      <c r="AY1410" s="6" t="s">
        <v>11127</v>
      </c>
      <c r="AZ1410" s="6" t="s">
        <v>11127</v>
      </c>
      <c r="BA1410" s="6" t="s">
        <v>11128</v>
      </c>
      <c r="BB1410" s="28"/>
      <c r="BC1410" s="6" t="s">
        <v>11129</v>
      </c>
      <c r="BE1410" s="15" t="s">
        <v>2145</v>
      </c>
      <c r="BF1410" s="6" t="s">
        <v>11130</v>
      </c>
    </row>
    <row r="1411" customFormat="false" ht="59.5" hidden="false" customHeight="false" outlineLevel="0" collapsed="false">
      <c r="A1411" s="26" t="s">
        <v>63</v>
      </c>
      <c r="B1411" s="27" t="s">
        <v>2129</v>
      </c>
      <c r="C1411" s="27" t="s">
        <v>2130</v>
      </c>
      <c r="D1411" s="27" t="s">
        <v>11131</v>
      </c>
      <c r="E1411" s="27" t="s">
        <v>11132</v>
      </c>
      <c r="F1411" s="27" t="s">
        <v>11133</v>
      </c>
      <c r="G1411" s="28"/>
      <c r="H1411" s="6" t="s">
        <v>63</v>
      </c>
      <c r="I1411" s="6" t="s">
        <v>62</v>
      </c>
      <c r="J1411" s="6" t="s">
        <v>63</v>
      </c>
      <c r="K1411" s="6" t="s">
        <v>63</v>
      </c>
      <c r="L1411" s="6" t="s">
        <v>64</v>
      </c>
      <c r="M1411" s="27" t="s">
        <v>11134</v>
      </c>
      <c r="N1411" s="27" t="s">
        <v>11135</v>
      </c>
      <c r="O1411" s="6" t="s">
        <v>233</v>
      </c>
      <c r="P1411" s="28"/>
      <c r="Q1411" s="6" t="s">
        <v>67</v>
      </c>
      <c r="R1411" s="6" t="s">
        <v>68</v>
      </c>
      <c r="S1411" s="28"/>
      <c r="T1411" s="6" t="s">
        <v>6138</v>
      </c>
      <c r="U1411" s="7" t="n">
        <v>3</v>
      </c>
      <c r="V1411" s="7" t="n">
        <v>3</v>
      </c>
      <c r="W1411" s="8" t="s">
        <v>11136</v>
      </c>
      <c r="X1411" s="8" t="s">
        <v>11136</v>
      </c>
      <c r="Y1411" s="8" t="s">
        <v>7722</v>
      </c>
      <c r="Z1411" s="8" t="s">
        <v>7722</v>
      </c>
      <c r="AA1411" s="7" t="n">
        <v>564</v>
      </c>
      <c r="AB1411" s="7" t="n">
        <v>472</v>
      </c>
      <c r="AC1411" s="7" t="n">
        <v>659</v>
      </c>
      <c r="AD1411" s="7" t="n">
        <v>4</v>
      </c>
      <c r="AE1411" s="7" t="n">
        <v>5</v>
      </c>
      <c r="AF1411" s="7" t="n">
        <v>25</v>
      </c>
      <c r="AG1411" s="7" t="n">
        <v>33</v>
      </c>
      <c r="AH1411" s="7" t="n">
        <v>10</v>
      </c>
      <c r="AI1411" s="7" t="n">
        <v>13</v>
      </c>
      <c r="AJ1411" s="7" t="n">
        <v>6</v>
      </c>
      <c r="AK1411" s="7" t="n">
        <v>9</v>
      </c>
      <c r="AL1411" s="7" t="n">
        <v>15</v>
      </c>
      <c r="AM1411" s="7" t="n">
        <v>18</v>
      </c>
      <c r="AN1411" s="7" t="n">
        <v>3</v>
      </c>
      <c r="AO1411" s="7" t="n">
        <v>4</v>
      </c>
      <c r="AP1411" s="7" t="n">
        <v>0</v>
      </c>
      <c r="AQ1411" s="7" t="n">
        <v>0</v>
      </c>
      <c r="AR1411" s="6" t="s">
        <v>63</v>
      </c>
      <c r="AS1411" s="6" t="s">
        <v>63</v>
      </c>
      <c r="AT1411" s="9" t="str">
        <f aca="false">HYPERLINK("http://catalog.hathitrust.org/Record/004462821","HathiTrust Record")</f>
        <v>HathiTrust Record</v>
      </c>
      <c r="AU1411" s="9" t="str">
        <f aca="false">HYPERLINK("https://creighton-primo.hosted.exlibrisgroup.com/primo-explore/search?tab=default_tab&amp;search_scope=EVERYTHING&amp;vid=01CRU&amp;lang=en_US&amp;offset=0&amp;query=any,contains,991003426879702656","Catalog Record")</f>
        <v>Catalog Record</v>
      </c>
      <c r="AV1411" s="9" t="str">
        <f aca="false">HYPERLINK("http://www.worldcat.org/oclc/964780","WorldCat Record")</f>
        <v>WorldCat Record</v>
      </c>
      <c r="AW1411" s="6" t="s">
        <v>11137</v>
      </c>
      <c r="AX1411" s="6" t="s">
        <v>11138</v>
      </c>
      <c r="AY1411" s="6" t="s">
        <v>11139</v>
      </c>
      <c r="AZ1411" s="6" t="s">
        <v>11139</v>
      </c>
      <c r="BA1411" s="6" t="s">
        <v>11140</v>
      </c>
      <c r="BB1411" s="28"/>
      <c r="BC1411" s="6" t="s">
        <v>11141</v>
      </c>
      <c r="BE1411" s="15" t="s">
        <v>2145</v>
      </c>
      <c r="BF1411" s="6" t="s">
        <v>11142</v>
      </c>
    </row>
    <row r="1412" customFormat="false" ht="197.5" hidden="false" customHeight="false" outlineLevel="0" collapsed="false">
      <c r="A1412" s="26" t="s">
        <v>63</v>
      </c>
      <c r="B1412" s="27" t="s">
        <v>2129</v>
      </c>
      <c r="C1412" s="27" t="s">
        <v>2130</v>
      </c>
      <c r="D1412" s="27" t="s">
        <v>11143</v>
      </c>
      <c r="E1412" s="27" t="s">
        <v>11144</v>
      </c>
      <c r="F1412" s="27" t="s">
        <v>11145</v>
      </c>
      <c r="G1412" s="28"/>
      <c r="H1412" s="6" t="s">
        <v>63</v>
      </c>
      <c r="I1412" s="6" t="s">
        <v>62</v>
      </c>
      <c r="J1412" s="6" t="s">
        <v>63</v>
      </c>
      <c r="K1412" s="6" t="s">
        <v>63</v>
      </c>
      <c r="L1412" s="6" t="s">
        <v>64</v>
      </c>
      <c r="M1412" s="27" t="s">
        <v>11146</v>
      </c>
      <c r="N1412" s="27" t="s">
        <v>11147</v>
      </c>
      <c r="O1412" s="6" t="s">
        <v>264</v>
      </c>
      <c r="P1412" s="28"/>
      <c r="Q1412" s="6" t="s">
        <v>67</v>
      </c>
      <c r="R1412" s="6" t="s">
        <v>68</v>
      </c>
      <c r="S1412" s="28"/>
      <c r="T1412" s="6" t="s">
        <v>6138</v>
      </c>
      <c r="U1412" s="7" t="n">
        <v>6</v>
      </c>
      <c r="V1412" s="7" t="n">
        <v>6</v>
      </c>
      <c r="W1412" s="8" t="s">
        <v>11148</v>
      </c>
      <c r="X1412" s="8" t="s">
        <v>11148</v>
      </c>
      <c r="Y1412" s="8" t="s">
        <v>7722</v>
      </c>
      <c r="Z1412" s="8" t="s">
        <v>7722</v>
      </c>
      <c r="AA1412" s="7" t="n">
        <v>161</v>
      </c>
      <c r="AB1412" s="7" t="n">
        <v>150</v>
      </c>
      <c r="AC1412" s="7" t="n">
        <v>274</v>
      </c>
      <c r="AD1412" s="7" t="n">
        <v>5</v>
      </c>
      <c r="AE1412" s="7" t="n">
        <v>5</v>
      </c>
      <c r="AF1412" s="7" t="n">
        <v>5</v>
      </c>
      <c r="AG1412" s="7" t="n">
        <v>16</v>
      </c>
      <c r="AH1412" s="7" t="n">
        <v>2</v>
      </c>
      <c r="AI1412" s="7" t="n">
        <v>4</v>
      </c>
      <c r="AJ1412" s="7" t="n">
        <v>0</v>
      </c>
      <c r="AK1412" s="7" t="n">
        <v>5</v>
      </c>
      <c r="AL1412" s="7" t="n">
        <v>2</v>
      </c>
      <c r="AM1412" s="7" t="n">
        <v>10</v>
      </c>
      <c r="AN1412" s="7" t="n">
        <v>3</v>
      </c>
      <c r="AO1412" s="7" t="n">
        <v>3</v>
      </c>
      <c r="AP1412" s="7" t="n">
        <v>0</v>
      </c>
      <c r="AQ1412" s="7" t="n">
        <v>0</v>
      </c>
      <c r="AR1412" s="6" t="s">
        <v>63</v>
      </c>
      <c r="AS1412" s="6" t="s">
        <v>63</v>
      </c>
      <c r="AT1412" s="28"/>
      <c r="AU1412" s="9" t="str">
        <f aca="false">HYPERLINK("https://creighton-primo.hosted.exlibrisgroup.com/primo-explore/search?tab=default_tab&amp;search_scope=EVERYTHING&amp;vid=01CRU&amp;lang=en_US&amp;offset=0&amp;query=any,contains,991000956509702656","Catalog Record")</f>
        <v>Catalog Record</v>
      </c>
      <c r="AV1412" s="9" t="str">
        <f aca="false">HYPERLINK("http://www.worldcat.org/oclc/266169","WorldCat Record")</f>
        <v>WorldCat Record</v>
      </c>
      <c r="AW1412" s="6" t="s">
        <v>11149</v>
      </c>
      <c r="AX1412" s="6" t="s">
        <v>11150</v>
      </c>
      <c r="AY1412" s="6" t="s">
        <v>11151</v>
      </c>
      <c r="AZ1412" s="6" t="s">
        <v>11151</v>
      </c>
      <c r="BA1412" s="6" t="s">
        <v>11152</v>
      </c>
      <c r="BB1412" s="6" t="s">
        <v>11153</v>
      </c>
      <c r="BC1412" s="6" t="s">
        <v>11154</v>
      </c>
      <c r="BE1412" s="15" t="s">
        <v>2145</v>
      </c>
      <c r="BF1412" s="6" t="s">
        <v>11155</v>
      </c>
    </row>
    <row r="1413" customFormat="false" ht="82.5" hidden="false" customHeight="false" outlineLevel="0" collapsed="false">
      <c r="A1413" s="26" t="s">
        <v>63</v>
      </c>
      <c r="B1413" s="27" t="s">
        <v>2129</v>
      </c>
      <c r="C1413" s="27" t="s">
        <v>2130</v>
      </c>
      <c r="D1413" s="27" t="s">
        <v>11156</v>
      </c>
      <c r="E1413" s="27" t="s">
        <v>11157</v>
      </c>
      <c r="F1413" s="27" t="s">
        <v>11158</v>
      </c>
      <c r="G1413" s="28"/>
      <c r="H1413" s="6" t="s">
        <v>63</v>
      </c>
      <c r="I1413" s="6" t="s">
        <v>62</v>
      </c>
      <c r="J1413" s="6" t="s">
        <v>63</v>
      </c>
      <c r="K1413" s="6" t="s">
        <v>63</v>
      </c>
      <c r="L1413" s="6" t="s">
        <v>64</v>
      </c>
      <c r="M1413" s="27" t="s">
        <v>11159</v>
      </c>
      <c r="N1413" s="27" t="s">
        <v>5670</v>
      </c>
      <c r="O1413" s="6" t="s">
        <v>2136</v>
      </c>
      <c r="P1413" s="28"/>
      <c r="Q1413" s="6" t="s">
        <v>67</v>
      </c>
      <c r="R1413" s="6" t="s">
        <v>384</v>
      </c>
      <c r="S1413" s="28"/>
      <c r="T1413" s="6" t="s">
        <v>6138</v>
      </c>
      <c r="U1413" s="7" t="n">
        <v>2</v>
      </c>
      <c r="V1413" s="7" t="n">
        <v>2</v>
      </c>
      <c r="W1413" s="8" t="s">
        <v>11160</v>
      </c>
      <c r="X1413" s="8" t="s">
        <v>11160</v>
      </c>
      <c r="Y1413" s="8" t="s">
        <v>7722</v>
      </c>
      <c r="Z1413" s="8" t="s">
        <v>7722</v>
      </c>
      <c r="AA1413" s="7" t="n">
        <v>319</v>
      </c>
      <c r="AB1413" s="7" t="n">
        <v>237</v>
      </c>
      <c r="AC1413" s="7" t="n">
        <v>396</v>
      </c>
      <c r="AD1413" s="7" t="n">
        <v>2</v>
      </c>
      <c r="AE1413" s="7" t="n">
        <v>3</v>
      </c>
      <c r="AF1413" s="7" t="n">
        <v>14</v>
      </c>
      <c r="AG1413" s="7" t="n">
        <v>20</v>
      </c>
      <c r="AH1413" s="7" t="n">
        <v>2</v>
      </c>
      <c r="AI1413" s="7" t="n">
        <v>5</v>
      </c>
      <c r="AJ1413" s="7" t="n">
        <v>5</v>
      </c>
      <c r="AK1413" s="7" t="n">
        <v>7</v>
      </c>
      <c r="AL1413" s="7" t="n">
        <v>10</v>
      </c>
      <c r="AM1413" s="7" t="n">
        <v>13</v>
      </c>
      <c r="AN1413" s="7" t="n">
        <v>1</v>
      </c>
      <c r="AO1413" s="7" t="n">
        <v>2</v>
      </c>
      <c r="AP1413" s="7" t="n">
        <v>0</v>
      </c>
      <c r="AQ1413" s="7" t="n">
        <v>0</v>
      </c>
      <c r="AR1413" s="6" t="s">
        <v>63</v>
      </c>
      <c r="AS1413" s="6" t="s">
        <v>57</v>
      </c>
      <c r="AT1413" s="9" t="str">
        <f aca="false">HYPERLINK("http://catalog.hathitrust.org/Record/001385155","HathiTrust Record")</f>
        <v>HathiTrust Record</v>
      </c>
      <c r="AU1413" s="9" t="str">
        <f aca="false">HYPERLINK("https://creighton-primo.hosted.exlibrisgroup.com/primo-explore/search?tab=default_tab&amp;search_scope=EVERYTHING&amp;vid=01CRU&amp;lang=en_US&amp;offset=0&amp;query=any,contains,991002977649702656","Catalog Record")</f>
        <v>Catalog Record</v>
      </c>
      <c r="AV1413" s="9" t="str">
        <f aca="false">HYPERLINK("http://www.worldcat.org/oclc/552971","WorldCat Record")</f>
        <v>WorldCat Record</v>
      </c>
      <c r="AW1413" s="6" t="s">
        <v>11161</v>
      </c>
      <c r="AX1413" s="6" t="s">
        <v>11162</v>
      </c>
      <c r="AY1413" s="6" t="s">
        <v>11163</v>
      </c>
      <c r="AZ1413" s="6" t="s">
        <v>11163</v>
      </c>
      <c r="BA1413" s="6" t="s">
        <v>11164</v>
      </c>
      <c r="BB1413" s="28"/>
      <c r="BC1413" s="6" t="s">
        <v>11165</v>
      </c>
      <c r="BE1413" s="15" t="s">
        <v>2145</v>
      </c>
      <c r="BF1413" s="6" t="s">
        <v>11166</v>
      </c>
    </row>
    <row r="1414" customFormat="false" ht="117" hidden="false" customHeight="false" outlineLevel="0" collapsed="false">
      <c r="A1414" s="26" t="s">
        <v>63</v>
      </c>
      <c r="B1414" s="27" t="s">
        <v>2129</v>
      </c>
      <c r="C1414" s="27" t="s">
        <v>2130</v>
      </c>
      <c r="D1414" s="27" t="s">
        <v>11167</v>
      </c>
      <c r="E1414" s="27" t="s">
        <v>11168</v>
      </c>
      <c r="F1414" s="27" t="s">
        <v>11169</v>
      </c>
      <c r="G1414" s="28"/>
      <c r="H1414" s="6" t="s">
        <v>63</v>
      </c>
      <c r="I1414" s="6" t="s">
        <v>62</v>
      </c>
      <c r="J1414" s="6" t="s">
        <v>63</v>
      </c>
      <c r="K1414" s="6" t="s">
        <v>63</v>
      </c>
      <c r="L1414" s="6" t="s">
        <v>64</v>
      </c>
      <c r="M1414" s="27" t="s">
        <v>11170</v>
      </c>
      <c r="N1414" s="27" t="s">
        <v>11171</v>
      </c>
      <c r="O1414" s="6" t="s">
        <v>254</v>
      </c>
      <c r="P1414" s="28"/>
      <c r="Q1414" s="6" t="s">
        <v>67</v>
      </c>
      <c r="R1414" s="6" t="s">
        <v>928</v>
      </c>
      <c r="S1414" s="28"/>
      <c r="T1414" s="6" t="s">
        <v>6138</v>
      </c>
      <c r="U1414" s="7" t="n">
        <v>7</v>
      </c>
      <c r="V1414" s="7" t="n">
        <v>7</v>
      </c>
      <c r="W1414" s="8" t="s">
        <v>11172</v>
      </c>
      <c r="X1414" s="8" t="s">
        <v>11172</v>
      </c>
      <c r="Y1414" s="8" t="s">
        <v>7722</v>
      </c>
      <c r="Z1414" s="8" t="s">
        <v>7722</v>
      </c>
      <c r="AA1414" s="7" t="n">
        <v>633</v>
      </c>
      <c r="AB1414" s="7" t="n">
        <v>517</v>
      </c>
      <c r="AC1414" s="7" t="n">
        <v>520</v>
      </c>
      <c r="AD1414" s="7" t="n">
        <v>5</v>
      </c>
      <c r="AE1414" s="7" t="n">
        <v>5</v>
      </c>
      <c r="AF1414" s="7" t="n">
        <v>32</v>
      </c>
      <c r="AG1414" s="7" t="n">
        <v>32</v>
      </c>
      <c r="AH1414" s="7" t="n">
        <v>10</v>
      </c>
      <c r="AI1414" s="7" t="n">
        <v>10</v>
      </c>
      <c r="AJ1414" s="7" t="n">
        <v>9</v>
      </c>
      <c r="AK1414" s="7" t="n">
        <v>9</v>
      </c>
      <c r="AL1414" s="7" t="n">
        <v>18</v>
      </c>
      <c r="AM1414" s="7" t="n">
        <v>18</v>
      </c>
      <c r="AN1414" s="7" t="n">
        <v>4</v>
      </c>
      <c r="AO1414" s="7" t="n">
        <v>4</v>
      </c>
      <c r="AP1414" s="7" t="n">
        <v>0</v>
      </c>
      <c r="AQ1414" s="7" t="n">
        <v>0</v>
      </c>
      <c r="AR1414" s="6" t="s">
        <v>63</v>
      </c>
      <c r="AS1414" s="6" t="s">
        <v>57</v>
      </c>
      <c r="AT1414" s="9" t="str">
        <f aca="false">HYPERLINK("http://catalog.hathitrust.org/Record/001396155","HathiTrust Record")</f>
        <v>HathiTrust Record</v>
      </c>
      <c r="AU1414" s="9" t="str">
        <f aca="false">HYPERLINK("https://creighton-primo.hosted.exlibrisgroup.com/primo-explore/search?tab=default_tab&amp;search_scope=EVERYTHING&amp;vid=01CRU&amp;lang=en_US&amp;offset=0&amp;query=any,contains,991002839069702656","Catalog Record")</f>
        <v>Catalog Record</v>
      </c>
      <c r="AV1414" s="9" t="str">
        <f aca="false">HYPERLINK("http://www.worldcat.org/oclc/481212","WorldCat Record")</f>
        <v>WorldCat Record</v>
      </c>
      <c r="AW1414" s="6" t="s">
        <v>11173</v>
      </c>
      <c r="AX1414" s="6" t="s">
        <v>11174</v>
      </c>
      <c r="AY1414" s="6" t="s">
        <v>11175</v>
      </c>
      <c r="AZ1414" s="6" t="s">
        <v>11175</v>
      </c>
      <c r="BA1414" s="6" t="s">
        <v>11176</v>
      </c>
      <c r="BB1414" s="6" t="s">
        <v>11177</v>
      </c>
      <c r="BC1414" s="6" t="s">
        <v>11178</v>
      </c>
      <c r="BE1414" s="15" t="s">
        <v>2145</v>
      </c>
      <c r="BF1414" s="6" t="s">
        <v>11179</v>
      </c>
    </row>
    <row r="1415" customFormat="false" ht="197.5" hidden="false" customHeight="false" outlineLevel="0" collapsed="false">
      <c r="A1415" s="26" t="s">
        <v>63</v>
      </c>
      <c r="B1415" s="27" t="s">
        <v>2129</v>
      </c>
      <c r="C1415" s="27" t="s">
        <v>2130</v>
      </c>
      <c r="D1415" s="27" t="s">
        <v>11180</v>
      </c>
      <c r="E1415" s="27" t="s">
        <v>11181</v>
      </c>
      <c r="F1415" s="27" t="s">
        <v>11182</v>
      </c>
      <c r="G1415" s="28"/>
      <c r="H1415" s="6" t="s">
        <v>63</v>
      </c>
      <c r="I1415" s="6" t="s">
        <v>62</v>
      </c>
      <c r="J1415" s="6" t="s">
        <v>63</v>
      </c>
      <c r="K1415" s="6" t="s">
        <v>63</v>
      </c>
      <c r="L1415" s="6" t="s">
        <v>64</v>
      </c>
      <c r="M1415" s="27" t="s">
        <v>11183</v>
      </c>
      <c r="N1415" s="27" t="s">
        <v>11184</v>
      </c>
      <c r="O1415" s="6" t="s">
        <v>2665</v>
      </c>
      <c r="P1415" s="28"/>
      <c r="Q1415" s="6" t="s">
        <v>67</v>
      </c>
      <c r="R1415" s="6" t="s">
        <v>222</v>
      </c>
      <c r="S1415" s="28"/>
      <c r="T1415" s="6" t="s">
        <v>6138</v>
      </c>
      <c r="U1415" s="7" t="n">
        <v>1</v>
      </c>
      <c r="V1415" s="7" t="n">
        <v>1</v>
      </c>
      <c r="W1415" s="8" t="s">
        <v>11185</v>
      </c>
      <c r="X1415" s="8" t="s">
        <v>11185</v>
      </c>
      <c r="Y1415" s="8" t="s">
        <v>7722</v>
      </c>
      <c r="Z1415" s="8" t="s">
        <v>7722</v>
      </c>
      <c r="AA1415" s="7" t="n">
        <v>651</v>
      </c>
      <c r="AB1415" s="7" t="n">
        <v>539</v>
      </c>
      <c r="AC1415" s="7" t="n">
        <v>547</v>
      </c>
      <c r="AD1415" s="7" t="n">
        <v>4</v>
      </c>
      <c r="AE1415" s="7" t="n">
        <v>4</v>
      </c>
      <c r="AF1415" s="7" t="n">
        <v>34</v>
      </c>
      <c r="AG1415" s="7" t="n">
        <v>34</v>
      </c>
      <c r="AH1415" s="7" t="n">
        <v>13</v>
      </c>
      <c r="AI1415" s="7" t="n">
        <v>13</v>
      </c>
      <c r="AJ1415" s="7" t="n">
        <v>9</v>
      </c>
      <c r="AK1415" s="7" t="n">
        <v>9</v>
      </c>
      <c r="AL1415" s="7" t="n">
        <v>20</v>
      </c>
      <c r="AM1415" s="7" t="n">
        <v>20</v>
      </c>
      <c r="AN1415" s="7" t="n">
        <v>3</v>
      </c>
      <c r="AO1415" s="7" t="n">
        <v>3</v>
      </c>
      <c r="AP1415" s="7" t="n">
        <v>0</v>
      </c>
      <c r="AQ1415" s="7" t="n">
        <v>0</v>
      </c>
      <c r="AR1415" s="6" t="s">
        <v>63</v>
      </c>
      <c r="AS1415" s="6" t="s">
        <v>57</v>
      </c>
      <c r="AT1415" s="9" t="str">
        <f aca="false">HYPERLINK("http://catalog.hathitrust.org/Record/001385159","HathiTrust Record")</f>
        <v>HathiTrust Record</v>
      </c>
      <c r="AU1415" s="9" t="str">
        <f aca="false">HYPERLINK("https://creighton-primo.hosted.exlibrisgroup.com/primo-explore/search?tab=default_tab&amp;search_scope=EVERYTHING&amp;vid=01CRU&amp;lang=en_US&amp;offset=0&amp;query=any,contains,991002937119702656","Catalog Record")</f>
        <v>Catalog Record</v>
      </c>
      <c r="AV1415" s="9" t="str">
        <f aca="false">HYPERLINK("http://www.worldcat.org/oclc/533704","WorldCat Record")</f>
        <v>WorldCat Record</v>
      </c>
      <c r="AW1415" s="6" t="s">
        <v>11186</v>
      </c>
      <c r="AX1415" s="6" t="s">
        <v>11187</v>
      </c>
      <c r="AY1415" s="6" t="s">
        <v>11188</v>
      </c>
      <c r="AZ1415" s="6" t="s">
        <v>11188</v>
      </c>
      <c r="BA1415" s="6" t="s">
        <v>11189</v>
      </c>
      <c r="BB1415" s="6" t="s">
        <v>11190</v>
      </c>
      <c r="BC1415" s="6" t="s">
        <v>11191</v>
      </c>
      <c r="BE1415" s="15" t="s">
        <v>2145</v>
      </c>
      <c r="BF1415" s="6" t="s">
        <v>11192</v>
      </c>
    </row>
    <row r="1416" customFormat="false" ht="59.5" hidden="false" customHeight="false" outlineLevel="0" collapsed="false">
      <c r="A1416" s="26" t="s">
        <v>63</v>
      </c>
      <c r="B1416" s="27" t="s">
        <v>2129</v>
      </c>
      <c r="C1416" s="27" t="s">
        <v>2130</v>
      </c>
      <c r="D1416" s="27" t="s">
        <v>11193</v>
      </c>
      <c r="E1416" s="27" t="s">
        <v>11194</v>
      </c>
      <c r="F1416" s="27" t="s">
        <v>11195</v>
      </c>
      <c r="G1416" s="28"/>
      <c r="H1416" s="6" t="s">
        <v>63</v>
      </c>
      <c r="I1416" s="6" t="s">
        <v>62</v>
      </c>
      <c r="J1416" s="6" t="s">
        <v>63</v>
      </c>
      <c r="K1416" s="6" t="s">
        <v>63</v>
      </c>
      <c r="L1416" s="6" t="s">
        <v>64</v>
      </c>
      <c r="M1416" s="27" t="s">
        <v>11196</v>
      </c>
      <c r="N1416" s="27" t="s">
        <v>11197</v>
      </c>
      <c r="O1416" s="6" t="s">
        <v>233</v>
      </c>
      <c r="P1416" s="28"/>
      <c r="Q1416" s="6" t="s">
        <v>9090</v>
      </c>
      <c r="R1416" s="6" t="s">
        <v>9091</v>
      </c>
      <c r="S1416" s="28"/>
      <c r="T1416" s="6" t="s">
        <v>6138</v>
      </c>
      <c r="U1416" s="7" t="n">
        <v>5</v>
      </c>
      <c r="V1416" s="7" t="n">
        <v>5</v>
      </c>
      <c r="W1416" s="8" t="s">
        <v>11198</v>
      </c>
      <c r="X1416" s="8" t="s">
        <v>11198</v>
      </c>
      <c r="Y1416" s="8" t="s">
        <v>7722</v>
      </c>
      <c r="Z1416" s="8" t="s">
        <v>7722</v>
      </c>
      <c r="AA1416" s="7" t="n">
        <v>48</v>
      </c>
      <c r="AB1416" s="7" t="n">
        <v>35</v>
      </c>
      <c r="AC1416" s="7" t="n">
        <v>120</v>
      </c>
      <c r="AD1416" s="7" t="n">
        <v>1</v>
      </c>
      <c r="AE1416" s="7" t="n">
        <v>2</v>
      </c>
      <c r="AF1416" s="7" t="n">
        <v>3</v>
      </c>
      <c r="AG1416" s="7" t="n">
        <v>9</v>
      </c>
      <c r="AH1416" s="7" t="n">
        <v>0</v>
      </c>
      <c r="AI1416" s="7" t="n">
        <v>2</v>
      </c>
      <c r="AJ1416" s="7" t="n">
        <v>1</v>
      </c>
      <c r="AK1416" s="7" t="n">
        <v>3</v>
      </c>
      <c r="AL1416" s="7" t="n">
        <v>3</v>
      </c>
      <c r="AM1416" s="7" t="n">
        <v>6</v>
      </c>
      <c r="AN1416" s="7" t="n">
        <v>0</v>
      </c>
      <c r="AO1416" s="7" t="n">
        <v>1</v>
      </c>
      <c r="AP1416" s="7" t="n">
        <v>0</v>
      </c>
      <c r="AQ1416" s="7" t="n">
        <v>0</v>
      </c>
      <c r="AR1416" s="6" t="s">
        <v>63</v>
      </c>
      <c r="AS1416" s="6" t="s">
        <v>57</v>
      </c>
      <c r="AT1416" s="9" t="str">
        <f aca="false">HYPERLINK("http://catalog.hathitrust.org/Record/006752232","HathiTrust Record")</f>
        <v>HathiTrust Record</v>
      </c>
      <c r="AU1416" s="9" t="str">
        <f aca="false">HYPERLINK("https://creighton-primo.hosted.exlibrisgroup.com/primo-explore/search?tab=default_tab&amp;search_scope=EVERYTHING&amp;vid=01CRU&amp;lang=en_US&amp;offset=0&amp;query=any,contains,991004876229702656","Catalog Record")</f>
        <v>Catalog Record</v>
      </c>
      <c r="AV1416" s="9" t="str">
        <f aca="false">HYPERLINK("http://www.worldcat.org/oclc/5792996","WorldCat Record")</f>
        <v>WorldCat Record</v>
      </c>
      <c r="AW1416" s="6" t="s">
        <v>11199</v>
      </c>
      <c r="AX1416" s="6" t="s">
        <v>11200</v>
      </c>
      <c r="AY1416" s="6" t="s">
        <v>11201</v>
      </c>
      <c r="AZ1416" s="6" t="s">
        <v>11201</v>
      </c>
      <c r="BA1416" s="6" t="s">
        <v>11202</v>
      </c>
      <c r="BB1416" s="28"/>
      <c r="BC1416" s="6" t="s">
        <v>11203</v>
      </c>
      <c r="BE1416" s="15" t="s">
        <v>2145</v>
      </c>
      <c r="BF1416" s="6" t="s">
        <v>11204</v>
      </c>
    </row>
    <row r="1417" customFormat="false" ht="82.5" hidden="false" customHeight="false" outlineLevel="0" collapsed="false">
      <c r="A1417" s="26" t="s">
        <v>63</v>
      </c>
      <c r="B1417" s="27" t="s">
        <v>2129</v>
      </c>
      <c r="C1417" s="27" t="s">
        <v>2130</v>
      </c>
      <c r="D1417" s="27" t="s">
        <v>11205</v>
      </c>
      <c r="E1417" s="27" t="s">
        <v>11206</v>
      </c>
      <c r="F1417" s="27" t="s">
        <v>11207</v>
      </c>
      <c r="G1417" s="28"/>
      <c r="H1417" s="6" t="s">
        <v>63</v>
      </c>
      <c r="I1417" s="6" t="s">
        <v>62</v>
      </c>
      <c r="J1417" s="6" t="s">
        <v>63</v>
      </c>
      <c r="K1417" s="6" t="s">
        <v>63</v>
      </c>
      <c r="L1417" s="6" t="s">
        <v>64</v>
      </c>
      <c r="M1417" s="27" t="s">
        <v>11208</v>
      </c>
      <c r="N1417" s="27" t="s">
        <v>11209</v>
      </c>
      <c r="O1417" s="6" t="s">
        <v>3405</v>
      </c>
      <c r="P1417" s="28"/>
      <c r="Q1417" s="6" t="s">
        <v>67</v>
      </c>
      <c r="R1417" s="6" t="s">
        <v>123</v>
      </c>
      <c r="S1417" s="28"/>
      <c r="T1417" s="6" t="s">
        <v>6138</v>
      </c>
      <c r="U1417" s="7" t="n">
        <v>3</v>
      </c>
      <c r="V1417" s="7" t="n">
        <v>3</v>
      </c>
      <c r="W1417" s="8" t="s">
        <v>11210</v>
      </c>
      <c r="X1417" s="8" t="s">
        <v>11210</v>
      </c>
      <c r="Y1417" s="8" t="s">
        <v>7722</v>
      </c>
      <c r="Z1417" s="8" t="s">
        <v>7722</v>
      </c>
      <c r="AA1417" s="7" t="n">
        <v>539</v>
      </c>
      <c r="AB1417" s="7" t="n">
        <v>460</v>
      </c>
      <c r="AC1417" s="7" t="n">
        <v>666</v>
      </c>
      <c r="AD1417" s="7" t="n">
        <v>2</v>
      </c>
      <c r="AE1417" s="7" t="n">
        <v>4</v>
      </c>
      <c r="AF1417" s="7" t="n">
        <v>26</v>
      </c>
      <c r="AG1417" s="7" t="n">
        <v>38</v>
      </c>
      <c r="AH1417" s="7" t="n">
        <v>10</v>
      </c>
      <c r="AI1417" s="7" t="n">
        <v>15</v>
      </c>
      <c r="AJ1417" s="7" t="n">
        <v>5</v>
      </c>
      <c r="AK1417" s="7" t="n">
        <v>9</v>
      </c>
      <c r="AL1417" s="7" t="n">
        <v>19</v>
      </c>
      <c r="AM1417" s="7" t="n">
        <v>25</v>
      </c>
      <c r="AN1417" s="7" t="n">
        <v>1</v>
      </c>
      <c r="AO1417" s="7" t="n">
        <v>2</v>
      </c>
      <c r="AP1417" s="7" t="n">
        <v>0</v>
      </c>
      <c r="AQ1417" s="7" t="n">
        <v>0</v>
      </c>
      <c r="AR1417" s="6" t="s">
        <v>63</v>
      </c>
      <c r="AS1417" s="6" t="s">
        <v>57</v>
      </c>
      <c r="AT1417" s="9" t="str">
        <f aca="false">HYPERLINK("http://catalog.hathitrust.org/Record/001385160","HathiTrust Record")</f>
        <v>HathiTrust Record</v>
      </c>
      <c r="AU1417" s="9" t="str">
        <f aca="false">HYPERLINK("https://creighton-primo.hosted.exlibrisgroup.com/primo-explore/search?tab=default_tab&amp;search_scope=EVERYTHING&amp;vid=01CRU&amp;lang=en_US&amp;offset=0&amp;query=any,contains,991002567009702656","Catalog Record")</f>
        <v>Catalog Record</v>
      </c>
      <c r="AV1417" s="9" t="str">
        <f aca="false">HYPERLINK("http://www.worldcat.org/oclc/372791","WorldCat Record")</f>
        <v>WorldCat Record</v>
      </c>
      <c r="AW1417" s="6" t="s">
        <v>11211</v>
      </c>
      <c r="AX1417" s="6" t="s">
        <v>11212</v>
      </c>
      <c r="AY1417" s="6" t="s">
        <v>11213</v>
      </c>
      <c r="AZ1417" s="6" t="s">
        <v>11213</v>
      </c>
      <c r="BA1417" s="6" t="s">
        <v>11214</v>
      </c>
      <c r="BB1417" s="28"/>
      <c r="BC1417" s="6" t="s">
        <v>11215</v>
      </c>
      <c r="BE1417" s="15" t="s">
        <v>2145</v>
      </c>
      <c r="BF1417" s="6" t="s">
        <v>11216</v>
      </c>
    </row>
    <row r="1418" customFormat="false" ht="163" hidden="false" customHeight="false" outlineLevel="0" collapsed="false">
      <c r="A1418" s="26" t="s">
        <v>63</v>
      </c>
      <c r="B1418" s="27" t="s">
        <v>2129</v>
      </c>
      <c r="C1418" s="27" t="s">
        <v>2130</v>
      </c>
      <c r="D1418" s="27" t="s">
        <v>11217</v>
      </c>
      <c r="E1418" s="27" t="s">
        <v>11218</v>
      </c>
      <c r="F1418" s="27" t="s">
        <v>11219</v>
      </c>
      <c r="G1418" s="28"/>
      <c r="H1418" s="6" t="s">
        <v>63</v>
      </c>
      <c r="I1418" s="6" t="s">
        <v>62</v>
      </c>
      <c r="J1418" s="6" t="s">
        <v>63</v>
      </c>
      <c r="K1418" s="6" t="s">
        <v>63</v>
      </c>
      <c r="L1418" s="6" t="s">
        <v>64</v>
      </c>
      <c r="M1418" s="27" t="s">
        <v>4432</v>
      </c>
      <c r="N1418" s="27" t="s">
        <v>11220</v>
      </c>
      <c r="O1418" s="6" t="s">
        <v>2369</v>
      </c>
      <c r="P1418" s="28"/>
      <c r="Q1418" s="6" t="s">
        <v>67</v>
      </c>
      <c r="R1418" s="6" t="s">
        <v>123</v>
      </c>
      <c r="S1418" s="28"/>
      <c r="T1418" s="6" t="s">
        <v>6138</v>
      </c>
      <c r="U1418" s="7" t="n">
        <v>3</v>
      </c>
      <c r="V1418" s="7" t="n">
        <v>3</v>
      </c>
      <c r="W1418" s="8" t="s">
        <v>11136</v>
      </c>
      <c r="X1418" s="8" t="s">
        <v>11136</v>
      </c>
      <c r="Y1418" s="8" t="s">
        <v>7722</v>
      </c>
      <c r="Z1418" s="8" t="s">
        <v>7722</v>
      </c>
      <c r="AA1418" s="7" t="n">
        <v>98</v>
      </c>
      <c r="AB1418" s="7" t="n">
        <v>85</v>
      </c>
      <c r="AC1418" s="7" t="n">
        <v>859</v>
      </c>
      <c r="AD1418" s="7" t="n">
        <v>1</v>
      </c>
      <c r="AE1418" s="7" t="n">
        <v>5</v>
      </c>
      <c r="AF1418" s="7" t="n">
        <v>3</v>
      </c>
      <c r="AG1418" s="7" t="n">
        <v>47</v>
      </c>
      <c r="AH1418" s="7" t="n">
        <v>2</v>
      </c>
      <c r="AI1418" s="7" t="n">
        <v>21</v>
      </c>
      <c r="AJ1418" s="7" t="n">
        <v>0</v>
      </c>
      <c r="AK1418" s="7" t="n">
        <v>9</v>
      </c>
      <c r="AL1418" s="7" t="n">
        <v>1</v>
      </c>
      <c r="AM1418" s="7" t="n">
        <v>24</v>
      </c>
      <c r="AN1418" s="7" t="n">
        <v>0</v>
      </c>
      <c r="AO1418" s="7" t="n">
        <v>4</v>
      </c>
      <c r="AP1418" s="7" t="n">
        <v>0</v>
      </c>
      <c r="AQ1418" s="7" t="n">
        <v>0</v>
      </c>
      <c r="AR1418" s="6" t="s">
        <v>63</v>
      </c>
      <c r="AS1418" s="6" t="s">
        <v>57</v>
      </c>
      <c r="AT1418" s="9" t="str">
        <f aca="false">HYPERLINK("http://catalog.hathitrust.org/Record/001916851","HathiTrust Record")</f>
        <v>HathiTrust Record</v>
      </c>
      <c r="AU1418" s="9" t="str">
        <f aca="false">HYPERLINK("https://creighton-primo.hosted.exlibrisgroup.com/primo-explore/search?tab=default_tab&amp;search_scope=EVERYTHING&amp;vid=01CRU&amp;lang=en_US&amp;offset=0&amp;query=any,contains,991004519769702656","Catalog Record")</f>
        <v>Catalog Record</v>
      </c>
      <c r="AV1418" s="9" t="str">
        <f aca="false">HYPERLINK("http://www.worldcat.org/oclc/3808363","WorldCat Record")</f>
        <v>WorldCat Record</v>
      </c>
      <c r="AW1418" s="6" t="s">
        <v>11221</v>
      </c>
      <c r="AX1418" s="6" t="s">
        <v>11222</v>
      </c>
      <c r="AY1418" s="6" t="s">
        <v>11223</v>
      </c>
      <c r="AZ1418" s="6" t="s">
        <v>11223</v>
      </c>
      <c r="BA1418" s="6" t="s">
        <v>11224</v>
      </c>
      <c r="BB1418" s="28"/>
      <c r="BC1418" s="6" t="s">
        <v>11225</v>
      </c>
      <c r="BE1418" s="15" t="s">
        <v>2145</v>
      </c>
      <c r="BF1418" s="6" t="s">
        <v>11226</v>
      </c>
    </row>
    <row r="1419" customFormat="false" ht="82.5" hidden="false" customHeight="false" outlineLevel="0" collapsed="false">
      <c r="A1419" s="26" t="s">
        <v>63</v>
      </c>
      <c r="B1419" s="27" t="s">
        <v>2129</v>
      </c>
      <c r="C1419" s="27" t="s">
        <v>2130</v>
      </c>
      <c r="D1419" s="27" t="s">
        <v>11227</v>
      </c>
      <c r="E1419" s="27" t="s">
        <v>11228</v>
      </c>
      <c r="F1419" s="27" t="s">
        <v>11229</v>
      </c>
      <c r="G1419" s="28"/>
      <c r="H1419" s="6" t="s">
        <v>63</v>
      </c>
      <c r="I1419" s="6" t="s">
        <v>62</v>
      </c>
      <c r="J1419" s="6" t="s">
        <v>63</v>
      </c>
      <c r="K1419" s="6" t="s">
        <v>63</v>
      </c>
      <c r="L1419" s="6" t="s">
        <v>64</v>
      </c>
      <c r="M1419" s="27" t="s">
        <v>11230</v>
      </c>
      <c r="N1419" s="27" t="s">
        <v>11231</v>
      </c>
      <c r="O1419" s="6" t="s">
        <v>195</v>
      </c>
      <c r="P1419" s="28"/>
      <c r="Q1419" s="6" t="s">
        <v>67</v>
      </c>
      <c r="R1419" s="6" t="s">
        <v>367</v>
      </c>
      <c r="S1419" s="27" t="s">
        <v>11232</v>
      </c>
      <c r="T1419" s="6" t="s">
        <v>6138</v>
      </c>
      <c r="U1419" s="7" t="n">
        <v>3</v>
      </c>
      <c r="V1419" s="7" t="n">
        <v>3</v>
      </c>
      <c r="W1419" s="8" t="s">
        <v>11233</v>
      </c>
      <c r="X1419" s="8" t="s">
        <v>11233</v>
      </c>
      <c r="Y1419" s="8" t="s">
        <v>7722</v>
      </c>
      <c r="Z1419" s="8" t="s">
        <v>7722</v>
      </c>
      <c r="AA1419" s="7" t="n">
        <v>308</v>
      </c>
      <c r="AB1419" s="7" t="n">
        <v>209</v>
      </c>
      <c r="AC1419" s="7" t="n">
        <v>237</v>
      </c>
      <c r="AD1419" s="7" t="n">
        <v>1</v>
      </c>
      <c r="AE1419" s="7" t="n">
        <v>1</v>
      </c>
      <c r="AF1419" s="7" t="n">
        <v>16</v>
      </c>
      <c r="AG1419" s="7" t="n">
        <v>16</v>
      </c>
      <c r="AH1419" s="7" t="n">
        <v>6</v>
      </c>
      <c r="AI1419" s="7" t="n">
        <v>6</v>
      </c>
      <c r="AJ1419" s="7" t="n">
        <v>2</v>
      </c>
      <c r="AK1419" s="7" t="n">
        <v>2</v>
      </c>
      <c r="AL1419" s="7" t="n">
        <v>13</v>
      </c>
      <c r="AM1419" s="7" t="n">
        <v>13</v>
      </c>
      <c r="AN1419" s="7" t="n">
        <v>0</v>
      </c>
      <c r="AO1419" s="7" t="n">
        <v>0</v>
      </c>
      <c r="AP1419" s="7" t="n">
        <v>0</v>
      </c>
      <c r="AQ1419" s="7" t="n">
        <v>0</v>
      </c>
      <c r="AR1419" s="6" t="s">
        <v>63</v>
      </c>
      <c r="AS1419" s="6" t="s">
        <v>57</v>
      </c>
      <c r="AT1419" s="9" t="str">
        <f aca="false">HYPERLINK("http://catalog.hathitrust.org/Record/006752235","HathiTrust Record")</f>
        <v>HathiTrust Record</v>
      </c>
      <c r="AU1419" s="9" t="str">
        <f aca="false">HYPERLINK("https://creighton-primo.hosted.exlibrisgroup.com/primo-explore/search?tab=default_tab&amp;search_scope=EVERYTHING&amp;vid=01CRU&amp;lang=en_US&amp;offset=0&amp;query=any,contains,991003615909702656","Catalog Record")</f>
        <v>Catalog Record</v>
      </c>
      <c r="AV1419" s="9" t="str">
        <f aca="false">HYPERLINK("http://www.worldcat.org/oclc/1200192","WorldCat Record")</f>
        <v>WorldCat Record</v>
      </c>
      <c r="AW1419" s="6" t="s">
        <v>11234</v>
      </c>
      <c r="AX1419" s="6" t="s">
        <v>11235</v>
      </c>
      <c r="AY1419" s="6" t="s">
        <v>11236</v>
      </c>
      <c r="AZ1419" s="6" t="s">
        <v>11236</v>
      </c>
      <c r="BA1419" s="6" t="s">
        <v>11237</v>
      </c>
      <c r="BB1419" s="28"/>
      <c r="BC1419" s="6" t="s">
        <v>11238</v>
      </c>
      <c r="BE1419" s="15" t="s">
        <v>2145</v>
      </c>
      <c r="BF1419" s="6" t="s">
        <v>11239</v>
      </c>
    </row>
    <row r="1420" customFormat="false" ht="128.5" hidden="false" customHeight="false" outlineLevel="0" collapsed="false">
      <c r="A1420" s="26" t="s">
        <v>63</v>
      </c>
      <c r="B1420" s="27" t="s">
        <v>2129</v>
      </c>
      <c r="C1420" s="27" t="s">
        <v>2130</v>
      </c>
      <c r="D1420" s="27" t="s">
        <v>11240</v>
      </c>
      <c r="E1420" s="27" t="s">
        <v>11241</v>
      </c>
      <c r="F1420" s="27" t="s">
        <v>11242</v>
      </c>
      <c r="G1420" s="28"/>
      <c r="H1420" s="6" t="s">
        <v>63</v>
      </c>
      <c r="I1420" s="6" t="s">
        <v>62</v>
      </c>
      <c r="J1420" s="6" t="s">
        <v>63</v>
      </c>
      <c r="K1420" s="6" t="s">
        <v>63</v>
      </c>
      <c r="L1420" s="6" t="s">
        <v>64</v>
      </c>
      <c r="M1420" s="27" t="s">
        <v>11243</v>
      </c>
      <c r="N1420" s="27" t="s">
        <v>11244</v>
      </c>
      <c r="O1420" s="6" t="s">
        <v>122</v>
      </c>
      <c r="P1420" s="28"/>
      <c r="Q1420" s="6" t="s">
        <v>67</v>
      </c>
      <c r="R1420" s="6" t="s">
        <v>9091</v>
      </c>
      <c r="S1420" s="28"/>
      <c r="T1420" s="6" t="s">
        <v>6138</v>
      </c>
      <c r="U1420" s="7" t="n">
        <v>3</v>
      </c>
      <c r="V1420" s="7" t="n">
        <v>3</v>
      </c>
      <c r="W1420" s="8" t="s">
        <v>11245</v>
      </c>
      <c r="X1420" s="8" t="s">
        <v>11245</v>
      </c>
      <c r="Y1420" s="8" t="s">
        <v>7722</v>
      </c>
      <c r="Z1420" s="8" t="s">
        <v>7722</v>
      </c>
      <c r="AA1420" s="7" t="n">
        <v>140</v>
      </c>
      <c r="AB1420" s="7" t="n">
        <v>81</v>
      </c>
      <c r="AC1420" s="7" t="n">
        <v>82</v>
      </c>
      <c r="AD1420" s="7" t="n">
        <v>1</v>
      </c>
      <c r="AE1420" s="7" t="n">
        <v>1</v>
      </c>
      <c r="AF1420" s="7" t="n">
        <v>4</v>
      </c>
      <c r="AG1420" s="7" t="n">
        <v>4</v>
      </c>
      <c r="AH1420" s="7" t="n">
        <v>0</v>
      </c>
      <c r="AI1420" s="7" t="n">
        <v>0</v>
      </c>
      <c r="AJ1420" s="7" t="n">
        <v>2</v>
      </c>
      <c r="AK1420" s="7" t="n">
        <v>2</v>
      </c>
      <c r="AL1420" s="7" t="n">
        <v>4</v>
      </c>
      <c r="AM1420" s="7" t="n">
        <v>4</v>
      </c>
      <c r="AN1420" s="7" t="n">
        <v>0</v>
      </c>
      <c r="AO1420" s="7" t="n">
        <v>0</v>
      </c>
      <c r="AP1420" s="7" t="n">
        <v>0</v>
      </c>
      <c r="AQ1420" s="7" t="n">
        <v>0</v>
      </c>
      <c r="AR1420" s="6" t="s">
        <v>63</v>
      </c>
      <c r="AS1420" s="6" t="s">
        <v>57</v>
      </c>
      <c r="AT1420" s="9" t="str">
        <f aca="false">HYPERLINK("http://catalog.hathitrust.org/Record/101882940","HathiTrust Record")</f>
        <v>HathiTrust Record</v>
      </c>
      <c r="AU1420" s="9" t="str">
        <f aca="false">HYPERLINK("https://creighton-primo.hosted.exlibrisgroup.com/primo-explore/search?tab=default_tab&amp;search_scope=EVERYTHING&amp;vid=01CRU&amp;lang=en_US&amp;offset=0&amp;query=any,contains,991003844509702656","Catalog Record")</f>
        <v>Catalog Record</v>
      </c>
      <c r="AV1420" s="9" t="str">
        <f aca="false">HYPERLINK("http://www.worldcat.org/oclc/1626067","WorldCat Record")</f>
        <v>WorldCat Record</v>
      </c>
      <c r="AW1420" s="6" t="s">
        <v>11246</v>
      </c>
      <c r="AX1420" s="6" t="s">
        <v>11247</v>
      </c>
      <c r="AY1420" s="6" t="s">
        <v>11248</v>
      </c>
      <c r="AZ1420" s="6" t="s">
        <v>11248</v>
      </c>
      <c r="BA1420" s="6" t="s">
        <v>11249</v>
      </c>
      <c r="BB1420" s="28"/>
      <c r="BC1420" s="6" t="s">
        <v>11250</v>
      </c>
      <c r="BE1420" s="15" t="s">
        <v>2145</v>
      </c>
      <c r="BF1420" s="6" t="s">
        <v>11251</v>
      </c>
    </row>
    <row r="1421" customFormat="false" ht="117" hidden="false" customHeight="false" outlineLevel="0" collapsed="false">
      <c r="A1421" s="26" t="s">
        <v>63</v>
      </c>
      <c r="B1421" s="27" t="s">
        <v>2129</v>
      </c>
      <c r="C1421" s="27" t="s">
        <v>2130</v>
      </c>
      <c r="D1421" s="27" t="s">
        <v>11252</v>
      </c>
      <c r="E1421" s="27" t="s">
        <v>11253</v>
      </c>
      <c r="F1421" s="27" t="s">
        <v>11254</v>
      </c>
      <c r="G1421" s="28"/>
      <c r="H1421" s="6" t="s">
        <v>63</v>
      </c>
      <c r="I1421" s="6" t="s">
        <v>62</v>
      </c>
      <c r="J1421" s="6" t="s">
        <v>63</v>
      </c>
      <c r="K1421" s="6" t="s">
        <v>63</v>
      </c>
      <c r="L1421" s="6" t="s">
        <v>64</v>
      </c>
      <c r="M1421" s="28"/>
      <c r="N1421" s="27" t="s">
        <v>11255</v>
      </c>
      <c r="O1421" s="6" t="s">
        <v>2343</v>
      </c>
      <c r="P1421" s="28"/>
      <c r="Q1421" s="6" t="s">
        <v>67</v>
      </c>
      <c r="R1421" s="6" t="s">
        <v>123</v>
      </c>
      <c r="S1421" s="27" t="s">
        <v>5820</v>
      </c>
      <c r="T1421" s="6" t="s">
        <v>6138</v>
      </c>
      <c r="U1421" s="7" t="n">
        <v>2</v>
      </c>
      <c r="V1421" s="7" t="n">
        <v>2</v>
      </c>
      <c r="W1421" s="8" t="s">
        <v>11136</v>
      </c>
      <c r="X1421" s="8" t="s">
        <v>11136</v>
      </c>
      <c r="Y1421" s="8" t="s">
        <v>7722</v>
      </c>
      <c r="Z1421" s="8" t="s">
        <v>7722</v>
      </c>
      <c r="AA1421" s="7" t="n">
        <v>462</v>
      </c>
      <c r="AB1421" s="7" t="n">
        <v>317</v>
      </c>
      <c r="AC1421" s="7" t="n">
        <v>324</v>
      </c>
      <c r="AD1421" s="7" t="n">
        <v>2</v>
      </c>
      <c r="AE1421" s="7" t="n">
        <v>2</v>
      </c>
      <c r="AF1421" s="7" t="n">
        <v>17</v>
      </c>
      <c r="AG1421" s="7" t="n">
        <v>17</v>
      </c>
      <c r="AH1421" s="7" t="n">
        <v>7</v>
      </c>
      <c r="AI1421" s="7" t="n">
        <v>7</v>
      </c>
      <c r="AJ1421" s="7" t="n">
        <v>5</v>
      </c>
      <c r="AK1421" s="7" t="n">
        <v>5</v>
      </c>
      <c r="AL1421" s="7" t="n">
        <v>13</v>
      </c>
      <c r="AM1421" s="7" t="n">
        <v>13</v>
      </c>
      <c r="AN1421" s="7" t="n">
        <v>1</v>
      </c>
      <c r="AO1421" s="7" t="n">
        <v>1</v>
      </c>
      <c r="AP1421" s="7" t="n">
        <v>0</v>
      </c>
      <c r="AQ1421" s="7" t="n">
        <v>0</v>
      </c>
      <c r="AR1421" s="6" t="s">
        <v>63</v>
      </c>
      <c r="AS1421" s="6" t="s">
        <v>57</v>
      </c>
      <c r="AT1421" s="9" t="str">
        <f aca="false">HYPERLINK("http://catalog.hathitrust.org/Record/000148973","HathiTrust Record")</f>
        <v>HathiTrust Record</v>
      </c>
      <c r="AU1421" s="9" t="str">
        <f aca="false">HYPERLINK("https://creighton-primo.hosted.exlibrisgroup.com/primo-explore/search?tab=default_tab&amp;search_scope=EVERYTHING&amp;vid=01CRU&amp;lang=en_US&amp;offset=0&amp;query=any,contains,991005206819702656","Catalog Record")</f>
        <v>Catalog Record</v>
      </c>
      <c r="AV1421" s="9" t="str">
        <f aca="false">HYPERLINK("http://www.worldcat.org/oclc/9132493","WorldCat Record")</f>
        <v>WorldCat Record</v>
      </c>
      <c r="AW1421" s="6" t="s">
        <v>11256</v>
      </c>
      <c r="AX1421" s="6" t="s">
        <v>11257</v>
      </c>
      <c r="AY1421" s="6" t="s">
        <v>11258</v>
      </c>
      <c r="AZ1421" s="6" t="s">
        <v>11258</v>
      </c>
      <c r="BA1421" s="6" t="s">
        <v>11259</v>
      </c>
      <c r="BB1421" s="6" t="s">
        <v>11260</v>
      </c>
      <c r="BC1421" s="6" t="s">
        <v>11261</v>
      </c>
      <c r="BE1421" s="15" t="s">
        <v>2145</v>
      </c>
      <c r="BF1421" s="6" t="s">
        <v>11262</v>
      </c>
    </row>
    <row r="1422" customFormat="false" ht="59.5" hidden="false" customHeight="false" outlineLevel="0" collapsed="false">
      <c r="A1422" s="26" t="s">
        <v>63</v>
      </c>
      <c r="B1422" s="27" t="s">
        <v>2129</v>
      </c>
      <c r="C1422" s="27" t="s">
        <v>2130</v>
      </c>
      <c r="D1422" s="27" t="s">
        <v>11263</v>
      </c>
      <c r="E1422" s="27" t="s">
        <v>11264</v>
      </c>
      <c r="F1422" s="27" t="s">
        <v>11265</v>
      </c>
      <c r="G1422" s="28"/>
      <c r="H1422" s="6" t="s">
        <v>63</v>
      </c>
      <c r="I1422" s="6" t="s">
        <v>62</v>
      </c>
      <c r="J1422" s="6" t="s">
        <v>63</v>
      </c>
      <c r="K1422" s="6" t="s">
        <v>63</v>
      </c>
      <c r="L1422" s="6" t="s">
        <v>64</v>
      </c>
      <c r="M1422" s="27" t="s">
        <v>11266</v>
      </c>
      <c r="N1422" s="27" t="s">
        <v>11267</v>
      </c>
      <c r="O1422" s="6" t="s">
        <v>2369</v>
      </c>
      <c r="P1422" s="28"/>
      <c r="Q1422" s="6" t="s">
        <v>67</v>
      </c>
      <c r="R1422" s="6" t="s">
        <v>802</v>
      </c>
      <c r="S1422" s="28"/>
      <c r="T1422" s="6" t="s">
        <v>6138</v>
      </c>
      <c r="U1422" s="7" t="n">
        <v>3</v>
      </c>
      <c r="V1422" s="7" t="n">
        <v>3</v>
      </c>
      <c r="W1422" s="8" t="s">
        <v>11172</v>
      </c>
      <c r="X1422" s="8" t="s">
        <v>11172</v>
      </c>
      <c r="Y1422" s="8" t="s">
        <v>7722</v>
      </c>
      <c r="Z1422" s="8" t="s">
        <v>7722</v>
      </c>
      <c r="AA1422" s="7" t="n">
        <v>413</v>
      </c>
      <c r="AB1422" s="7" t="n">
        <v>314</v>
      </c>
      <c r="AC1422" s="7" t="n">
        <v>322</v>
      </c>
      <c r="AD1422" s="7" t="n">
        <v>2</v>
      </c>
      <c r="AE1422" s="7" t="n">
        <v>2</v>
      </c>
      <c r="AF1422" s="7" t="n">
        <v>22</v>
      </c>
      <c r="AG1422" s="7" t="n">
        <v>22</v>
      </c>
      <c r="AH1422" s="7" t="n">
        <v>5</v>
      </c>
      <c r="AI1422" s="7" t="n">
        <v>5</v>
      </c>
      <c r="AJ1422" s="7" t="n">
        <v>7</v>
      </c>
      <c r="AK1422" s="7" t="n">
        <v>7</v>
      </c>
      <c r="AL1422" s="7" t="n">
        <v>16</v>
      </c>
      <c r="AM1422" s="7" t="n">
        <v>16</v>
      </c>
      <c r="AN1422" s="7" t="n">
        <v>1</v>
      </c>
      <c r="AO1422" s="7" t="n">
        <v>1</v>
      </c>
      <c r="AP1422" s="7" t="n">
        <v>0</v>
      </c>
      <c r="AQ1422" s="7" t="n">
        <v>0</v>
      </c>
      <c r="AR1422" s="6" t="s">
        <v>63</v>
      </c>
      <c r="AS1422" s="6" t="s">
        <v>57</v>
      </c>
      <c r="AT1422" s="9" t="str">
        <f aca="false">HYPERLINK("http://catalog.hathitrust.org/Record/001385171","HathiTrust Record")</f>
        <v>HathiTrust Record</v>
      </c>
      <c r="AU1422" s="9" t="str">
        <f aca="false">HYPERLINK("https://creighton-primo.hosted.exlibrisgroup.com/primo-explore/search?tab=default_tab&amp;search_scope=EVERYTHING&amp;vid=01CRU&amp;lang=en_US&amp;offset=0&amp;query=any,contains,991002879479702656","Catalog Record")</f>
        <v>Catalog Record</v>
      </c>
      <c r="AV1422" s="9" t="str">
        <f aca="false">HYPERLINK("http://www.worldcat.org/oclc/504737","WorldCat Record")</f>
        <v>WorldCat Record</v>
      </c>
      <c r="AW1422" s="6" t="s">
        <v>11268</v>
      </c>
      <c r="AX1422" s="6" t="s">
        <v>11269</v>
      </c>
      <c r="AY1422" s="6" t="s">
        <v>11270</v>
      </c>
      <c r="AZ1422" s="6" t="s">
        <v>11270</v>
      </c>
      <c r="BA1422" s="6" t="s">
        <v>11271</v>
      </c>
      <c r="BB1422" s="28"/>
      <c r="BC1422" s="6" t="s">
        <v>11272</v>
      </c>
      <c r="BE1422" s="15" t="s">
        <v>2145</v>
      </c>
      <c r="BF1422" s="6" t="s">
        <v>11273</v>
      </c>
    </row>
    <row r="1423" customFormat="false" ht="71" hidden="false" customHeight="false" outlineLevel="0" collapsed="false">
      <c r="A1423" s="26" t="s">
        <v>63</v>
      </c>
      <c r="B1423" s="27" t="s">
        <v>2129</v>
      </c>
      <c r="C1423" s="27" t="s">
        <v>2130</v>
      </c>
      <c r="D1423" s="27" t="s">
        <v>11274</v>
      </c>
      <c r="E1423" s="27" t="s">
        <v>11275</v>
      </c>
      <c r="F1423" s="27" t="s">
        <v>11276</v>
      </c>
      <c r="G1423" s="28"/>
      <c r="H1423" s="6" t="s">
        <v>63</v>
      </c>
      <c r="I1423" s="6" t="s">
        <v>62</v>
      </c>
      <c r="J1423" s="6" t="s">
        <v>63</v>
      </c>
      <c r="K1423" s="6" t="s">
        <v>63</v>
      </c>
      <c r="L1423" s="6" t="s">
        <v>64</v>
      </c>
      <c r="M1423" s="27" t="s">
        <v>11277</v>
      </c>
      <c r="N1423" s="27" t="s">
        <v>11278</v>
      </c>
      <c r="O1423" s="6" t="s">
        <v>2665</v>
      </c>
      <c r="P1423" s="28"/>
      <c r="Q1423" s="6" t="s">
        <v>67</v>
      </c>
      <c r="R1423" s="6" t="s">
        <v>68</v>
      </c>
      <c r="S1423" s="28"/>
      <c r="T1423" s="6" t="s">
        <v>6138</v>
      </c>
      <c r="U1423" s="7" t="n">
        <v>1</v>
      </c>
      <c r="V1423" s="7" t="n">
        <v>1</v>
      </c>
      <c r="W1423" s="8" t="s">
        <v>11233</v>
      </c>
      <c r="X1423" s="8" t="s">
        <v>11233</v>
      </c>
      <c r="Y1423" s="8" t="s">
        <v>7722</v>
      </c>
      <c r="Z1423" s="8" t="s">
        <v>7722</v>
      </c>
      <c r="AA1423" s="7" t="n">
        <v>539</v>
      </c>
      <c r="AB1423" s="7" t="n">
        <v>477</v>
      </c>
      <c r="AC1423" s="7" t="n">
        <v>588</v>
      </c>
      <c r="AD1423" s="7" t="n">
        <v>5</v>
      </c>
      <c r="AE1423" s="7" t="n">
        <v>5</v>
      </c>
      <c r="AF1423" s="7" t="n">
        <v>29</v>
      </c>
      <c r="AG1423" s="7" t="n">
        <v>38</v>
      </c>
      <c r="AH1423" s="7" t="n">
        <v>10</v>
      </c>
      <c r="AI1423" s="7" t="n">
        <v>16</v>
      </c>
      <c r="AJ1423" s="7" t="n">
        <v>7</v>
      </c>
      <c r="AK1423" s="7" t="n">
        <v>9</v>
      </c>
      <c r="AL1423" s="7" t="n">
        <v>16</v>
      </c>
      <c r="AM1423" s="7" t="n">
        <v>19</v>
      </c>
      <c r="AN1423" s="7" t="n">
        <v>4</v>
      </c>
      <c r="AO1423" s="7" t="n">
        <v>4</v>
      </c>
      <c r="AP1423" s="7" t="n">
        <v>0</v>
      </c>
      <c r="AQ1423" s="7" t="n">
        <v>0</v>
      </c>
      <c r="AR1423" s="6" t="s">
        <v>63</v>
      </c>
      <c r="AS1423" s="6" t="s">
        <v>57</v>
      </c>
      <c r="AT1423" s="9" t="str">
        <f aca="false">HYPERLINK("http://catalog.hathitrust.org/Record/001385175","HathiTrust Record")</f>
        <v>HathiTrust Record</v>
      </c>
      <c r="AU1423" s="9" t="str">
        <f aca="false">HYPERLINK("https://creighton-primo.hosted.exlibrisgroup.com/primo-explore/search?tab=default_tab&amp;search_scope=EVERYTHING&amp;vid=01CRU&amp;lang=en_US&amp;offset=0&amp;query=any,contains,991003024139702656","Catalog Record")</f>
        <v>Catalog Record</v>
      </c>
      <c r="AV1423" s="9" t="str">
        <f aca="false">HYPERLINK("http://www.worldcat.org/oclc/588880","WorldCat Record")</f>
        <v>WorldCat Record</v>
      </c>
      <c r="AW1423" s="6" t="s">
        <v>11279</v>
      </c>
      <c r="AX1423" s="6" t="s">
        <v>11280</v>
      </c>
      <c r="AY1423" s="6" t="s">
        <v>11281</v>
      </c>
      <c r="AZ1423" s="6" t="s">
        <v>11281</v>
      </c>
      <c r="BA1423" s="6" t="s">
        <v>11282</v>
      </c>
      <c r="BB1423" s="6" t="s">
        <v>11283</v>
      </c>
      <c r="BC1423" s="6" t="s">
        <v>11284</v>
      </c>
      <c r="BE1423" s="15" t="s">
        <v>2145</v>
      </c>
      <c r="BF1423" s="6" t="s">
        <v>11285</v>
      </c>
    </row>
    <row r="1424" customFormat="false" ht="209" hidden="false" customHeight="false" outlineLevel="0" collapsed="false">
      <c r="A1424" s="26" t="s">
        <v>63</v>
      </c>
      <c r="B1424" s="27" t="s">
        <v>2129</v>
      </c>
      <c r="C1424" s="27" t="s">
        <v>2130</v>
      </c>
      <c r="D1424" s="27" t="s">
        <v>11286</v>
      </c>
      <c r="E1424" s="27" t="s">
        <v>11287</v>
      </c>
      <c r="F1424" s="27" t="s">
        <v>11288</v>
      </c>
      <c r="G1424" s="28"/>
      <c r="H1424" s="6" t="s">
        <v>63</v>
      </c>
      <c r="I1424" s="6" t="s">
        <v>62</v>
      </c>
      <c r="J1424" s="6" t="s">
        <v>63</v>
      </c>
      <c r="K1424" s="6" t="s">
        <v>63</v>
      </c>
      <c r="L1424" s="6" t="s">
        <v>64</v>
      </c>
      <c r="M1424" s="27" t="s">
        <v>4565</v>
      </c>
      <c r="N1424" s="27" t="s">
        <v>11289</v>
      </c>
      <c r="O1424" s="6" t="s">
        <v>2343</v>
      </c>
      <c r="P1424" s="28"/>
      <c r="Q1424" s="6" t="s">
        <v>67</v>
      </c>
      <c r="R1424" s="6" t="s">
        <v>802</v>
      </c>
      <c r="S1424" s="27" t="s">
        <v>11290</v>
      </c>
      <c r="T1424" s="6" t="s">
        <v>6138</v>
      </c>
      <c r="U1424" s="7" t="n">
        <v>2</v>
      </c>
      <c r="V1424" s="7" t="n">
        <v>2</v>
      </c>
      <c r="W1424" s="8" t="s">
        <v>7949</v>
      </c>
      <c r="X1424" s="8" t="s">
        <v>7949</v>
      </c>
      <c r="Y1424" s="8" t="s">
        <v>7722</v>
      </c>
      <c r="Z1424" s="8" t="s">
        <v>7722</v>
      </c>
      <c r="AA1424" s="7" t="n">
        <v>367</v>
      </c>
      <c r="AB1424" s="7" t="n">
        <v>251</v>
      </c>
      <c r="AC1424" s="7" t="n">
        <v>252</v>
      </c>
      <c r="AD1424" s="7" t="n">
        <v>3</v>
      </c>
      <c r="AE1424" s="7" t="n">
        <v>3</v>
      </c>
      <c r="AF1424" s="7" t="n">
        <v>18</v>
      </c>
      <c r="AG1424" s="7" t="n">
        <v>18</v>
      </c>
      <c r="AH1424" s="7" t="n">
        <v>6</v>
      </c>
      <c r="AI1424" s="7" t="n">
        <v>6</v>
      </c>
      <c r="AJ1424" s="7" t="n">
        <v>3</v>
      </c>
      <c r="AK1424" s="7" t="n">
        <v>3</v>
      </c>
      <c r="AL1424" s="7" t="n">
        <v>13</v>
      </c>
      <c r="AM1424" s="7" t="n">
        <v>13</v>
      </c>
      <c r="AN1424" s="7" t="n">
        <v>2</v>
      </c>
      <c r="AO1424" s="7" t="n">
        <v>2</v>
      </c>
      <c r="AP1424" s="7" t="n">
        <v>0</v>
      </c>
      <c r="AQ1424" s="7" t="n">
        <v>0</v>
      </c>
      <c r="AR1424" s="6" t="s">
        <v>63</v>
      </c>
      <c r="AS1424" s="6" t="s">
        <v>63</v>
      </c>
      <c r="AT1424" s="28"/>
      <c r="AU1424" s="9" t="str">
        <f aca="false">HYPERLINK("https://creighton-primo.hosted.exlibrisgroup.com/primo-explore/search?tab=default_tab&amp;search_scope=EVERYTHING&amp;vid=01CRU&amp;lang=en_US&amp;offset=0&amp;query=any,contains,991005124059702656","Catalog Record")</f>
        <v>Catalog Record</v>
      </c>
      <c r="AV1424" s="9" t="str">
        <f aca="false">HYPERLINK("http://www.worldcat.org/oclc/7551576","WorldCat Record")</f>
        <v>WorldCat Record</v>
      </c>
      <c r="AW1424" s="6" t="s">
        <v>11291</v>
      </c>
      <c r="AX1424" s="6" t="s">
        <v>11292</v>
      </c>
      <c r="AY1424" s="6" t="s">
        <v>11293</v>
      </c>
      <c r="AZ1424" s="6" t="s">
        <v>11293</v>
      </c>
      <c r="BA1424" s="6" t="s">
        <v>11294</v>
      </c>
      <c r="BB1424" s="6" t="s">
        <v>11295</v>
      </c>
      <c r="BC1424" s="6" t="s">
        <v>11296</v>
      </c>
      <c r="BE1424" s="15" t="s">
        <v>2145</v>
      </c>
      <c r="BF1424" s="6" t="s">
        <v>11297</v>
      </c>
    </row>
    <row r="1425" customFormat="false" ht="117" hidden="false" customHeight="false" outlineLevel="0" collapsed="false">
      <c r="A1425" s="26" t="s">
        <v>63</v>
      </c>
      <c r="B1425" s="27" t="s">
        <v>2129</v>
      </c>
      <c r="C1425" s="27" t="s">
        <v>2130</v>
      </c>
      <c r="D1425" s="27" t="s">
        <v>11298</v>
      </c>
      <c r="E1425" s="27" t="s">
        <v>11299</v>
      </c>
      <c r="F1425" s="27" t="s">
        <v>11300</v>
      </c>
      <c r="G1425" s="28"/>
      <c r="H1425" s="6" t="s">
        <v>63</v>
      </c>
      <c r="I1425" s="6" t="s">
        <v>62</v>
      </c>
      <c r="J1425" s="6" t="s">
        <v>63</v>
      </c>
      <c r="K1425" s="6" t="s">
        <v>63</v>
      </c>
      <c r="L1425" s="6" t="s">
        <v>64</v>
      </c>
      <c r="M1425" s="27" t="s">
        <v>11301</v>
      </c>
      <c r="N1425" s="27" t="s">
        <v>11302</v>
      </c>
      <c r="O1425" s="6" t="s">
        <v>167</v>
      </c>
      <c r="P1425" s="28"/>
      <c r="Q1425" s="6" t="s">
        <v>67</v>
      </c>
      <c r="R1425" s="6" t="s">
        <v>1059</v>
      </c>
      <c r="S1425" s="28"/>
      <c r="T1425" s="6" t="s">
        <v>6138</v>
      </c>
      <c r="U1425" s="7" t="n">
        <v>1</v>
      </c>
      <c r="V1425" s="7" t="n">
        <v>1</v>
      </c>
      <c r="W1425" s="8" t="s">
        <v>11303</v>
      </c>
      <c r="X1425" s="8" t="s">
        <v>11303</v>
      </c>
      <c r="Y1425" s="8" t="s">
        <v>7722</v>
      </c>
      <c r="Z1425" s="8" t="s">
        <v>7722</v>
      </c>
      <c r="AA1425" s="7" t="n">
        <v>635</v>
      </c>
      <c r="AB1425" s="7" t="n">
        <v>502</v>
      </c>
      <c r="AC1425" s="7" t="n">
        <v>502</v>
      </c>
      <c r="AD1425" s="7" t="n">
        <v>4</v>
      </c>
      <c r="AE1425" s="7" t="n">
        <v>4</v>
      </c>
      <c r="AF1425" s="7" t="n">
        <v>38</v>
      </c>
      <c r="AG1425" s="7" t="n">
        <v>38</v>
      </c>
      <c r="AH1425" s="7" t="n">
        <v>6</v>
      </c>
      <c r="AI1425" s="7" t="n">
        <v>6</v>
      </c>
      <c r="AJ1425" s="7" t="n">
        <v>8</v>
      </c>
      <c r="AK1425" s="7" t="n">
        <v>8</v>
      </c>
      <c r="AL1425" s="7" t="n">
        <v>19</v>
      </c>
      <c r="AM1425" s="7" t="n">
        <v>19</v>
      </c>
      <c r="AN1425" s="7" t="n">
        <v>1</v>
      </c>
      <c r="AO1425" s="7" t="n">
        <v>1</v>
      </c>
      <c r="AP1425" s="7" t="n">
        <v>11</v>
      </c>
      <c r="AQ1425" s="7" t="n">
        <v>11</v>
      </c>
      <c r="AR1425" s="6" t="s">
        <v>63</v>
      </c>
      <c r="AS1425" s="6" t="s">
        <v>63</v>
      </c>
      <c r="AT1425" s="28"/>
      <c r="AU1425" s="9" t="str">
        <f aca="false">HYPERLINK("https://creighton-primo.hosted.exlibrisgroup.com/primo-explore/search?tab=default_tab&amp;search_scope=EVERYTHING&amp;vid=01CRU&amp;lang=en_US&amp;offset=0&amp;query=any,contains,991002258959702656","Catalog Record")</f>
        <v>Catalog Record</v>
      </c>
      <c r="AV1425" s="9" t="str">
        <f aca="false">HYPERLINK("http://www.worldcat.org/oclc/303251","WorldCat Record")</f>
        <v>WorldCat Record</v>
      </c>
      <c r="AW1425" s="6" t="s">
        <v>11304</v>
      </c>
      <c r="AX1425" s="6" t="s">
        <v>11305</v>
      </c>
      <c r="AY1425" s="6" t="s">
        <v>11306</v>
      </c>
      <c r="AZ1425" s="6" t="s">
        <v>11306</v>
      </c>
      <c r="BA1425" s="6" t="s">
        <v>11307</v>
      </c>
      <c r="BB1425" s="28"/>
      <c r="BC1425" s="6" t="s">
        <v>11308</v>
      </c>
      <c r="BE1425" s="15" t="s">
        <v>2145</v>
      </c>
      <c r="BF1425" s="6" t="s">
        <v>11309</v>
      </c>
    </row>
    <row r="1426" customFormat="false" ht="186" hidden="false" customHeight="false" outlineLevel="0" collapsed="false">
      <c r="A1426" s="26" t="s">
        <v>63</v>
      </c>
      <c r="B1426" s="27" t="s">
        <v>2129</v>
      </c>
      <c r="C1426" s="27" t="s">
        <v>2130</v>
      </c>
      <c r="D1426" s="27" t="s">
        <v>11310</v>
      </c>
      <c r="E1426" s="27" t="s">
        <v>11311</v>
      </c>
      <c r="F1426" s="27" t="s">
        <v>11312</v>
      </c>
      <c r="G1426" s="28"/>
      <c r="H1426" s="6" t="s">
        <v>63</v>
      </c>
      <c r="I1426" s="6" t="s">
        <v>62</v>
      </c>
      <c r="J1426" s="6" t="s">
        <v>63</v>
      </c>
      <c r="K1426" s="6" t="s">
        <v>63</v>
      </c>
      <c r="L1426" s="6" t="s">
        <v>64</v>
      </c>
      <c r="M1426" s="27" t="s">
        <v>11313</v>
      </c>
      <c r="N1426" s="27" t="s">
        <v>11314</v>
      </c>
      <c r="O1426" s="6" t="s">
        <v>3029</v>
      </c>
      <c r="P1426" s="28"/>
      <c r="Q1426" s="6" t="s">
        <v>67</v>
      </c>
      <c r="R1426" s="6" t="s">
        <v>500</v>
      </c>
      <c r="S1426" s="27" t="s">
        <v>11315</v>
      </c>
      <c r="T1426" s="6" t="s">
        <v>6138</v>
      </c>
      <c r="U1426" s="7" t="n">
        <v>5</v>
      </c>
      <c r="V1426" s="7" t="n">
        <v>5</v>
      </c>
      <c r="W1426" s="8" t="s">
        <v>11316</v>
      </c>
      <c r="X1426" s="8" t="s">
        <v>11316</v>
      </c>
      <c r="Y1426" s="8" t="s">
        <v>9178</v>
      </c>
      <c r="Z1426" s="8" t="s">
        <v>9178</v>
      </c>
      <c r="AA1426" s="7" t="n">
        <v>349</v>
      </c>
      <c r="AB1426" s="7" t="n">
        <v>297</v>
      </c>
      <c r="AC1426" s="7" t="n">
        <v>299</v>
      </c>
      <c r="AD1426" s="7" t="n">
        <v>3</v>
      </c>
      <c r="AE1426" s="7" t="n">
        <v>3</v>
      </c>
      <c r="AF1426" s="7" t="n">
        <v>19</v>
      </c>
      <c r="AG1426" s="7" t="n">
        <v>19</v>
      </c>
      <c r="AH1426" s="7" t="n">
        <v>7</v>
      </c>
      <c r="AI1426" s="7" t="n">
        <v>7</v>
      </c>
      <c r="AJ1426" s="7" t="n">
        <v>6</v>
      </c>
      <c r="AK1426" s="7" t="n">
        <v>6</v>
      </c>
      <c r="AL1426" s="7" t="n">
        <v>13</v>
      </c>
      <c r="AM1426" s="7" t="n">
        <v>13</v>
      </c>
      <c r="AN1426" s="7" t="n">
        <v>1</v>
      </c>
      <c r="AO1426" s="7" t="n">
        <v>1</v>
      </c>
      <c r="AP1426" s="7" t="n">
        <v>0</v>
      </c>
      <c r="AQ1426" s="7" t="n">
        <v>0</v>
      </c>
      <c r="AR1426" s="6" t="s">
        <v>63</v>
      </c>
      <c r="AS1426" s="6" t="s">
        <v>63</v>
      </c>
      <c r="AT1426" s="28"/>
      <c r="AU1426" s="9" t="str">
        <f aca="false">HYPERLINK("https://creighton-primo.hosted.exlibrisgroup.com/primo-explore/search?tab=default_tab&amp;search_scope=EVERYTHING&amp;vid=01CRU&amp;lang=en_US&amp;offset=0&amp;query=any,contains,991003433509702656","Catalog Record")</f>
        <v>Catalog Record</v>
      </c>
      <c r="AV1426" s="9" t="str">
        <f aca="false">HYPERLINK("http://www.worldcat.org/oclc/968840","WorldCat Record")</f>
        <v>WorldCat Record</v>
      </c>
      <c r="AW1426" s="6" t="s">
        <v>11317</v>
      </c>
      <c r="AX1426" s="6" t="s">
        <v>11318</v>
      </c>
      <c r="AY1426" s="6" t="s">
        <v>11319</v>
      </c>
      <c r="AZ1426" s="6" t="s">
        <v>11319</v>
      </c>
      <c r="BA1426" s="6" t="s">
        <v>11320</v>
      </c>
      <c r="BB1426" s="28"/>
      <c r="BC1426" s="6" t="s">
        <v>11321</v>
      </c>
      <c r="BE1426" s="15" t="s">
        <v>2145</v>
      </c>
      <c r="BF1426" s="6" t="s">
        <v>11322</v>
      </c>
    </row>
    <row r="1427" customFormat="false" ht="151.5" hidden="false" customHeight="false" outlineLevel="0" collapsed="false">
      <c r="A1427" s="26" t="s">
        <v>63</v>
      </c>
      <c r="B1427" s="27" t="s">
        <v>2129</v>
      </c>
      <c r="C1427" s="27" t="s">
        <v>2130</v>
      </c>
      <c r="D1427" s="27" t="s">
        <v>11323</v>
      </c>
      <c r="E1427" s="27" t="s">
        <v>11324</v>
      </c>
      <c r="F1427" s="27" t="s">
        <v>11325</v>
      </c>
      <c r="G1427" s="28"/>
      <c r="H1427" s="6" t="s">
        <v>63</v>
      </c>
      <c r="I1427" s="6" t="s">
        <v>62</v>
      </c>
      <c r="J1427" s="6" t="s">
        <v>63</v>
      </c>
      <c r="K1427" s="6" t="s">
        <v>63</v>
      </c>
      <c r="L1427" s="6" t="s">
        <v>64</v>
      </c>
      <c r="M1427" s="27" t="s">
        <v>11326</v>
      </c>
      <c r="N1427" s="27" t="s">
        <v>11327</v>
      </c>
      <c r="O1427" s="6" t="s">
        <v>122</v>
      </c>
      <c r="P1427" s="27" t="s">
        <v>255</v>
      </c>
      <c r="Q1427" s="6" t="s">
        <v>67</v>
      </c>
      <c r="R1427" s="6" t="s">
        <v>68</v>
      </c>
      <c r="S1427" s="27" t="s">
        <v>11328</v>
      </c>
      <c r="T1427" s="6" t="s">
        <v>6138</v>
      </c>
      <c r="U1427" s="7" t="n">
        <v>1</v>
      </c>
      <c r="V1427" s="7" t="n">
        <v>1</v>
      </c>
      <c r="W1427" s="8" t="s">
        <v>11316</v>
      </c>
      <c r="X1427" s="8" t="s">
        <v>11316</v>
      </c>
      <c r="Y1427" s="8" t="s">
        <v>9178</v>
      </c>
      <c r="Z1427" s="8" t="s">
        <v>9178</v>
      </c>
      <c r="AA1427" s="7" t="n">
        <v>152</v>
      </c>
      <c r="AB1427" s="7" t="n">
        <v>129</v>
      </c>
      <c r="AC1427" s="7" t="n">
        <v>136</v>
      </c>
      <c r="AD1427" s="7" t="n">
        <v>3</v>
      </c>
      <c r="AE1427" s="7" t="n">
        <v>3</v>
      </c>
      <c r="AF1427" s="7" t="n">
        <v>14</v>
      </c>
      <c r="AG1427" s="7" t="n">
        <v>14</v>
      </c>
      <c r="AH1427" s="7" t="n">
        <v>2</v>
      </c>
      <c r="AI1427" s="7" t="n">
        <v>2</v>
      </c>
      <c r="AJ1427" s="7" t="n">
        <v>5</v>
      </c>
      <c r="AK1427" s="7" t="n">
        <v>5</v>
      </c>
      <c r="AL1427" s="7" t="n">
        <v>10</v>
      </c>
      <c r="AM1427" s="7" t="n">
        <v>10</v>
      </c>
      <c r="AN1427" s="7" t="n">
        <v>1</v>
      </c>
      <c r="AO1427" s="7" t="n">
        <v>1</v>
      </c>
      <c r="AP1427" s="7" t="n">
        <v>0</v>
      </c>
      <c r="AQ1427" s="7" t="n">
        <v>0</v>
      </c>
      <c r="AR1427" s="6" t="s">
        <v>63</v>
      </c>
      <c r="AS1427" s="6" t="s">
        <v>57</v>
      </c>
      <c r="AT1427" s="9" t="str">
        <f aca="false">HYPERLINK("http://catalog.hathitrust.org/Record/001385212","HathiTrust Record")</f>
        <v>HathiTrust Record</v>
      </c>
      <c r="AU1427" s="9" t="str">
        <f aca="false">HYPERLINK("https://creighton-primo.hosted.exlibrisgroup.com/primo-explore/search?tab=default_tab&amp;search_scope=EVERYTHING&amp;vid=01CRU&amp;lang=en_US&amp;offset=0&amp;query=any,contains,991003347889702656","Catalog Record")</f>
        <v>Catalog Record</v>
      </c>
      <c r="AV1427" s="9" t="str">
        <f aca="false">HYPERLINK("http://www.worldcat.org/oclc/879943","WorldCat Record")</f>
        <v>WorldCat Record</v>
      </c>
      <c r="AW1427" s="6" t="s">
        <v>11329</v>
      </c>
      <c r="AX1427" s="6" t="s">
        <v>11330</v>
      </c>
      <c r="AY1427" s="6" t="s">
        <v>11331</v>
      </c>
      <c r="AZ1427" s="6" t="s">
        <v>11331</v>
      </c>
      <c r="BA1427" s="6" t="s">
        <v>11332</v>
      </c>
      <c r="BB1427" s="28"/>
      <c r="BC1427" s="6" t="s">
        <v>11333</v>
      </c>
      <c r="BE1427" s="15" t="s">
        <v>2145</v>
      </c>
      <c r="BF1427" s="6" t="s">
        <v>11334</v>
      </c>
    </row>
    <row r="1428" customFormat="false" ht="128.5" hidden="false" customHeight="false" outlineLevel="0" collapsed="false">
      <c r="A1428" s="26" t="s">
        <v>63</v>
      </c>
      <c r="B1428" s="27" t="s">
        <v>2129</v>
      </c>
      <c r="C1428" s="27" t="s">
        <v>2130</v>
      </c>
      <c r="D1428" s="27" t="s">
        <v>11335</v>
      </c>
      <c r="E1428" s="27" t="s">
        <v>11336</v>
      </c>
      <c r="F1428" s="27" t="s">
        <v>11337</v>
      </c>
      <c r="G1428" s="28"/>
      <c r="H1428" s="6" t="s">
        <v>63</v>
      </c>
      <c r="I1428" s="6" t="s">
        <v>62</v>
      </c>
      <c r="J1428" s="6" t="s">
        <v>63</v>
      </c>
      <c r="K1428" s="6" t="s">
        <v>63</v>
      </c>
      <c r="L1428" s="6" t="s">
        <v>64</v>
      </c>
      <c r="M1428" s="27" t="s">
        <v>11338</v>
      </c>
      <c r="N1428" s="27" t="s">
        <v>6243</v>
      </c>
      <c r="O1428" s="6" t="s">
        <v>208</v>
      </c>
      <c r="P1428" s="28"/>
      <c r="Q1428" s="6" t="s">
        <v>67</v>
      </c>
      <c r="R1428" s="6" t="s">
        <v>1059</v>
      </c>
      <c r="S1428" s="28"/>
      <c r="T1428" s="6" t="s">
        <v>6138</v>
      </c>
      <c r="U1428" s="7" t="n">
        <v>3</v>
      </c>
      <c r="V1428" s="7" t="n">
        <v>3</v>
      </c>
      <c r="W1428" s="8" t="s">
        <v>11339</v>
      </c>
      <c r="X1428" s="8" t="s">
        <v>11339</v>
      </c>
      <c r="Y1428" s="8" t="s">
        <v>9178</v>
      </c>
      <c r="Z1428" s="8" t="s">
        <v>9178</v>
      </c>
      <c r="AA1428" s="7" t="n">
        <v>399</v>
      </c>
      <c r="AB1428" s="7" t="n">
        <v>307</v>
      </c>
      <c r="AC1428" s="7" t="n">
        <v>312</v>
      </c>
      <c r="AD1428" s="7" t="n">
        <v>3</v>
      </c>
      <c r="AE1428" s="7" t="n">
        <v>3</v>
      </c>
      <c r="AF1428" s="7" t="n">
        <v>24</v>
      </c>
      <c r="AG1428" s="7" t="n">
        <v>24</v>
      </c>
      <c r="AH1428" s="7" t="n">
        <v>6</v>
      </c>
      <c r="AI1428" s="7" t="n">
        <v>6</v>
      </c>
      <c r="AJ1428" s="7" t="n">
        <v>8</v>
      </c>
      <c r="AK1428" s="7" t="n">
        <v>8</v>
      </c>
      <c r="AL1428" s="7" t="n">
        <v>16</v>
      </c>
      <c r="AM1428" s="7" t="n">
        <v>16</v>
      </c>
      <c r="AN1428" s="7" t="n">
        <v>2</v>
      </c>
      <c r="AO1428" s="7" t="n">
        <v>2</v>
      </c>
      <c r="AP1428" s="7" t="n">
        <v>0</v>
      </c>
      <c r="AQ1428" s="7" t="n">
        <v>0</v>
      </c>
      <c r="AR1428" s="6" t="s">
        <v>63</v>
      </c>
      <c r="AS1428" s="6" t="s">
        <v>63</v>
      </c>
      <c r="AT1428" s="28"/>
      <c r="AU1428" s="9" t="str">
        <f aca="false">HYPERLINK("https://creighton-primo.hosted.exlibrisgroup.com/primo-explore/search?tab=default_tab&amp;search_scope=EVERYTHING&amp;vid=01CRU&amp;lang=en_US&amp;offset=0&amp;query=any,contains,991000883619702656","Catalog Record")</f>
        <v>Catalog Record</v>
      </c>
      <c r="AV1428" s="9" t="str">
        <f aca="false">HYPERLINK("http://www.worldcat.org/oclc/13859734","WorldCat Record")</f>
        <v>WorldCat Record</v>
      </c>
      <c r="AW1428" s="6" t="s">
        <v>11340</v>
      </c>
      <c r="AX1428" s="6" t="s">
        <v>11341</v>
      </c>
      <c r="AY1428" s="6" t="s">
        <v>11342</v>
      </c>
      <c r="AZ1428" s="6" t="s">
        <v>11342</v>
      </c>
      <c r="BA1428" s="6" t="s">
        <v>11343</v>
      </c>
      <c r="BB1428" s="6" t="s">
        <v>11344</v>
      </c>
      <c r="BC1428" s="6" t="s">
        <v>11345</v>
      </c>
      <c r="BE1428" s="15" t="s">
        <v>2145</v>
      </c>
      <c r="BF1428" s="6" t="s">
        <v>11346</v>
      </c>
    </row>
    <row r="1429" customFormat="false" ht="140" hidden="false" customHeight="false" outlineLevel="0" collapsed="false">
      <c r="A1429" s="26" t="s">
        <v>63</v>
      </c>
      <c r="B1429" s="27" t="s">
        <v>2129</v>
      </c>
      <c r="C1429" s="27" t="s">
        <v>2130</v>
      </c>
      <c r="D1429" s="27" t="s">
        <v>11347</v>
      </c>
      <c r="E1429" s="27" t="s">
        <v>11348</v>
      </c>
      <c r="F1429" s="27" t="s">
        <v>11349</v>
      </c>
      <c r="G1429" s="28"/>
      <c r="H1429" s="6" t="s">
        <v>63</v>
      </c>
      <c r="I1429" s="6" t="s">
        <v>62</v>
      </c>
      <c r="J1429" s="6" t="s">
        <v>63</v>
      </c>
      <c r="K1429" s="6" t="s">
        <v>63</v>
      </c>
      <c r="L1429" s="6" t="s">
        <v>64</v>
      </c>
      <c r="M1429" s="27" t="s">
        <v>11350</v>
      </c>
      <c r="N1429" s="27" t="s">
        <v>11351</v>
      </c>
      <c r="O1429" s="6" t="s">
        <v>2262</v>
      </c>
      <c r="P1429" s="28"/>
      <c r="Q1429" s="6" t="s">
        <v>67</v>
      </c>
      <c r="R1429" s="6" t="s">
        <v>401</v>
      </c>
      <c r="S1429" s="28"/>
      <c r="T1429" s="6" t="s">
        <v>6138</v>
      </c>
      <c r="U1429" s="7" t="n">
        <v>1</v>
      </c>
      <c r="V1429" s="7" t="n">
        <v>1</v>
      </c>
      <c r="W1429" s="8" t="s">
        <v>2544</v>
      </c>
      <c r="X1429" s="8" t="s">
        <v>2544</v>
      </c>
      <c r="Y1429" s="8" t="s">
        <v>9178</v>
      </c>
      <c r="Z1429" s="8" t="s">
        <v>9178</v>
      </c>
      <c r="AA1429" s="7" t="n">
        <v>406</v>
      </c>
      <c r="AB1429" s="7" t="n">
        <v>349</v>
      </c>
      <c r="AC1429" s="7" t="n">
        <v>531</v>
      </c>
      <c r="AD1429" s="7" t="n">
        <v>3</v>
      </c>
      <c r="AE1429" s="7" t="n">
        <v>3</v>
      </c>
      <c r="AF1429" s="7" t="n">
        <v>20</v>
      </c>
      <c r="AG1429" s="7" t="n">
        <v>28</v>
      </c>
      <c r="AH1429" s="7" t="n">
        <v>7</v>
      </c>
      <c r="AI1429" s="7" t="n">
        <v>13</v>
      </c>
      <c r="AJ1429" s="7" t="n">
        <v>4</v>
      </c>
      <c r="AK1429" s="7" t="n">
        <v>7</v>
      </c>
      <c r="AL1429" s="7" t="n">
        <v>14</v>
      </c>
      <c r="AM1429" s="7" t="n">
        <v>16</v>
      </c>
      <c r="AN1429" s="7" t="n">
        <v>2</v>
      </c>
      <c r="AO1429" s="7" t="n">
        <v>2</v>
      </c>
      <c r="AP1429" s="7" t="n">
        <v>0</v>
      </c>
      <c r="AQ1429" s="7" t="n">
        <v>0</v>
      </c>
      <c r="AR1429" s="6" t="s">
        <v>63</v>
      </c>
      <c r="AS1429" s="6" t="s">
        <v>57</v>
      </c>
      <c r="AT1429" s="9" t="str">
        <f aca="false">HYPERLINK("http://catalog.hathitrust.org/Record/000635208","HathiTrust Record")</f>
        <v>HathiTrust Record</v>
      </c>
      <c r="AU1429" s="9" t="str">
        <f aca="false">HYPERLINK("https://creighton-primo.hosted.exlibrisgroup.com/primo-explore/search?tab=default_tab&amp;search_scope=EVERYTHING&amp;vid=01CRU&amp;lang=en_US&amp;offset=0&amp;query=any,contains,991000808889702656","Catalog Record")</f>
        <v>Catalog Record</v>
      </c>
      <c r="AV1429" s="9" t="str">
        <f aca="false">HYPERLINK("http://www.worldcat.org/oclc/13328737","WorldCat Record")</f>
        <v>WorldCat Record</v>
      </c>
      <c r="AW1429" s="6" t="s">
        <v>11352</v>
      </c>
      <c r="AX1429" s="6" t="s">
        <v>11353</v>
      </c>
      <c r="AY1429" s="6" t="s">
        <v>11354</v>
      </c>
      <c r="AZ1429" s="6" t="s">
        <v>11354</v>
      </c>
      <c r="BA1429" s="6" t="s">
        <v>11355</v>
      </c>
      <c r="BB1429" s="6" t="s">
        <v>11356</v>
      </c>
      <c r="BC1429" s="6" t="s">
        <v>11357</v>
      </c>
      <c r="BE1429" s="15" t="s">
        <v>2145</v>
      </c>
      <c r="BF1429" s="6" t="s">
        <v>11358</v>
      </c>
    </row>
    <row r="1430" customFormat="false" ht="140" hidden="false" customHeight="false" outlineLevel="0" collapsed="false">
      <c r="A1430" s="26" t="s">
        <v>57</v>
      </c>
      <c r="B1430" s="27" t="s">
        <v>2129</v>
      </c>
      <c r="C1430" s="27" t="s">
        <v>2130</v>
      </c>
      <c r="D1430" s="27" t="s">
        <v>11359</v>
      </c>
      <c r="E1430" s="27" t="s">
        <v>11360</v>
      </c>
      <c r="F1430" s="27" t="s">
        <v>11361</v>
      </c>
      <c r="G1430" s="28"/>
      <c r="H1430" s="6" t="s">
        <v>63</v>
      </c>
      <c r="I1430" s="6" t="s">
        <v>62</v>
      </c>
      <c r="J1430" s="6" t="s">
        <v>63</v>
      </c>
      <c r="K1430" s="6" t="s">
        <v>63</v>
      </c>
      <c r="L1430" s="6" t="s">
        <v>64</v>
      </c>
      <c r="M1430" s="27" t="s">
        <v>11362</v>
      </c>
      <c r="N1430" s="27" t="s">
        <v>11363</v>
      </c>
      <c r="O1430" s="6" t="s">
        <v>3340</v>
      </c>
      <c r="P1430" s="28"/>
      <c r="Q1430" s="6" t="s">
        <v>67</v>
      </c>
      <c r="R1430" s="6" t="s">
        <v>802</v>
      </c>
      <c r="S1430" s="28"/>
      <c r="T1430" s="6" t="s">
        <v>6138</v>
      </c>
      <c r="U1430" s="7" t="n">
        <v>3</v>
      </c>
      <c r="V1430" s="7" t="n">
        <v>3</v>
      </c>
      <c r="W1430" s="8" t="s">
        <v>11364</v>
      </c>
      <c r="X1430" s="8" t="s">
        <v>11364</v>
      </c>
      <c r="Y1430" s="8" t="s">
        <v>9178</v>
      </c>
      <c r="Z1430" s="8" t="s">
        <v>9178</v>
      </c>
      <c r="AA1430" s="7" t="n">
        <v>292</v>
      </c>
      <c r="AB1430" s="7" t="n">
        <v>181</v>
      </c>
      <c r="AC1430" s="7" t="n">
        <v>189</v>
      </c>
      <c r="AD1430" s="7" t="n">
        <v>2</v>
      </c>
      <c r="AE1430" s="7" t="n">
        <v>2</v>
      </c>
      <c r="AF1430" s="7" t="n">
        <v>9</v>
      </c>
      <c r="AG1430" s="7" t="n">
        <v>10</v>
      </c>
      <c r="AH1430" s="7" t="n">
        <v>2</v>
      </c>
      <c r="AI1430" s="7" t="n">
        <v>3</v>
      </c>
      <c r="AJ1430" s="7" t="n">
        <v>3</v>
      </c>
      <c r="AK1430" s="7" t="n">
        <v>3</v>
      </c>
      <c r="AL1430" s="7" t="n">
        <v>7</v>
      </c>
      <c r="AM1430" s="7" t="n">
        <v>8</v>
      </c>
      <c r="AN1430" s="7" t="n">
        <v>1</v>
      </c>
      <c r="AO1430" s="7" t="n">
        <v>1</v>
      </c>
      <c r="AP1430" s="7" t="n">
        <v>0</v>
      </c>
      <c r="AQ1430" s="7" t="n">
        <v>0</v>
      </c>
      <c r="AR1430" s="6" t="s">
        <v>63</v>
      </c>
      <c r="AS1430" s="6" t="s">
        <v>63</v>
      </c>
      <c r="AT1430" s="28"/>
      <c r="AU1430" s="9" t="str">
        <f aca="false">HYPERLINK("https://creighton-primo.hosted.exlibrisgroup.com/primo-explore/search?tab=default_tab&amp;search_scope=EVERYTHING&amp;vid=01CRU&amp;lang=en_US&amp;offset=0&amp;query=any,contains,991004541489702656","Catalog Record")</f>
        <v>Catalog Record</v>
      </c>
      <c r="AV1430" s="9" t="str">
        <f aca="false">HYPERLINK("http://www.worldcat.org/oclc/3894023","WorldCat Record")</f>
        <v>WorldCat Record</v>
      </c>
      <c r="AW1430" s="6" t="s">
        <v>11365</v>
      </c>
      <c r="AX1430" s="6" t="s">
        <v>11366</v>
      </c>
      <c r="AY1430" s="6" t="s">
        <v>11367</v>
      </c>
      <c r="AZ1430" s="6" t="s">
        <v>11367</v>
      </c>
      <c r="BA1430" s="6" t="s">
        <v>11368</v>
      </c>
      <c r="BB1430" s="6" t="s">
        <v>11369</v>
      </c>
      <c r="BC1430" s="6" t="s">
        <v>11370</v>
      </c>
      <c r="BE1430" s="15" t="s">
        <v>2145</v>
      </c>
      <c r="BF1430" s="6" t="s">
        <v>11371</v>
      </c>
    </row>
    <row r="1431" customFormat="false" ht="94" hidden="false" customHeight="false" outlineLevel="0" collapsed="false">
      <c r="A1431" s="26" t="s">
        <v>57</v>
      </c>
      <c r="B1431" s="27" t="s">
        <v>2129</v>
      </c>
      <c r="C1431" s="27" t="s">
        <v>2130</v>
      </c>
      <c r="D1431" s="27" t="s">
        <v>11372</v>
      </c>
      <c r="E1431" s="27" t="s">
        <v>11373</v>
      </c>
      <c r="F1431" s="27" t="s">
        <v>11374</v>
      </c>
      <c r="G1431" s="28"/>
      <c r="H1431" s="6" t="s">
        <v>63</v>
      </c>
      <c r="I1431" s="6" t="s">
        <v>62</v>
      </c>
      <c r="J1431" s="6" t="s">
        <v>63</v>
      </c>
      <c r="K1431" s="6" t="s">
        <v>63</v>
      </c>
      <c r="L1431" s="6" t="s">
        <v>64</v>
      </c>
      <c r="M1431" s="27" t="s">
        <v>11375</v>
      </c>
      <c r="N1431" s="27" t="s">
        <v>4157</v>
      </c>
      <c r="O1431" s="6" t="s">
        <v>208</v>
      </c>
      <c r="P1431" s="28"/>
      <c r="Q1431" s="6" t="s">
        <v>67</v>
      </c>
      <c r="R1431" s="6" t="s">
        <v>68</v>
      </c>
      <c r="S1431" s="28"/>
      <c r="T1431" s="6" t="s">
        <v>6138</v>
      </c>
      <c r="U1431" s="7" t="n">
        <v>2</v>
      </c>
      <c r="V1431" s="7" t="n">
        <v>2</v>
      </c>
      <c r="W1431" s="8" t="s">
        <v>5671</v>
      </c>
      <c r="X1431" s="8" t="s">
        <v>5671</v>
      </c>
      <c r="Y1431" s="8" t="s">
        <v>9178</v>
      </c>
      <c r="Z1431" s="8" t="s">
        <v>9178</v>
      </c>
      <c r="AA1431" s="7" t="n">
        <v>564</v>
      </c>
      <c r="AB1431" s="7" t="n">
        <v>447</v>
      </c>
      <c r="AC1431" s="7" t="n">
        <v>455</v>
      </c>
      <c r="AD1431" s="7" t="n">
        <v>3</v>
      </c>
      <c r="AE1431" s="7" t="n">
        <v>3</v>
      </c>
      <c r="AF1431" s="7" t="n">
        <v>31</v>
      </c>
      <c r="AG1431" s="7" t="n">
        <v>31</v>
      </c>
      <c r="AH1431" s="7" t="n">
        <v>14</v>
      </c>
      <c r="AI1431" s="7" t="n">
        <v>14</v>
      </c>
      <c r="AJ1431" s="7" t="n">
        <v>8</v>
      </c>
      <c r="AK1431" s="7" t="n">
        <v>8</v>
      </c>
      <c r="AL1431" s="7" t="n">
        <v>19</v>
      </c>
      <c r="AM1431" s="7" t="n">
        <v>19</v>
      </c>
      <c r="AN1431" s="7" t="n">
        <v>2</v>
      </c>
      <c r="AO1431" s="7" t="n">
        <v>2</v>
      </c>
      <c r="AP1431" s="7" t="n">
        <v>0</v>
      </c>
      <c r="AQ1431" s="7" t="n">
        <v>0</v>
      </c>
      <c r="AR1431" s="6" t="s">
        <v>63</v>
      </c>
      <c r="AS1431" s="6" t="s">
        <v>57</v>
      </c>
      <c r="AT1431" s="9" t="str">
        <f aca="false">HYPERLINK("http://catalog.hathitrust.org/Record/000853270","HathiTrust Record")</f>
        <v>HathiTrust Record</v>
      </c>
      <c r="AU1431" s="9" t="str">
        <f aca="false">HYPERLINK("https://creighton-primo.hosted.exlibrisgroup.com/primo-explore/search?tab=default_tab&amp;search_scope=EVERYTHING&amp;vid=01CRU&amp;lang=en_US&amp;offset=0&amp;query=any,contains,991000935179702656","Catalog Record")</f>
        <v>Catalog Record</v>
      </c>
      <c r="AV1431" s="9" t="str">
        <f aca="false">HYPERLINK("http://www.worldcat.org/oclc/14358925","WorldCat Record")</f>
        <v>WorldCat Record</v>
      </c>
      <c r="AW1431" s="6" t="s">
        <v>11376</v>
      </c>
      <c r="AX1431" s="6" t="s">
        <v>11377</v>
      </c>
      <c r="AY1431" s="6" t="s">
        <v>11378</v>
      </c>
      <c r="AZ1431" s="6" t="s">
        <v>11378</v>
      </c>
      <c r="BA1431" s="6" t="s">
        <v>11379</v>
      </c>
      <c r="BB1431" s="6" t="s">
        <v>11380</v>
      </c>
      <c r="BC1431" s="6" t="s">
        <v>11381</v>
      </c>
      <c r="BE1431" s="15" t="s">
        <v>2145</v>
      </c>
      <c r="BF1431" s="6" t="s">
        <v>11382</v>
      </c>
    </row>
    <row r="1432" customFormat="false" ht="71" hidden="false" customHeight="false" outlineLevel="0" collapsed="false">
      <c r="A1432" s="26" t="s">
        <v>57</v>
      </c>
      <c r="B1432" s="27" t="s">
        <v>2129</v>
      </c>
      <c r="C1432" s="27" t="s">
        <v>2130</v>
      </c>
      <c r="D1432" s="27" t="s">
        <v>11383</v>
      </c>
      <c r="E1432" s="27" t="s">
        <v>11384</v>
      </c>
      <c r="F1432" s="27" t="s">
        <v>11385</v>
      </c>
      <c r="G1432" s="28"/>
      <c r="H1432" s="6" t="s">
        <v>63</v>
      </c>
      <c r="I1432" s="6" t="s">
        <v>62</v>
      </c>
      <c r="J1432" s="6" t="s">
        <v>63</v>
      </c>
      <c r="K1432" s="6" t="s">
        <v>63</v>
      </c>
      <c r="L1432" s="6" t="s">
        <v>64</v>
      </c>
      <c r="M1432" s="27" t="s">
        <v>11386</v>
      </c>
      <c r="N1432" s="27" t="s">
        <v>11387</v>
      </c>
      <c r="O1432" s="6" t="s">
        <v>122</v>
      </c>
      <c r="P1432" s="28"/>
      <c r="Q1432" s="6" t="s">
        <v>67</v>
      </c>
      <c r="R1432" s="6" t="s">
        <v>384</v>
      </c>
      <c r="S1432" s="28"/>
      <c r="T1432" s="6" t="s">
        <v>6138</v>
      </c>
      <c r="U1432" s="7" t="n">
        <v>4</v>
      </c>
      <c r="V1432" s="7" t="n">
        <v>4</v>
      </c>
      <c r="W1432" s="8" t="s">
        <v>11388</v>
      </c>
      <c r="X1432" s="8" t="s">
        <v>11388</v>
      </c>
      <c r="Y1432" s="8" t="s">
        <v>9178</v>
      </c>
      <c r="Z1432" s="8" t="s">
        <v>9178</v>
      </c>
      <c r="AA1432" s="7" t="n">
        <v>962</v>
      </c>
      <c r="AB1432" s="7" t="n">
        <v>771</v>
      </c>
      <c r="AC1432" s="7" t="n">
        <v>828</v>
      </c>
      <c r="AD1432" s="7" t="n">
        <v>4</v>
      </c>
      <c r="AE1432" s="7" t="n">
        <v>4</v>
      </c>
      <c r="AF1432" s="7" t="n">
        <v>36</v>
      </c>
      <c r="AG1432" s="7" t="n">
        <v>36</v>
      </c>
      <c r="AH1432" s="7" t="n">
        <v>12</v>
      </c>
      <c r="AI1432" s="7" t="n">
        <v>12</v>
      </c>
      <c r="AJ1432" s="7" t="n">
        <v>8</v>
      </c>
      <c r="AK1432" s="7" t="n">
        <v>8</v>
      </c>
      <c r="AL1432" s="7" t="n">
        <v>24</v>
      </c>
      <c r="AM1432" s="7" t="n">
        <v>24</v>
      </c>
      <c r="AN1432" s="7" t="n">
        <v>3</v>
      </c>
      <c r="AO1432" s="7" t="n">
        <v>3</v>
      </c>
      <c r="AP1432" s="7" t="n">
        <v>0</v>
      </c>
      <c r="AQ1432" s="7" t="n">
        <v>0</v>
      </c>
      <c r="AR1432" s="6" t="s">
        <v>63</v>
      </c>
      <c r="AS1432" s="6" t="s">
        <v>63</v>
      </c>
      <c r="AT1432" s="28"/>
      <c r="AU1432" s="9" t="str">
        <f aca="false">HYPERLINK("https://creighton-primo.hosted.exlibrisgroup.com/primo-explore/search?tab=default_tab&amp;search_scope=EVERYTHING&amp;vid=01CRU&amp;lang=en_US&amp;offset=0&amp;query=any,contains,991002993449702656","Catalog Record")</f>
        <v>Catalog Record</v>
      </c>
      <c r="AV1432" s="9" t="str">
        <f aca="false">HYPERLINK("http://www.worldcat.org/oclc/562104","WorldCat Record")</f>
        <v>WorldCat Record</v>
      </c>
      <c r="AW1432" s="6" t="s">
        <v>11389</v>
      </c>
      <c r="AX1432" s="6" t="s">
        <v>11390</v>
      </c>
      <c r="AY1432" s="6" t="s">
        <v>11391</v>
      </c>
      <c r="AZ1432" s="6" t="s">
        <v>11391</v>
      </c>
      <c r="BA1432" s="6" t="s">
        <v>11392</v>
      </c>
      <c r="BB1432" s="28"/>
      <c r="BC1432" s="6" t="s">
        <v>11393</v>
      </c>
      <c r="BE1432" s="15" t="s">
        <v>2145</v>
      </c>
      <c r="BF1432" s="6" t="s">
        <v>11394</v>
      </c>
    </row>
    <row r="1433" customFormat="false" ht="140" hidden="false" customHeight="false" outlineLevel="0" collapsed="false">
      <c r="A1433" s="26" t="s">
        <v>63</v>
      </c>
      <c r="B1433" s="27" t="s">
        <v>2129</v>
      </c>
      <c r="C1433" s="27" t="s">
        <v>2130</v>
      </c>
      <c r="D1433" s="27" t="s">
        <v>11395</v>
      </c>
      <c r="E1433" s="27" t="s">
        <v>11396</v>
      </c>
      <c r="F1433" s="27" t="s">
        <v>11397</v>
      </c>
      <c r="G1433" s="28"/>
      <c r="H1433" s="6" t="s">
        <v>63</v>
      </c>
      <c r="I1433" s="6" t="s">
        <v>62</v>
      </c>
      <c r="J1433" s="6" t="s">
        <v>63</v>
      </c>
      <c r="K1433" s="6" t="s">
        <v>63</v>
      </c>
      <c r="L1433" s="6" t="s">
        <v>64</v>
      </c>
      <c r="M1433" s="27" t="s">
        <v>11398</v>
      </c>
      <c r="N1433" s="27" t="s">
        <v>11399</v>
      </c>
      <c r="O1433" s="6" t="s">
        <v>2329</v>
      </c>
      <c r="P1433" s="28"/>
      <c r="Q1433" s="6" t="s">
        <v>67</v>
      </c>
      <c r="R1433" s="6" t="s">
        <v>68</v>
      </c>
      <c r="S1433" s="27" t="s">
        <v>3030</v>
      </c>
      <c r="T1433" s="6" t="s">
        <v>6138</v>
      </c>
      <c r="U1433" s="7" t="n">
        <v>1</v>
      </c>
      <c r="V1433" s="7" t="n">
        <v>1</v>
      </c>
      <c r="W1433" s="8" t="s">
        <v>11400</v>
      </c>
      <c r="X1433" s="8" t="s">
        <v>11400</v>
      </c>
      <c r="Y1433" s="8" t="s">
        <v>9178</v>
      </c>
      <c r="Z1433" s="8" t="s">
        <v>9178</v>
      </c>
      <c r="AA1433" s="7" t="n">
        <v>317</v>
      </c>
      <c r="AB1433" s="7" t="n">
        <v>288</v>
      </c>
      <c r="AC1433" s="7" t="n">
        <v>430</v>
      </c>
      <c r="AD1433" s="7" t="n">
        <v>3</v>
      </c>
      <c r="AE1433" s="7" t="n">
        <v>4</v>
      </c>
      <c r="AF1433" s="7" t="n">
        <v>18</v>
      </c>
      <c r="AG1433" s="7" t="n">
        <v>20</v>
      </c>
      <c r="AH1433" s="7" t="n">
        <v>5</v>
      </c>
      <c r="AI1433" s="7" t="n">
        <v>6</v>
      </c>
      <c r="AJ1433" s="7" t="n">
        <v>4</v>
      </c>
      <c r="AK1433" s="7" t="n">
        <v>4</v>
      </c>
      <c r="AL1433" s="7" t="n">
        <v>13</v>
      </c>
      <c r="AM1433" s="7" t="n">
        <v>13</v>
      </c>
      <c r="AN1433" s="7" t="n">
        <v>2</v>
      </c>
      <c r="AO1433" s="7" t="n">
        <v>3</v>
      </c>
      <c r="AP1433" s="7" t="n">
        <v>0</v>
      </c>
      <c r="AQ1433" s="7" t="n">
        <v>0</v>
      </c>
      <c r="AR1433" s="6" t="s">
        <v>63</v>
      </c>
      <c r="AS1433" s="6" t="s">
        <v>63</v>
      </c>
      <c r="AT1433" s="28"/>
      <c r="AU1433" s="9" t="str">
        <f aca="false">HYPERLINK("https://creighton-primo.hosted.exlibrisgroup.com/primo-explore/search?tab=default_tab&amp;search_scope=EVERYTHING&amp;vid=01CRU&amp;lang=en_US&amp;offset=0&amp;query=any,contains,991004548209702656","Catalog Record")</f>
        <v>Catalog Record</v>
      </c>
      <c r="AV1433" s="9" t="str">
        <f aca="false">HYPERLINK("http://www.worldcat.org/oclc/3922681","WorldCat Record")</f>
        <v>WorldCat Record</v>
      </c>
      <c r="AW1433" s="6" t="s">
        <v>11401</v>
      </c>
      <c r="AX1433" s="6" t="s">
        <v>11402</v>
      </c>
      <c r="AY1433" s="6" t="s">
        <v>11403</v>
      </c>
      <c r="AZ1433" s="6" t="s">
        <v>11403</v>
      </c>
      <c r="BA1433" s="6" t="s">
        <v>11404</v>
      </c>
      <c r="BB1433" s="28"/>
      <c r="BC1433" s="6" t="s">
        <v>11405</v>
      </c>
      <c r="BE1433" s="15" t="s">
        <v>2145</v>
      </c>
      <c r="BF1433" s="6" t="s">
        <v>11406</v>
      </c>
    </row>
    <row r="1434" customFormat="false" ht="163" hidden="false" customHeight="false" outlineLevel="0" collapsed="false">
      <c r="A1434" s="26" t="s">
        <v>63</v>
      </c>
      <c r="B1434" s="27" t="s">
        <v>2129</v>
      </c>
      <c r="C1434" s="27" t="s">
        <v>2130</v>
      </c>
      <c r="D1434" s="27" t="s">
        <v>11407</v>
      </c>
      <c r="E1434" s="27" t="s">
        <v>11408</v>
      </c>
      <c r="F1434" s="27" t="s">
        <v>11409</v>
      </c>
      <c r="G1434" s="28"/>
      <c r="H1434" s="6" t="s">
        <v>63</v>
      </c>
      <c r="I1434" s="6" t="s">
        <v>62</v>
      </c>
      <c r="J1434" s="6" t="s">
        <v>57</v>
      </c>
      <c r="K1434" s="6" t="s">
        <v>63</v>
      </c>
      <c r="L1434" s="6" t="s">
        <v>64</v>
      </c>
      <c r="M1434" s="27" t="s">
        <v>11410</v>
      </c>
      <c r="N1434" s="27" t="s">
        <v>11411</v>
      </c>
      <c r="O1434" s="6" t="s">
        <v>180</v>
      </c>
      <c r="P1434" s="28"/>
      <c r="Q1434" s="6" t="s">
        <v>67</v>
      </c>
      <c r="R1434" s="6" t="s">
        <v>384</v>
      </c>
      <c r="S1434" s="27" t="s">
        <v>11412</v>
      </c>
      <c r="T1434" s="6" t="s">
        <v>6138</v>
      </c>
      <c r="U1434" s="7" t="n">
        <v>0</v>
      </c>
      <c r="V1434" s="7" t="n">
        <v>2</v>
      </c>
      <c r="W1434" s="28"/>
      <c r="X1434" s="8" t="s">
        <v>11413</v>
      </c>
      <c r="Y1434" s="8" t="s">
        <v>9178</v>
      </c>
      <c r="Z1434" s="8" t="s">
        <v>9178</v>
      </c>
      <c r="AA1434" s="7" t="n">
        <v>555</v>
      </c>
      <c r="AB1434" s="7" t="n">
        <v>430</v>
      </c>
      <c r="AC1434" s="7" t="n">
        <v>933</v>
      </c>
      <c r="AD1434" s="7" t="n">
        <v>4</v>
      </c>
      <c r="AE1434" s="7" t="n">
        <v>14</v>
      </c>
      <c r="AF1434" s="7" t="n">
        <v>31</v>
      </c>
      <c r="AG1434" s="7" t="n">
        <v>53</v>
      </c>
      <c r="AH1434" s="7" t="n">
        <v>11</v>
      </c>
      <c r="AI1434" s="7" t="n">
        <v>19</v>
      </c>
      <c r="AJ1434" s="7" t="n">
        <v>7</v>
      </c>
      <c r="AK1434" s="7" t="n">
        <v>9</v>
      </c>
      <c r="AL1434" s="7" t="n">
        <v>19</v>
      </c>
      <c r="AM1434" s="7" t="n">
        <v>25</v>
      </c>
      <c r="AN1434" s="7" t="n">
        <v>3</v>
      </c>
      <c r="AO1434" s="7" t="n">
        <v>11</v>
      </c>
      <c r="AP1434" s="7" t="n">
        <v>0</v>
      </c>
      <c r="AQ1434" s="7" t="n">
        <v>1</v>
      </c>
      <c r="AR1434" s="6" t="s">
        <v>63</v>
      </c>
      <c r="AS1434" s="6" t="s">
        <v>57</v>
      </c>
      <c r="AT1434" s="9" t="str">
        <f aca="false">HYPERLINK("http://catalog.hathitrust.org/Record/001385259","HathiTrust Record")</f>
        <v>HathiTrust Record</v>
      </c>
      <c r="AU1434" s="9" t="str">
        <f aca="false">HYPERLINK("https://creighton-primo.hosted.exlibrisgroup.com/primo-explore/search?tab=default_tab&amp;search_scope=EVERYTHING&amp;vid=01CRU&amp;lang=en_US&amp;offset=0&amp;query=any,contains,991002076479702656","Catalog Record")</f>
        <v>Catalog Record</v>
      </c>
      <c r="AV1434" s="9" t="str">
        <f aca="false">HYPERLINK("http://www.worldcat.org/oclc/5213516","WorldCat Record")</f>
        <v>WorldCat Record</v>
      </c>
      <c r="AW1434" s="6" t="s">
        <v>11414</v>
      </c>
      <c r="AX1434" s="6" t="s">
        <v>11415</v>
      </c>
      <c r="AY1434" s="6" t="s">
        <v>11416</v>
      </c>
      <c r="AZ1434" s="6" t="s">
        <v>11416</v>
      </c>
      <c r="BA1434" s="6" t="s">
        <v>11417</v>
      </c>
      <c r="BB1434" s="28"/>
      <c r="BC1434" s="6" t="s">
        <v>11418</v>
      </c>
      <c r="BE1434" s="15" t="s">
        <v>2145</v>
      </c>
      <c r="BF1434" s="6" t="s">
        <v>11419</v>
      </c>
    </row>
    <row r="1435" customFormat="false" ht="163" hidden="false" customHeight="false" outlineLevel="0" collapsed="false">
      <c r="A1435" s="26" t="s">
        <v>63</v>
      </c>
      <c r="B1435" s="27" t="s">
        <v>2129</v>
      </c>
      <c r="C1435" s="27" t="s">
        <v>2130</v>
      </c>
      <c r="D1435" s="27" t="s">
        <v>11407</v>
      </c>
      <c r="E1435" s="27" t="s">
        <v>11408</v>
      </c>
      <c r="F1435" s="27" t="s">
        <v>11409</v>
      </c>
      <c r="G1435" s="28"/>
      <c r="H1435" s="6" t="s">
        <v>63</v>
      </c>
      <c r="I1435" s="6" t="s">
        <v>62</v>
      </c>
      <c r="J1435" s="6" t="s">
        <v>57</v>
      </c>
      <c r="K1435" s="6" t="s">
        <v>63</v>
      </c>
      <c r="L1435" s="6" t="s">
        <v>64</v>
      </c>
      <c r="M1435" s="27" t="s">
        <v>11410</v>
      </c>
      <c r="N1435" s="27" t="s">
        <v>11411</v>
      </c>
      <c r="O1435" s="6" t="s">
        <v>180</v>
      </c>
      <c r="P1435" s="28"/>
      <c r="Q1435" s="6" t="s">
        <v>67</v>
      </c>
      <c r="R1435" s="6" t="s">
        <v>384</v>
      </c>
      <c r="S1435" s="27" t="s">
        <v>11412</v>
      </c>
      <c r="T1435" s="6" t="s">
        <v>6138</v>
      </c>
      <c r="U1435" s="7" t="n">
        <v>2</v>
      </c>
      <c r="V1435" s="7" t="n">
        <v>2</v>
      </c>
      <c r="W1435" s="8" t="s">
        <v>11413</v>
      </c>
      <c r="X1435" s="8" t="s">
        <v>11413</v>
      </c>
      <c r="Y1435" s="8" t="s">
        <v>9178</v>
      </c>
      <c r="Z1435" s="8" t="s">
        <v>9178</v>
      </c>
      <c r="AA1435" s="7" t="n">
        <v>555</v>
      </c>
      <c r="AB1435" s="7" t="n">
        <v>430</v>
      </c>
      <c r="AC1435" s="7" t="n">
        <v>933</v>
      </c>
      <c r="AD1435" s="7" t="n">
        <v>4</v>
      </c>
      <c r="AE1435" s="7" t="n">
        <v>14</v>
      </c>
      <c r="AF1435" s="7" t="n">
        <v>31</v>
      </c>
      <c r="AG1435" s="7" t="n">
        <v>53</v>
      </c>
      <c r="AH1435" s="7" t="n">
        <v>11</v>
      </c>
      <c r="AI1435" s="7" t="n">
        <v>19</v>
      </c>
      <c r="AJ1435" s="7" t="n">
        <v>7</v>
      </c>
      <c r="AK1435" s="7" t="n">
        <v>9</v>
      </c>
      <c r="AL1435" s="7" t="n">
        <v>19</v>
      </c>
      <c r="AM1435" s="7" t="n">
        <v>25</v>
      </c>
      <c r="AN1435" s="7" t="n">
        <v>3</v>
      </c>
      <c r="AO1435" s="7" t="n">
        <v>11</v>
      </c>
      <c r="AP1435" s="7" t="n">
        <v>0</v>
      </c>
      <c r="AQ1435" s="7" t="n">
        <v>1</v>
      </c>
      <c r="AR1435" s="6" t="s">
        <v>63</v>
      </c>
      <c r="AS1435" s="6" t="s">
        <v>57</v>
      </c>
      <c r="AT1435" s="9" t="str">
        <f aca="false">HYPERLINK("http://catalog.hathitrust.org/Record/001385259","HathiTrust Record")</f>
        <v>HathiTrust Record</v>
      </c>
      <c r="AU1435" s="9" t="str">
        <f aca="false">HYPERLINK("https://creighton-primo.hosted.exlibrisgroup.com/primo-explore/search?tab=default_tab&amp;search_scope=EVERYTHING&amp;vid=01CRU&amp;lang=en_US&amp;offset=0&amp;query=any,contains,991002076479702656","Catalog Record")</f>
        <v>Catalog Record</v>
      </c>
      <c r="AV1435" s="9" t="str">
        <f aca="false">HYPERLINK("http://www.worldcat.org/oclc/5213516","WorldCat Record")</f>
        <v>WorldCat Record</v>
      </c>
      <c r="AW1435" s="6" t="s">
        <v>11414</v>
      </c>
      <c r="AX1435" s="6" t="s">
        <v>11415</v>
      </c>
      <c r="AY1435" s="6" t="s">
        <v>11416</v>
      </c>
      <c r="AZ1435" s="6" t="s">
        <v>11416</v>
      </c>
      <c r="BA1435" s="6" t="s">
        <v>11417</v>
      </c>
      <c r="BB1435" s="28"/>
      <c r="BC1435" s="6" t="s">
        <v>11420</v>
      </c>
      <c r="BE1435" s="15" t="s">
        <v>2145</v>
      </c>
      <c r="BF1435" s="6" t="s">
        <v>11421</v>
      </c>
    </row>
    <row r="1436" customFormat="false" ht="82.5" hidden="false" customHeight="false" outlineLevel="0" collapsed="false">
      <c r="A1436" s="26" t="s">
        <v>63</v>
      </c>
      <c r="B1436" s="27" t="s">
        <v>2129</v>
      </c>
      <c r="C1436" s="27" t="s">
        <v>2130</v>
      </c>
      <c r="D1436" s="27" t="s">
        <v>11422</v>
      </c>
      <c r="E1436" s="27" t="s">
        <v>11423</v>
      </c>
      <c r="F1436" s="27" t="s">
        <v>11424</v>
      </c>
      <c r="G1436" s="28"/>
      <c r="H1436" s="6" t="s">
        <v>63</v>
      </c>
      <c r="I1436" s="6" t="s">
        <v>62</v>
      </c>
      <c r="J1436" s="6" t="s">
        <v>63</v>
      </c>
      <c r="K1436" s="6" t="s">
        <v>63</v>
      </c>
      <c r="L1436" s="6" t="s">
        <v>64</v>
      </c>
      <c r="M1436" s="27" t="s">
        <v>11425</v>
      </c>
      <c r="N1436" s="27" t="s">
        <v>11426</v>
      </c>
      <c r="O1436" s="6" t="s">
        <v>8920</v>
      </c>
      <c r="P1436" s="28"/>
      <c r="Q1436" s="6" t="s">
        <v>67</v>
      </c>
      <c r="R1436" s="6" t="s">
        <v>1059</v>
      </c>
      <c r="S1436" s="28"/>
      <c r="T1436" s="6" t="s">
        <v>6138</v>
      </c>
      <c r="U1436" s="7" t="n">
        <v>7</v>
      </c>
      <c r="V1436" s="7" t="n">
        <v>7</v>
      </c>
      <c r="W1436" s="8" t="s">
        <v>11427</v>
      </c>
      <c r="X1436" s="8" t="s">
        <v>11427</v>
      </c>
      <c r="Y1436" s="8" t="s">
        <v>9178</v>
      </c>
      <c r="Z1436" s="8" t="s">
        <v>9178</v>
      </c>
      <c r="AA1436" s="7" t="n">
        <v>293</v>
      </c>
      <c r="AB1436" s="7" t="n">
        <v>266</v>
      </c>
      <c r="AC1436" s="7" t="n">
        <v>989</v>
      </c>
      <c r="AD1436" s="7" t="n">
        <v>3</v>
      </c>
      <c r="AE1436" s="7" t="n">
        <v>9</v>
      </c>
      <c r="AF1436" s="7" t="n">
        <v>10</v>
      </c>
      <c r="AG1436" s="7" t="n">
        <v>48</v>
      </c>
      <c r="AH1436" s="7" t="n">
        <v>4</v>
      </c>
      <c r="AI1436" s="7" t="n">
        <v>20</v>
      </c>
      <c r="AJ1436" s="7" t="n">
        <v>2</v>
      </c>
      <c r="AK1436" s="7" t="n">
        <v>9</v>
      </c>
      <c r="AL1436" s="7" t="n">
        <v>5</v>
      </c>
      <c r="AM1436" s="7" t="n">
        <v>22</v>
      </c>
      <c r="AN1436" s="7" t="n">
        <v>2</v>
      </c>
      <c r="AO1436" s="7" t="n">
        <v>7</v>
      </c>
      <c r="AP1436" s="7" t="n">
        <v>0</v>
      </c>
      <c r="AQ1436" s="7" t="n">
        <v>1</v>
      </c>
      <c r="AR1436" s="6" t="s">
        <v>63</v>
      </c>
      <c r="AS1436" s="6" t="s">
        <v>63</v>
      </c>
      <c r="AT1436" s="28"/>
      <c r="AU1436" s="9" t="str">
        <f aca="false">HYPERLINK("https://creighton-primo.hosted.exlibrisgroup.com/primo-explore/search?tab=default_tab&amp;search_scope=EVERYTHING&amp;vid=01CRU&amp;lang=en_US&amp;offset=0&amp;query=any,contains,991002563259702656","Catalog Record")</f>
        <v>Catalog Record</v>
      </c>
      <c r="AV1436" s="9" t="str">
        <f aca="false">HYPERLINK("http://www.worldcat.org/oclc/372130","WorldCat Record")</f>
        <v>WorldCat Record</v>
      </c>
      <c r="AW1436" s="6" t="s">
        <v>11428</v>
      </c>
      <c r="AX1436" s="6" t="s">
        <v>11429</v>
      </c>
      <c r="AY1436" s="6" t="s">
        <v>11430</v>
      </c>
      <c r="AZ1436" s="6" t="s">
        <v>11430</v>
      </c>
      <c r="BA1436" s="6" t="s">
        <v>11431</v>
      </c>
      <c r="BB1436" s="28"/>
      <c r="BC1436" s="6" t="s">
        <v>11432</v>
      </c>
      <c r="BE1436" s="15" t="s">
        <v>2145</v>
      </c>
      <c r="BF1436" s="6" t="s">
        <v>11433</v>
      </c>
    </row>
    <row r="1437" customFormat="false" ht="71" hidden="false" customHeight="false" outlineLevel="0" collapsed="false">
      <c r="A1437" s="26" t="s">
        <v>63</v>
      </c>
      <c r="B1437" s="27" t="s">
        <v>2129</v>
      </c>
      <c r="C1437" s="27" t="s">
        <v>2130</v>
      </c>
      <c r="D1437" s="27" t="s">
        <v>11434</v>
      </c>
      <c r="E1437" s="27" t="s">
        <v>11435</v>
      </c>
      <c r="F1437" s="27" t="s">
        <v>11436</v>
      </c>
      <c r="G1437" s="28"/>
      <c r="H1437" s="6" t="s">
        <v>63</v>
      </c>
      <c r="I1437" s="6" t="s">
        <v>62</v>
      </c>
      <c r="J1437" s="6" t="s">
        <v>63</v>
      </c>
      <c r="K1437" s="6" t="s">
        <v>63</v>
      </c>
      <c r="L1437" s="6" t="s">
        <v>64</v>
      </c>
      <c r="M1437" s="27" t="s">
        <v>11437</v>
      </c>
      <c r="N1437" s="27" t="s">
        <v>11438</v>
      </c>
      <c r="O1437" s="6" t="s">
        <v>254</v>
      </c>
      <c r="P1437" s="28"/>
      <c r="Q1437" s="6" t="s">
        <v>67</v>
      </c>
      <c r="R1437" s="6" t="s">
        <v>1059</v>
      </c>
      <c r="S1437" s="28"/>
      <c r="T1437" s="6" t="s">
        <v>6138</v>
      </c>
      <c r="U1437" s="7" t="n">
        <v>2</v>
      </c>
      <c r="V1437" s="7" t="n">
        <v>2</v>
      </c>
      <c r="W1437" s="8" t="s">
        <v>11439</v>
      </c>
      <c r="X1437" s="8" t="s">
        <v>11439</v>
      </c>
      <c r="Y1437" s="8" t="s">
        <v>9178</v>
      </c>
      <c r="Z1437" s="8" t="s">
        <v>9178</v>
      </c>
      <c r="AA1437" s="7" t="n">
        <v>551</v>
      </c>
      <c r="AB1437" s="7" t="n">
        <v>436</v>
      </c>
      <c r="AC1437" s="7" t="n">
        <v>437</v>
      </c>
      <c r="AD1437" s="7" t="n">
        <v>4</v>
      </c>
      <c r="AE1437" s="7" t="n">
        <v>4</v>
      </c>
      <c r="AF1437" s="7" t="n">
        <v>28</v>
      </c>
      <c r="AG1437" s="7" t="n">
        <v>28</v>
      </c>
      <c r="AH1437" s="7" t="n">
        <v>6</v>
      </c>
      <c r="AI1437" s="7" t="n">
        <v>6</v>
      </c>
      <c r="AJ1437" s="7" t="n">
        <v>9</v>
      </c>
      <c r="AK1437" s="7" t="n">
        <v>9</v>
      </c>
      <c r="AL1437" s="7" t="n">
        <v>18</v>
      </c>
      <c r="AM1437" s="7" t="n">
        <v>18</v>
      </c>
      <c r="AN1437" s="7" t="n">
        <v>3</v>
      </c>
      <c r="AO1437" s="7" t="n">
        <v>3</v>
      </c>
      <c r="AP1437" s="7" t="n">
        <v>0</v>
      </c>
      <c r="AQ1437" s="7" t="n">
        <v>0</v>
      </c>
      <c r="AR1437" s="6" t="s">
        <v>63</v>
      </c>
      <c r="AS1437" s="6" t="s">
        <v>63</v>
      </c>
      <c r="AT1437" s="28"/>
      <c r="AU1437" s="9" t="str">
        <f aca="false">HYPERLINK("https://creighton-primo.hosted.exlibrisgroup.com/primo-explore/search?tab=default_tab&amp;search_scope=EVERYTHING&amp;vid=01CRU&amp;lang=en_US&amp;offset=0&amp;query=any,contains,991003294119702656","Catalog Record")</f>
        <v>Catalog Record</v>
      </c>
      <c r="AV1437" s="9" t="str">
        <f aca="false">HYPERLINK("http://www.worldcat.org/oclc/816220","WorldCat Record")</f>
        <v>WorldCat Record</v>
      </c>
      <c r="AW1437" s="6" t="s">
        <v>11440</v>
      </c>
      <c r="AX1437" s="6" t="s">
        <v>11441</v>
      </c>
      <c r="AY1437" s="6" t="s">
        <v>11442</v>
      </c>
      <c r="AZ1437" s="6" t="s">
        <v>11442</v>
      </c>
      <c r="BA1437" s="6" t="s">
        <v>11443</v>
      </c>
      <c r="BB1437" s="6" t="s">
        <v>11444</v>
      </c>
      <c r="BC1437" s="6" t="s">
        <v>11445</v>
      </c>
      <c r="BE1437" s="15" t="s">
        <v>2145</v>
      </c>
      <c r="BF1437" s="6" t="s">
        <v>11446</v>
      </c>
    </row>
    <row r="1438" customFormat="false" ht="174.5" hidden="false" customHeight="false" outlineLevel="0" collapsed="false">
      <c r="A1438" s="26" t="s">
        <v>63</v>
      </c>
      <c r="B1438" s="27" t="s">
        <v>2129</v>
      </c>
      <c r="C1438" s="27" t="s">
        <v>2130</v>
      </c>
      <c r="D1438" s="27" t="s">
        <v>11447</v>
      </c>
      <c r="E1438" s="27" t="s">
        <v>11448</v>
      </c>
      <c r="F1438" s="27" t="s">
        <v>11449</v>
      </c>
      <c r="G1438" s="28"/>
      <c r="H1438" s="6" t="s">
        <v>57</v>
      </c>
      <c r="I1438" s="6" t="s">
        <v>62</v>
      </c>
      <c r="J1438" s="6" t="s">
        <v>57</v>
      </c>
      <c r="K1438" s="6" t="s">
        <v>63</v>
      </c>
      <c r="L1438" s="6" t="s">
        <v>64</v>
      </c>
      <c r="M1438" s="27" t="s">
        <v>11450</v>
      </c>
      <c r="N1438" s="27" t="s">
        <v>11451</v>
      </c>
      <c r="O1438" s="6" t="s">
        <v>11452</v>
      </c>
      <c r="P1438" s="28"/>
      <c r="Q1438" s="6" t="s">
        <v>67</v>
      </c>
      <c r="R1438" s="6" t="s">
        <v>384</v>
      </c>
      <c r="S1438" s="27" t="s">
        <v>11453</v>
      </c>
      <c r="T1438" s="6" t="s">
        <v>6138</v>
      </c>
      <c r="U1438" s="7" t="n">
        <v>7</v>
      </c>
      <c r="V1438" s="7" t="n">
        <v>9</v>
      </c>
      <c r="W1438" s="8" t="s">
        <v>11454</v>
      </c>
      <c r="X1438" s="8" t="s">
        <v>11454</v>
      </c>
      <c r="Y1438" s="8" t="s">
        <v>9178</v>
      </c>
      <c r="Z1438" s="8" t="s">
        <v>9178</v>
      </c>
      <c r="AA1438" s="7" t="n">
        <v>386</v>
      </c>
      <c r="AB1438" s="7" t="n">
        <v>335</v>
      </c>
      <c r="AC1438" s="7" t="n">
        <v>755</v>
      </c>
      <c r="AD1438" s="7" t="n">
        <v>3</v>
      </c>
      <c r="AE1438" s="7" t="n">
        <v>7</v>
      </c>
      <c r="AF1438" s="7" t="n">
        <v>21</v>
      </c>
      <c r="AG1438" s="7" t="n">
        <v>40</v>
      </c>
      <c r="AH1438" s="7" t="n">
        <v>10</v>
      </c>
      <c r="AI1438" s="7" t="n">
        <v>16</v>
      </c>
      <c r="AJ1438" s="7" t="n">
        <v>5</v>
      </c>
      <c r="AK1438" s="7" t="n">
        <v>8</v>
      </c>
      <c r="AL1438" s="7" t="n">
        <v>13</v>
      </c>
      <c r="AM1438" s="7" t="n">
        <v>21</v>
      </c>
      <c r="AN1438" s="7" t="n">
        <v>1</v>
      </c>
      <c r="AO1438" s="7" t="n">
        <v>5</v>
      </c>
      <c r="AP1438" s="7" t="n">
        <v>0</v>
      </c>
      <c r="AQ1438" s="7" t="n">
        <v>0</v>
      </c>
      <c r="AR1438" s="6" t="s">
        <v>63</v>
      </c>
      <c r="AS1438" s="6" t="s">
        <v>57</v>
      </c>
      <c r="AT1438" s="9" t="str">
        <f aca="false">HYPERLINK("http://catalog.hathitrust.org/Record/001385266","HathiTrust Record")</f>
        <v>HathiTrust Record</v>
      </c>
      <c r="AU1438" s="9" t="str">
        <f aca="false">HYPERLINK("https://creighton-primo.hosted.exlibrisgroup.com/primo-explore/search?tab=default_tab&amp;search_scope=EVERYTHING&amp;vid=01CRU&amp;lang=en_US&amp;offset=0&amp;query=any,contains,991004871339702656","Catalog Record")</f>
        <v>Catalog Record</v>
      </c>
      <c r="AV1438" s="9" t="str">
        <f aca="false">HYPERLINK("http://www.worldcat.org/oclc/30007318","WorldCat Record")</f>
        <v>WorldCat Record</v>
      </c>
      <c r="AW1438" s="6" t="s">
        <v>11455</v>
      </c>
      <c r="AX1438" s="6" t="s">
        <v>11456</v>
      </c>
      <c r="AY1438" s="6" t="s">
        <v>11457</v>
      </c>
      <c r="AZ1438" s="6" t="s">
        <v>11457</v>
      </c>
      <c r="BA1438" s="6" t="s">
        <v>11458</v>
      </c>
      <c r="BB1438" s="28"/>
      <c r="BC1438" s="6" t="s">
        <v>11459</v>
      </c>
      <c r="BE1438" s="15" t="s">
        <v>2145</v>
      </c>
      <c r="BF1438" s="6" t="s">
        <v>11460</v>
      </c>
    </row>
    <row r="1439" customFormat="false" ht="174.5" hidden="false" customHeight="false" outlineLevel="0" collapsed="false">
      <c r="A1439" s="26" t="s">
        <v>63</v>
      </c>
      <c r="B1439" s="27" t="s">
        <v>2129</v>
      </c>
      <c r="C1439" s="27" t="s">
        <v>2130</v>
      </c>
      <c r="D1439" s="27" t="s">
        <v>11461</v>
      </c>
      <c r="E1439" s="27" t="s">
        <v>11462</v>
      </c>
      <c r="F1439" s="27" t="s">
        <v>11449</v>
      </c>
      <c r="G1439" s="28"/>
      <c r="H1439" s="6" t="s">
        <v>57</v>
      </c>
      <c r="I1439" s="6" t="s">
        <v>62</v>
      </c>
      <c r="J1439" s="6" t="s">
        <v>57</v>
      </c>
      <c r="K1439" s="6" t="s">
        <v>63</v>
      </c>
      <c r="L1439" s="6" t="s">
        <v>64</v>
      </c>
      <c r="M1439" s="27" t="s">
        <v>11450</v>
      </c>
      <c r="N1439" s="27" t="s">
        <v>11451</v>
      </c>
      <c r="O1439" s="6" t="s">
        <v>11452</v>
      </c>
      <c r="P1439" s="28"/>
      <c r="Q1439" s="6" t="s">
        <v>67</v>
      </c>
      <c r="R1439" s="6" t="s">
        <v>384</v>
      </c>
      <c r="S1439" s="27" t="s">
        <v>11453</v>
      </c>
      <c r="T1439" s="6" t="s">
        <v>6138</v>
      </c>
      <c r="U1439" s="7" t="n">
        <v>2</v>
      </c>
      <c r="V1439" s="7" t="n">
        <v>9</v>
      </c>
      <c r="W1439" s="8" t="s">
        <v>11439</v>
      </c>
      <c r="X1439" s="8" t="s">
        <v>11454</v>
      </c>
      <c r="Y1439" s="8" t="s">
        <v>9178</v>
      </c>
      <c r="Z1439" s="8" t="s">
        <v>9178</v>
      </c>
      <c r="AA1439" s="7" t="n">
        <v>386</v>
      </c>
      <c r="AB1439" s="7" t="n">
        <v>335</v>
      </c>
      <c r="AC1439" s="7" t="n">
        <v>755</v>
      </c>
      <c r="AD1439" s="7" t="n">
        <v>3</v>
      </c>
      <c r="AE1439" s="7" t="n">
        <v>7</v>
      </c>
      <c r="AF1439" s="7" t="n">
        <v>21</v>
      </c>
      <c r="AG1439" s="7" t="n">
        <v>40</v>
      </c>
      <c r="AH1439" s="7" t="n">
        <v>10</v>
      </c>
      <c r="AI1439" s="7" t="n">
        <v>16</v>
      </c>
      <c r="AJ1439" s="7" t="n">
        <v>5</v>
      </c>
      <c r="AK1439" s="7" t="n">
        <v>8</v>
      </c>
      <c r="AL1439" s="7" t="n">
        <v>13</v>
      </c>
      <c r="AM1439" s="7" t="n">
        <v>21</v>
      </c>
      <c r="AN1439" s="7" t="n">
        <v>1</v>
      </c>
      <c r="AO1439" s="7" t="n">
        <v>5</v>
      </c>
      <c r="AP1439" s="7" t="n">
        <v>0</v>
      </c>
      <c r="AQ1439" s="7" t="n">
        <v>0</v>
      </c>
      <c r="AR1439" s="6" t="s">
        <v>63</v>
      </c>
      <c r="AS1439" s="6" t="s">
        <v>57</v>
      </c>
      <c r="AT1439" s="9" t="str">
        <f aca="false">HYPERLINK("http://catalog.hathitrust.org/Record/001385266","HathiTrust Record")</f>
        <v>HathiTrust Record</v>
      </c>
      <c r="AU1439" s="9" t="str">
        <f aca="false">HYPERLINK("https://creighton-primo.hosted.exlibrisgroup.com/primo-explore/search?tab=default_tab&amp;search_scope=EVERYTHING&amp;vid=01CRU&amp;lang=en_US&amp;offset=0&amp;query=any,contains,991004871339702656","Catalog Record")</f>
        <v>Catalog Record</v>
      </c>
      <c r="AV1439" s="9" t="str">
        <f aca="false">HYPERLINK("http://www.worldcat.org/oclc/30007318","WorldCat Record")</f>
        <v>WorldCat Record</v>
      </c>
      <c r="AW1439" s="6" t="s">
        <v>11455</v>
      </c>
      <c r="AX1439" s="6" t="s">
        <v>11456</v>
      </c>
      <c r="AY1439" s="6" t="s">
        <v>11457</v>
      </c>
      <c r="AZ1439" s="6" t="s">
        <v>11457</v>
      </c>
      <c r="BA1439" s="6" t="s">
        <v>11458</v>
      </c>
      <c r="BB1439" s="28"/>
      <c r="BC1439" s="6" t="s">
        <v>11463</v>
      </c>
      <c r="BE1439" s="15" t="s">
        <v>2145</v>
      </c>
      <c r="BF1439" s="6" t="s">
        <v>11464</v>
      </c>
    </row>
    <row r="1440" customFormat="false" ht="128.5" hidden="false" customHeight="false" outlineLevel="0" collapsed="false">
      <c r="A1440" s="26" t="s">
        <v>63</v>
      </c>
      <c r="B1440" s="27" t="s">
        <v>2129</v>
      </c>
      <c r="C1440" s="27" t="s">
        <v>2130</v>
      </c>
      <c r="D1440" s="27" t="s">
        <v>11465</v>
      </c>
      <c r="E1440" s="27" t="s">
        <v>11466</v>
      </c>
      <c r="F1440" s="27" t="s">
        <v>11467</v>
      </c>
      <c r="G1440" s="28"/>
      <c r="H1440" s="6" t="s">
        <v>63</v>
      </c>
      <c r="I1440" s="6" t="s">
        <v>62</v>
      </c>
      <c r="J1440" s="6" t="s">
        <v>63</v>
      </c>
      <c r="K1440" s="6" t="s">
        <v>63</v>
      </c>
      <c r="L1440" s="6" t="s">
        <v>64</v>
      </c>
      <c r="M1440" s="27" t="s">
        <v>7960</v>
      </c>
      <c r="N1440" s="27" t="s">
        <v>11468</v>
      </c>
      <c r="O1440" s="6" t="s">
        <v>4869</v>
      </c>
      <c r="P1440" s="27" t="s">
        <v>11469</v>
      </c>
      <c r="Q1440" s="6" t="s">
        <v>67</v>
      </c>
      <c r="R1440" s="6" t="s">
        <v>68</v>
      </c>
      <c r="S1440" s="28"/>
      <c r="T1440" s="6" t="s">
        <v>6138</v>
      </c>
      <c r="U1440" s="7" t="n">
        <v>1</v>
      </c>
      <c r="V1440" s="7" t="n">
        <v>1</v>
      </c>
      <c r="W1440" s="8" t="s">
        <v>11439</v>
      </c>
      <c r="X1440" s="8" t="s">
        <v>11439</v>
      </c>
      <c r="Y1440" s="8" t="s">
        <v>11470</v>
      </c>
      <c r="Z1440" s="8" t="s">
        <v>11470</v>
      </c>
      <c r="AA1440" s="7" t="n">
        <v>112</v>
      </c>
      <c r="AB1440" s="7" t="n">
        <v>99</v>
      </c>
      <c r="AC1440" s="7" t="n">
        <v>963</v>
      </c>
      <c r="AD1440" s="7" t="n">
        <v>1</v>
      </c>
      <c r="AE1440" s="7" t="n">
        <v>7</v>
      </c>
      <c r="AF1440" s="7" t="n">
        <v>11</v>
      </c>
      <c r="AG1440" s="7" t="n">
        <v>51</v>
      </c>
      <c r="AH1440" s="7" t="n">
        <v>6</v>
      </c>
      <c r="AI1440" s="7" t="n">
        <v>21</v>
      </c>
      <c r="AJ1440" s="7" t="n">
        <v>1</v>
      </c>
      <c r="AK1440" s="7" t="n">
        <v>9</v>
      </c>
      <c r="AL1440" s="7" t="n">
        <v>7</v>
      </c>
      <c r="AM1440" s="7" t="n">
        <v>25</v>
      </c>
      <c r="AN1440" s="7" t="n">
        <v>0</v>
      </c>
      <c r="AO1440" s="7" t="n">
        <v>6</v>
      </c>
      <c r="AP1440" s="7" t="n">
        <v>0</v>
      </c>
      <c r="AQ1440" s="7" t="n">
        <v>1</v>
      </c>
      <c r="AR1440" s="6" t="s">
        <v>63</v>
      </c>
      <c r="AS1440" s="6" t="s">
        <v>63</v>
      </c>
      <c r="AT1440" s="28"/>
      <c r="AU1440" s="9" t="str">
        <f aca="false">HYPERLINK("https://creighton-primo.hosted.exlibrisgroup.com/primo-explore/search?tab=default_tab&amp;search_scope=EVERYTHING&amp;vid=01CRU&amp;lang=en_US&amp;offset=0&amp;query=any,contains,991004448919702656","Catalog Record")</f>
        <v>Catalog Record</v>
      </c>
      <c r="AV1440" s="9" t="str">
        <f aca="false">HYPERLINK("http://www.worldcat.org/oclc/3498914","WorldCat Record")</f>
        <v>WorldCat Record</v>
      </c>
      <c r="AW1440" s="6" t="s">
        <v>11471</v>
      </c>
      <c r="AX1440" s="6" t="s">
        <v>11472</v>
      </c>
      <c r="AY1440" s="6" t="s">
        <v>11473</v>
      </c>
      <c r="AZ1440" s="6" t="s">
        <v>11473</v>
      </c>
      <c r="BA1440" s="6" t="s">
        <v>11474</v>
      </c>
      <c r="BB1440" s="28"/>
      <c r="BC1440" s="6" t="s">
        <v>11475</v>
      </c>
      <c r="BE1440" s="15" t="s">
        <v>2145</v>
      </c>
      <c r="BF1440" s="6" t="s">
        <v>11476</v>
      </c>
    </row>
    <row r="1441" customFormat="false" ht="128.5" hidden="false" customHeight="false" outlineLevel="0" collapsed="false">
      <c r="A1441" s="26" t="s">
        <v>57</v>
      </c>
      <c r="B1441" s="27" t="s">
        <v>2129</v>
      </c>
      <c r="C1441" s="27" t="s">
        <v>2130</v>
      </c>
      <c r="D1441" s="27" t="s">
        <v>11477</v>
      </c>
      <c r="E1441" s="27" t="s">
        <v>11478</v>
      </c>
      <c r="F1441" s="27" t="s">
        <v>11479</v>
      </c>
      <c r="G1441" s="28"/>
      <c r="H1441" s="6" t="s">
        <v>63</v>
      </c>
      <c r="I1441" s="6" t="s">
        <v>62</v>
      </c>
      <c r="J1441" s="6" t="s">
        <v>63</v>
      </c>
      <c r="K1441" s="6" t="s">
        <v>63</v>
      </c>
      <c r="L1441" s="6" t="s">
        <v>64</v>
      </c>
      <c r="M1441" s="27" t="s">
        <v>11480</v>
      </c>
      <c r="N1441" s="27" t="s">
        <v>11481</v>
      </c>
      <c r="O1441" s="6" t="s">
        <v>122</v>
      </c>
      <c r="P1441" s="28"/>
      <c r="Q1441" s="6" t="s">
        <v>67</v>
      </c>
      <c r="R1441" s="6" t="s">
        <v>384</v>
      </c>
      <c r="S1441" s="28"/>
      <c r="T1441" s="6" t="s">
        <v>6138</v>
      </c>
      <c r="U1441" s="7" t="n">
        <v>5</v>
      </c>
      <c r="V1441" s="7" t="n">
        <v>5</v>
      </c>
      <c r="W1441" s="8" t="s">
        <v>8466</v>
      </c>
      <c r="X1441" s="8" t="s">
        <v>8466</v>
      </c>
      <c r="Y1441" s="8" t="s">
        <v>8389</v>
      </c>
      <c r="Z1441" s="8" t="s">
        <v>8389</v>
      </c>
      <c r="AA1441" s="7" t="n">
        <v>831</v>
      </c>
      <c r="AB1441" s="7" t="n">
        <v>663</v>
      </c>
      <c r="AC1441" s="7" t="n">
        <v>1286</v>
      </c>
      <c r="AD1441" s="7" t="n">
        <v>8</v>
      </c>
      <c r="AE1441" s="7" t="n">
        <v>11</v>
      </c>
      <c r="AF1441" s="7" t="n">
        <v>38</v>
      </c>
      <c r="AG1441" s="7" t="n">
        <v>52</v>
      </c>
      <c r="AH1441" s="7" t="n">
        <v>14</v>
      </c>
      <c r="AI1441" s="7" t="n">
        <v>20</v>
      </c>
      <c r="AJ1441" s="7" t="n">
        <v>8</v>
      </c>
      <c r="AK1441" s="7" t="n">
        <v>10</v>
      </c>
      <c r="AL1441" s="7" t="n">
        <v>22</v>
      </c>
      <c r="AM1441" s="7" t="n">
        <v>24</v>
      </c>
      <c r="AN1441" s="7" t="n">
        <v>6</v>
      </c>
      <c r="AO1441" s="7" t="n">
        <v>9</v>
      </c>
      <c r="AP1441" s="7" t="n">
        <v>0</v>
      </c>
      <c r="AQ1441" s="7" t="n">
        <v>1</v>
      </c>
      <c r="AR1441" s="6" t="s">
        <v>63</v>
      </c>
      <c r="AS1441" s="6" t="s">
        <v>57</v>
      </c>
      <c r="AT1441" s="9" t="str">
        <f aca="false">HYPERLINK("http://catalog.hathitrust.org/Record/001385271","HathiTrust Record")</f>
        <v>HathiTrust Record</v>
      </c>
      <c r="AU1441" s="9" t="str">
        <f aca="false">HYPERLINK("https://creighton-primo.hosted.exlibrisgroup.com/primo-explore/search?tab=default_tab&amp;search_scope=EVERYTHING&amp;vid=01CRU&amp;lang=en_US&amp;offset=0&amp;query=any,contains,991004202379702656","Catalog Record")</f>
        <v>Catalog Record</v>
      </c>
      <c r="AV1441" s="9" t="str">
        <f aca="false">HYPERLINK("http://www.worldcat.org/oclc/2655997","WorldCat Record")</f>
        <v>WorldCat Record</v>
      </c>
      <c r="AW1441" s="6" t="s">
        <v>11482</v>
      </c>
      <c r="AX1441" s="6" t="s">
        <v>11483</v>
      </c>
      <c r="AY1441" s="6" t="s">
        <v>11484</v>
      </c>
      <c r="AZ1441" s="6" t="s">
        <v>11484</v>
      </c>
      <c r="BA1441" s="6" t="s">
        <v>11485</v>
      </c>
      <c r="BB1441" s="28"/>
      <c r="BC1441" s="6" t="s">
        <v>11486</v>
      </c>
      <c r="BE1441" s="15" t="s">
        <v>2145</v>
      </c>
      <c r="BF1441" s="6" t="s">
        <v>11487</v>
      </c>
    </row>
    <row r="1442" customFormat="false" ht="48" hidden="false" customHeight="false" outlineLevel="0" collapsed="false">
      <c r="A1442" s="26" t="s">
        <v>63</v>
      </c>
      <c r="B1442" s="27" t="s">
        <v>2129</v>
      </c>
      <c r="C1442" s="27" t="s">
        <v>2130</v>
      </c>
      <c r="D1442" s="27" t="s">
        <v>11488</v>
      </c>
      <c r="E1442" s="27" t="s">
        <v>11489</v>
      </c>
      <c r="F1442" s="27" t="s">
        <v>11490</v>
      </c>
      <c r="G1442" s="28"/>
      <c r="H1442" s="6" t="s">
        <v>63</v>
      </c>
      <c r="I1442" s="6" t="s">
        <v>62</v>
      </c>
      <c r="J1442" s="6" t="s">
        <v>63</v>
      </c>
      <c r="K1442" s="6" t="s">
        <v>63</v>
      </c>
      <c r="L1442" s="6" t="s">
        <v>64</v>
      </c>
      <c r="M1442" s="27" t="s">
        <v>11491</v>
      </c>
      <c r="N1442" s="27" t="s">
        <v>11492</v>
      </c>
      <c r="O1442" s="6" t="s">
        <v>2797</v>
      </c>
      <c r="P1442" s="27" t="s">
        <v>4146</v>
      </c>
      <c r="Q1442" s="6" t="s">
        <v>67</v>
      </c>
      <c r="R1442" s="6" t="s">
        <v>384</v>
      </c>
      <c r="S1442" s="28"/>
      <c r="T1442" s="6" t="s">
        <v>6138</v>
      </c>
      <c r="U1442" s="7" t="n">
        <v>5</v>
      </c>
      <c r="V1442" s="7" t="n">
        <v>5</v>
      </c>
      <c r="W1442" s="8" t="s">
        <v>11493</v>
      </c>
      <c r="X1442" s="8" t="s">
        <v>11493</v>
      </c>
      <c r="Y1442" s="8" t="s">
        <v>8389</v>
      </c>
      <c r="Z1442" s="8" t="s">
        <v>8389</v>
      </c>
      <c r="AA1442" s="7" t="n">
        <v>582</v>
      </c>
      <c r="AB1442" s="7" t="n">
        <v>472</v>
      </c>
      <c r="AC1442" s="7" t="n">
        <v>509</v>
      </c>
      <c r="AD1442" s="7" t="n">
        <v>5</v>
      </c>
      <c r="AE1442" s="7" t="n">
        <v>5</v>
      </c>
      <c r="AF1442" s="7" t="n">
        <v>29</v>
      </c>
      <c r="AG1442" s="7" t="n">
        <v>31</v>
      </c>
      <c r="AH1442" s="7" t="n">
        <v>11</v>
      </c>
      <c r="AI1442" s="7" t="n">
        <v>11</v>
      </c>
      <c r="AJ1442" s="7" t="n">
        <v>6</v>
      </c>
      <c r="AK1442" s="7" t="n">
        <v>7</v>
      </c>
      <c r="AL1442" s="7" t="n">
        <v>17</v>
      </c>
      <c r="AM1442" s="7" t="n">
        <v>19</v>
      </c>
      <c r="AN1442" s="7" t="n">
        <v>3</v>
      </c>
      <c r="AO1442" s="7" t="n">
        <v>3</v>
      </c>
      <c r="AP1442" s="7" t="n">
        <v>0</v>
      </c>
      <c r="AQ1442" s="7" t="n">
        <v>0</v>
      </c>
      <c r="AR1442" s="6" t="s">
        <v>63</v>
      </c>
      <c r="AS1442" s="6" t="s">
        <v>57</v>
      </c>
      <c r="AT1442" s="9" t="str">
        <f aca="false">HYPERLINK("http://catalog.hathitrust.org/Record/001916989","HathiTrust Record")</f>
        <v>HathiTrust Record</v>
      </c>
      <c r="AU1442" s="9" t="str">
        <f aca="false">HYPERLINK("https://creighton-primo.hosted.exlibrisgroup.com/primo-explore/search?tab=default_tab&amp;search_scope=EVERYTHING&amp;vid=01CRU&amp;lang=en_US&amp;offset=0&amp;query=any,contains,991002563269702656","Catalog Record")</f>
        <v>Catalog Record</v>
      </c>
      <c r="AV1442" s="9" t="str">
        <f aca="false">HYPERLINK("http://www.worldcat.org/oclc/372133","WorldCat Record")</f>
        <v>WorldCat Record</v>
      </c>
      <c r="AW1442" s="6" t="s">
        <v>11494</v>
      </c>
      <c r="AX1442" s="6" t="s">
        <v>11495</v>
      </c>
      <c r="AY1442" s="6" t="s">
        <v>11496</v>
      </c>
      <c r="AZ1442" s="6" t="s">
        <v>11496</v>
      </c>
      <c r="BA1442" s="6" t="s">
        <v>11497</v>
      </c>
      <c r="BB1442" s="28"/>
      <c r="BC1442" s="6" t="s">
        <v>11498</v>
      </c>
      <c r="BE1442" s="15" t="s">
        <v>2145</v>
      </c>
      <c r="BF1442" s="6" t="s">
        <v>11499</v>
      </c>
    </row>
    <row r="1443" customFormat="false" ht="128.5" hidden="false" customHeight="false" outlineLevel="0" collapsed="false">
      <c r="A1443" s="26" t="s">
        <v>63</v>
      </c>
      <c r="B1443" s="27" t="s">
        <v>2129</v>
      </c>
      <c r="C1443" s="27" t="s">
        <v>2130</v>
      </c>
      <c r="D1443" s="27" t="s">
        <v>11500</v>
      </c>
      <c r="E1443" s="27" t="s">
        <v>11501</v>
      </c>
      <c r="F1443" s="27" t="s">
        <v>11502</v>
      </c>
      <c r="G1443" s="28"/>
      <c r="H1443" s="6" t="s">
        <v>63</v>
      </c>
      <c r="I1443" s="6" t="s">
        <v>62</v>
      </c>
      <c r="J1443" s="6" t="s">
        <v>63</v>
      </c>
      <c r="K1443" s="6" t="s">
        <v>63</v>
      </c>
      <c r="L1443" s="6" t="s">
        <v>64</v>
      </c>
      <c r="M1443" s="27" t="s">
        <v>11503</v>
      </c>
      <c r="N1443" s="27" t="s">
        <v>11504</v>
      </c>
      <c r="O1443" s="6" t="s">
        <v>7428</v>
      </c>
      <c r="P1443" s="28"/>
      <c r="Q1443" s="6" t="s">
        <v>67</v>
      </c>
      <c r="R1443" s="6" t="s">
        <v>384</v>
      </c>
      <c r="S1443" s="28"/>
      <c r="T1443" s="6" t="s">
        <v>6138</v>
      </c>
      <c r="U1443" s="7" t="n">
        <v>3</v>
      </c>
      <c r="V1443" s="7" t="n">
        <v>3</v>
      </c>
      <c r="W1443" s="8" t="s">
        <v>11505</v>
      </c>
      <c r="X1443" s="8" t="s">
        <v>11505</v>
      </c>
      <c r="Y1443" s="8" t="s">
        <v>8389</v>
      </c>
      <c r="Z1443" s="8" t="s">
        <v>8389</v>
      </c>
      <c r="AA1443" s="7" t="n">
        <v>614</v>
      </c>
      <c r="AB1443" s="7" t="n">
        <v>437</v>
      </c>
      <c r="AC1443" s="7" t="n">
        <v>509</v>
      </c>
      <c r="AD1443" s="7" t="n">
        <v>4</v>
      </c>
      <c r="AE1443" s="7" t="n">
        <v>5</v>
      </c>
      <c r="AF1443" s="7" t="n">
        <v>31</v>
      </c>
      <c r="AG1443" s="7" t="n">
        <v>34</v>
      </c>
      <c r="AH1443" s="7" t="n">
        <v>9</v>
      </c>
      <c r="AI1443" s="7" t="n">
        <v>10</v>
      </c>
      <c r="AJ1443" s="7" t="n">
        <v>9</v>
      </c>
      <c r="AK1443" s="7" t="n">
        <v>9</v>
      </c>
      <c r="AL1443" s="7" t="n">
        <v>18</v>
      </c>
      <c r="AM1443" s="7" t="n">
        <v>19</v>
      </c>
      <c r="AN1443" s="7" t="n">
        <v>3</v>
      </c>
      <c r="AO1443" s="7" t="n">
        <v>4</v>
      </c>
      <c r="AP1443" s="7" t="n">
        <v>1</v>
      </c>
      <c r="AQ1443" s="7" t="n">
        <v>1</v>
      </c>
      <c r="AR1443" s="6" t="s">
        <v>63</v>
      </c>
      <c r="AS1443" s="6" t="s">
        <v>57</v>
      </c>
      <c r="AT1443" s="9" t="str">
        <f aca="false">HYPERLINK("http://catalog.hathitrust.org/Record/000745719","HathiTrust Record")</f>
        <v>HathiTrust Record</v>
      </c>
      <c r="AU1443" s="9" t="str">
        <f aca="false">HYPERLINK("https://creighton-primo.hosted.exlibrisgroup.com/primo-explore/search?tab=default_tab&amp;search_scope=EVERYTHING&amp;vid=01CRU&amp;lang=en_US&amp;offset=0&amp;query=any,contains,991004129509702656","Catalog Record")</f>
        <v>Catalog Record</v>
      </c>
      <c r="AV1443" s="9" t="str">
        <f aca="false">HYPERLINK("http://www.worldcat.org/oclc/2464357","WorldCat Record")</f>
        <v>WorldCat Record</v>
      </c>
      <c r="AW1443" s="6" t="s">
        <v>11506</v>
      </c>
      <c r="AX1443" s="6" t="s">
        <v>11507</v>
      </c>
      <c r="AY1443" s="6" t="s">
        <v>11508</v>
      </c>
      <c r="AZ1443" s="6" t="s">
        <v>11508</v>
      </c>
      <c r="BA1443" s="6" t="s">
        <v>11509</v>
      </c>
      <c r="BB1443" s="6" t="s">
        <v>11510</v>
      </c>
      <c r="BC1443" s="6" t="s">
        <v>11511</v>
      </c>
      <c r="BE1443" s="15" t="s">
        <v>2145</v>
      </c>
      <c r="BF1443" s="6" t="s">
        <v>11512</v>
      </c>
    </row>
    <row r="1444" customFormat="false" ht="186" hidden="false" customHeight="false" outlineLevel="0" collapsed="false">
      <c r="A1444" s="26" t="s">
        <v>63</v>
      </c>
      <c r="B1444" s="27" t="s">
        <v>2129</v>
      </c>
      <c r="C1444" s="27" t="s">
        <v>2130</v>
      </c>
      <c r="D1444" s="27" t="s">
        <v>11513</v>
      </c>
      <c r="E1444" s="27" t="s">
        <v>11514</v>
      </c>
      <c r="F1444" s="27" t="s">
        <v>11515</v>
      </c>
      <c r="G1444" s="28"/>
      <c r="H1444" s="6" t="s">
        <v>63</v>
      </c>
      <c r="I1444" s="6" t="s">
        <v>62</v>
      </c>
      <c r="J1444" s="6" t="s">
        <v>63</v>
      </c>
      <c r="K1444" s="6" t="s">
        <v>63</v>
      </c>
      <c r="L1444" s="6" t="s">
        <v>64</v>
      </c>
      <c r="M1444" s="27" t="s">
        <v>11516</v>
      </c>
      <c r="N1444" s="27" t="s">
        <v>11517</v>
      </c>
      <c r="O1444" s="6" t="s">
        <v>7428</v>
      </c>
      <c r="P1444" s="28"/>
      <c r="Q1444" s="6" t="s">
        <v>67</v>
      </c>
      <c r="R1444" s="6" t="s">
        <v>68</v>
      </c>
      <c r="S1444" s="27" t="s">
        <v>11518</v>
      </c>
      <c r="T1444" s="6" t="s">
        <v>6138</v>
      </c>
      <c r="U1444" s="7" t="n">
        <v>2</v>
      </c>
      <c r="V1444" s="7" t="n">
        <v>2</v>
      </c>
      <c r="W1444" s="8" t="s">
        <v>11519</v>
      </c>
      <c r="X1444" s="8" t="s">
        <v>11519</v>
      </c>
      <c r="Y1444" s="8" t="s">
        <v>8389</v>
      </c>
      <c r="Z1444" s="8" t="s">
        <v>8389</v>
      </c>
      <c r="AA1444" s="7" t="n">
        <v>233</v>
      </c>
      <c r="AB1444" s="7" t="n">
        <v>193</v>
      </c>
      <c r="AC1444" s="7" t="n">
        <v>280</v>
      </c>
      <c r="AD1444" s="7" t="n">
        <v>3</v>
      </c>
      <c r="AE1444" s="7" t="n">
        <v>3</v>
      </c>
      <c r="AF1444" s="7" t="n">
        <v>13</v>
      </c>
      <c r="AG1444" s="7" t="n">
        <v>19</v>
      </c>
      <c r="AH1444" s="7" t="n">
        <v>4</v>
      </c>
      <c r="AI1444" s="7" t="n">
        <v>5</v>
      </c>
      <c r="AJ1444" s="7" t="n">
        <v>3</v>
      </c>
      <c r="AK1444" s="7" t="n">
        <v>5</v>
      </c>
      <c r="AL1444" s="7" t="n">
        <v>9</v>
      </c>
      <c r="AM1444" s="7" t="n">
        <v>14</v>
      </c>
      <c r="AN1444" s="7" t="n">
        <v>2</v>
      </c>
      <c r="AO1444" s="7" t="n">
        <v>2</v>
      </c>
      <c r="AP1444" s="7" t="n">
        <v>0</v>
      </c>
      <c r="AQ1444" s="7" t="n">
        <v>0</v>
      </c>
      <c r="AR1444" s="6" t="s">
        <v>63</v>
      </c>
      <c r="AS1444" s="6" t="s">
        <v>57</v>
      </c>
      <c r="AT1444" s="9" t="str">
        <f aca="false">HYPERLINK("http://catalog.hathitrust.org/Record/009512166","HathiTrust Record")</f>
        <v>HathiTrust Record</v>
      </c>
      <c r="AU1444" s="9" t="str">
        <f aca="false">HYPERLINK("https://creighton-primo.hosted.exlibrisgroup.com/primo-explore/search?tab=default_tab&amp;search_scope=EVERYTHING&amp;vid=01CRU&amp;lang=en_US&amp;offset=0&amp;query=any,contains,991004018359702656","Catalog Record")</f>
        <v>Catalog Record</v>
      </c>
      <c r="AV1444" s="9" t="str">
        <f aca="false">HYPERLINK("http://www.worldcat.org/oclc/2118586","WorldCat Record")</f>
        <v>WorldCat Record</v>
      </c>
      <c r="AW1444" s="6" t="s">
        <v>11520</v>
      </c>
      <c r="AX1444" s="6" t="s">
        <v>11521</v>
      </c>
      <c r="AY1444" s="6" t="s">
        <v>11522</v>
      </c>
      <c r="AZ1444" s="6" t="s">
        <v>11522</v>
      </c>
      <c r="BA1444" s="6" t="s">
        <v>11523</v>
      </c>
      <c r="BB1444" s="6" t="s">
        <v>11524</v>
      </c>
      <c r="BC1444" s="6" t="s">
        <v>11525</v>
      </c>
      <c r="BE1444" s="15" t="s">
        <v>2145</v>
      </c>
      <c r="BF1444" s="6" t="s">
        <v>11526</v>
      </c>
    </row>
    <row r="1445" customFormat="false" ht="105.5" hidden="false" customHeight="false" outlineLevel="0" collapsed="false">
      <c r="A1445" s="26" t="s">
        <v>63</v>
      </c>
      <c r="B1445" s="27" t="s">
        <v>2129</v>
      </c>
      <c r="C1445" s="27" t="s">
        <v>2130</v>
      </c>
      <c r="D1445" s="27" t="s">
        <v>11527</v>
      </c>
      <c r="E1445" s="27" t="s">
        <v>11528</v>
      </c>
      <c r="F1445" s="27" t="s">
        <v>11529</v>
      </c>
      <c r="G1445" s="28"/>
      <c r="H1445" s="6" t="s">
        <v>63</v>
      </c>
      <c r="I1445" s="6" t="s">
        <v>62</v>
      </c>
      <c r="J1445" s="6" t="s">
        <v>63</v>
      </c>
      <c r="K1445" s="6" t="s">
        <v>63</v>
      </c>
      <c r="L1445" s="6" t="s">
        <v>64</v>
      </c>
      <c r="M1445" s="27" t="s">
        <v>11530</v>
      </c>
      <c r="N1445" s="27" t="s">
        <v>11531</v>
      </c>
      <c r="O1445" s="6" t="s">
        <v>2811</v>
      </c>
      <c r="P1445" s="28"/>
      <c r="Q1445" s="6" t="s">
        <v>67</v>
      </c>
      <c r="R1445" s="6" t="s">
        <v>802</v>
      </c>
      <c r="S1445" s="27" t="s">
        <v>11532</v>
      </c>
      <c r="T1445" s="6" t="s">
        <v>6138</v>
      </c>
      <c r="U1445" s="7" t="n">
        <v>3</v>
      </c>
      <c r="V1445" s="7" t="n">
        <v>3</v>
      </c>
      <c r="W1445" s="8" t="s">
        <v>11533</v>
      </c>
      <c r="X1445" s="8" t="s">
        <v>11533</v>
      </c>
      <c r="Y1445" s="8" t="s">
        <v>8389</v>
      </c>
      <c r="Z1445" s="8" t="s">
        <v>8389</v>
      </c>
      <c r="AA1445" s="7" t="n">
        <v>328</v>
      </c>
      <c r="AB1445" s="7" t="n">
        <v>226</v>
      </c>
      <c r="AC1445" s="7" t="n">
        <v>231</v>
      </c>
      <c r="AD1445" s="7" t="n">
        <v>3</v>
      </c>
      <c r="AE1445" s="7" t="n">
        <v>3</v>
      </c>
      <c r="AF1445" s="7" t="n">
        <v>17</v>
      </c>
      <c r="AG1445" s="7" t="n">
        <v>17</v>
      </c>
      <c r="AH1445" s="7" t="n">
        <v>4</v>
      </c>
      <c r="AI1445" s="7" t="n">
        <v>4</v>
      </c>
      <c r="AJ1445" s="7" t="n">
        <v>6</v>
      </c>
      <c r="AK1445" s="7" t="n">
        <v>6</v>
      </c>
      <c r="AL1445" s="7" t="n">
        <v>11</v>
      </c>
      <c r="AM1445" s="7" t="n">
        <v>11</v>
      </c>
      <c r="AN1445" s="7" t="n">
        <v>2</v>
      </c>
      <c r="AO1445" s="7" t="n">
        <v>2</v>
      </c>
      <c r="AP1445" s="7" t="n">
        <v>0</v>
      </c>
      <c r="AQ1445" s="7" t="n">
        <v>0</v>
      </c>
      <c r="AR1445" s="6" t="s">
        <v>63</v>
      </c>
      <c r="AS1445" s="6" t="s">
        <v>57</v>
      </c>
      <c r="AT1445" s="9" t="str">
        <f aca="false">HYPERLINK("http://catalog.hathitrust.org/Record/001385284","HathiTrust Record")</f>
        <v>HathiTrust Record</v>
      </c>
      <c r="AU1445" s="9" t="str">
        <f aca="false">HYPERLINK("https://creighton-primo.hosted.exlibrisgroup.com/primo-explore/search?tab=default_tab&amp;search_scope=EVERYTHING&amp;vid=01CRU&amp;lang=en_US&amp;offset=0&amp;query=any,contains,991001386759702656","Catalog Record")</f>
        <v>Catalog Record</v>
      </c>
      <c r="AV1445" s="9" t="str">
        <f aca="false">HYPERLINK("http://www.worldcat.org/oclc/227351","WorldCat Record")</f>
        <v>WorldCat Record</v>
      </c>
      <c r="AW1445" s="6" t="s">
        <v>11534</v>
      </c>
      <c r="AX1445" s="6" t="s">
        <v>11535</v>
      </c>
      <c r="AY1445" s="6" t="s">
        <v>11536</v>
      </c>
      <c r="AZ1445" s="6" t="s">
        <v>11536</v>
      </c>
      <c r="BA1445" s="6" t="s">
        <v>11537</v>
      </c>
      <c r="BB1445" s="28"/>
      <c r="BC1445" s="6" t="s">
        <v>11538</v>
      </c>
      <c r="BE1445" s="15" t="s">
        <v>2145</v>
      </c>
      <c r="BF1445" s="6" t="s">
        <v>11539</v>
      </c>
    </row>
    <row r="1446" customFormat="false" ht="71" hidden="false" customHeight="false" outlineLevel="0" collapsed="false">
      <c r="A1446" s="26" t="s">
        <v>63</v>
      </c>
      <c r="B1446" s="27" t="s">
        <v>2129</v>
      </c>
      <c r="C1446" s="27" t="s">
        <v>2130</v>
      </c>
      <c r="D1446" s="27" t="s">
        <v>11540</v>
      </c>
      <c r="E1446" s="27" t="s">
        <v>11541</v>
      </c>
      <c r="F1446" s="27" t="s">
        <v>11542</v>
      </c>
      <c r="G1446" s="28"/>
      <c r="H1446" s="6" t="s">
        <v>63</v>
      </c>
      <c r="I1446" s="6" t="s">
        <v>62</v>
      </c>
      <c r="J1446" s="6" t="s">
        <v>63</v>
      </c>
      <c r="K1446" s="6" t="s">
        <v>63</v>
      </c>
      <c r="L1446" s="6" t="s">
        <v>64</v>
      </c>
      <c r="M1446" s="27" t="s">
        <v>11543</v>
      </c>
      <c r="N1446" s="27" t="s">
        <v>11544</v>
      </c>
      <c r="O1446" s="6" t="s">
        <v>2975</v>
      </c>
      <c r="P1446" s="28"/>
      <c r="Q1446" s="6" t="s">
        <v>67</v>
      </c>
      <c r="R1446" s="6" t="s">
        <v>1059</v>
      </c>
      <c r="S1446" s="27" t="s">
        <v>11545</v>
      </c>
      <c r="T1446" s="6" t="s">
        <v>6138</v>
      </c>
      <c r="U1446" s="7" t="n">
        <v>8</v>
      </c>
      <c r="V1446" s="7" t="n">
        <v>8</v>
      </c>
      <c r="W1446" s="8" t="s">
        <v>11546</v>
      </c>
      <c r="X1446" s="8" t="s">
        <v>11546</v>
      </c>
      <c r="Y1446" s="8" t="s">
        <v>8389</v>
      </c>
      <c r="Z1446" s="8" t="s">
        <v>8389</v>
      </c>
      <c r="AA1446" s="7" t="n">
        <v>750</v>
      </c>
      <c r="AB1446" s="7" t="n">
        <v>610</v>
      </c>
      <c r="AC1446" s="7" t="n">
        <v>616</v>
      </c>
      <c r="AD1446" s="7" t="n">
        <v>6</v>
      </c>
      <c r="AE1446" s="7" t="n">
        <v>6</v>
      </c>
      <c r="AF1446" s="7" t="n">
        <v>34</v>
      </c>
      <c r="AG1446" s="7" t="n">
        <v>34</v>
      </c>
      <c r="AH1446" s="7" t="n">
        <v>16</v>
      </c>
      <c r="AI1446" s="7" t="n">
        <v>16</v>
      </c>
      <c r="AJ1446" s="7" t="n">
        <v>7</v>
      </c>
      <c r="AK1446" s="7" t="n">
        <v>7</v>
      </c>
      <c r="AL1446" s="7" t="n">
        <v>18</v>
      </c>
      <c r="AM1446" s="7" t="n">
        <v>18</v>
      </c>
      <c r="AN1446" s="7" t="n">
        <v>4</v>
      </c>
      <c r="AO1446" s="7" t="n">
        <v>4</v>
      </c>
      <c r="AP1446" s="7" t="n">
        <v>0</v>
      </c>
      <c r="AQ1446" s="7" t="n">
        <v>0</v>
      </c>
      <c r="AR1446" s="6" t="s">
        <v>63</v>
      </c>
      <c r="AS1446" s="6" t="s">
        <v>63</v>
      </c>
      <c r="AT1446" s="28"/>
      <c r="AU1446" s="9" t="str">
        <f aca="false">HYPERLINK("https://creighton-primo.hosted.exlibrisgroup.com/primo-explore/search?tab=default_tab&amp;search_scope=EVERYTHING&amp;vid=01CRU&amp;lang=en_US&amp;offset=0&amp;query=any,contains,991000002399702656","Catalog Record")</f>
        <v>Catalog Record</v>
      </c>
      <c r="AV1446" s="9" t="str">
        <f aca="false">HYPERLINK("http://www.worldcat.org/oclc/11050","WorldCat Record")</f>
        <v>WorldCat Record</v>
      </c>
      <c r="AW1446" s="6" t="s">
        <v>11547</v>
      </c>
      <c r="AX1446" s="6" t="s">
        <v>11548</v>
      </c>
      <c r="AY1446" s="6" t="s">
        <v>11549</v>
      </c>
      <c r="AZ1446" s="6" t="s">
        <v>11549</v>
      </c>
      <c r="BA1446" s="6" t="s">
        <v>11550</v>
      </c>
      <c r="BB1446" s="28"/>
      <c r="BC1446" s="6" t="s">
        <v>11551</v>
      </c>
      <c r="BE1446" s="15" t="s">
        <v>2145</v>
      </c>
      <c r="BF1446" s="6" t="s">
        <v>11552</v>
      </c>
    </row>
    <row r="1447" customFormat="false" ht="94" hidden="false" customHeight="false" outlineLevel="0" collapsed="false">
      <c r="A1447" s="26" t="s">
        <v>63</v>
      </c>
      <c r="B1447" s="27" t="s">
        <v>2129</v>
      </c>
      <c r="C1447" s="27" t="s">
        <v>2130</v>
      </c>
      <c r="D1447" s="27" t="s">
        <v>11553</v>
      </c>
      <c r="E1447" s="27" t="s">
        <v>11554</v>
      </c>
      <c r="F1447" s="27" t="s">
        <v>11555</v>
      </c>
      <c r="G1447" s="28"/>
      <c r="H1447" s="6" t="s">
        <v>63</v>
      </c>
      <c r="I1447" s="6" t="s">
        <v>62</v>
      </c>
      <c r="J1447" s="6" t="s">
        <v>63</v>
      </c>
      <c r="K1447" s="6" t="s">
        <v>63</v>
      </c>
      <c r="L1447" s="6" t="s">
        <v>64</v>
      </c>
      <c r="M1447" s="27" t="s">
        <v>11072</v>
      </c>
      <c r="N1447" s="27" t="s">
        <v>11556</v>
      </c>
      <c r="O1447" s="6" t="s">
        <v>167</v>
      </c>
      <c r="P1447" s="27" t="s">
        <v>255</v>
      </c>
      <c r="Q1447" s="6" t="s">
        <v>67</v>
      </c>
      <c r="R1447" s="6" t="s">
        <v>500</v>
      </c>
      <c r="S1447" s="27" t="s">
        <v>11557</v>
      </c>
      <c r="T1447" s="6" t="s">
        <v>6138</v>
      </c>
      <c r="U1447" s="7" t="n">
        <v>8</v>
      </c>
      <c r="V1447" s="7" t="n">
        <v>8</v>
      </c>
      <c r="W1447" s="8" t="s">
        <v>11558</v>
      </c>
      <c r="X1447" s="8" t="s">
        <v>11558</v>
      </c>
      <c r="Y1447" s="8" t="s">
        <v>8389</v>
      </c>
      <c r="Z1447" s="8" t="s">
        <v>8389</v>
      </c>
      <c r="AA1447" s="7" t="n">
        <v>859</v>
      </c>
      <c r="AB1447" s="7" t="n">
        <v>744</v>
      </c>
      <c r="AC1447" s="7" t="n">
        <v>794</v>
      </c>
      <c r="AD1447" s="7" t="n">
        <v>6</v>
      </c>
      <c r="AE1447" s="7" t="n">
        <v>7</v>
      </c>
      <c r="AF1447" s="7" t="n">
        <v>37</v>
      </c>
      <c r="AG1447" s="7" t="n">
        <v>38</v>
      </c>
      <c r="AH1447" s="7" t="n">
        <v>13</v>
      </c>
      <c r="AI1447" s="7" t="n">
        <v>13</v>
      </c>
      <c r="AJ1447" s="7" t="n">
        <v>9</v>
      </c>
      <c r="AK1447" s="7" t="n">
        <v>9</v>
      </c>
      <c r="AL1447" s="7" t="n">
        <v>21</v>
      </c>
      <c r="AM1447" s="7" t="n">
        <v>21</v>
      </c>
      <c r="AN1447" s="7" t="n">
        <v>5</v>
      </c>
      <c r="AO1447" s="7" t="n">
        <v>6</v>
      </c>
      <c r="AP1447" s="7" t="n">
        <v>0</v>
      </c>
      <c r="AQ1447" s="7" t="n">
        <v>0</v>
      </c>
      <c r="AR1447" s="6" t="s">
        <v>63</v>
      </c>
      <c r="AS1447" s="6" t="s">
        <v>57</v>
      </c>
      <c r="AT1447" s="9" t="str">
        <f aca="false">HYPERLINK("http://catalog.hathitrust.org/Record/001385315","HathiTrust Record")</f>
        <v>HathiTrust Record</v>
      </c>
      <c r="AU1447" s="9" t="str">
        <f aca="false">HYPERLINK("https://creighton-primo.hosted.exlibrisgroup.com/primo-explore/search?tab=default_tab&amp;search_scope=EVERYTHING&amp;vid=01CRU&amp;lang=en_US&amp;offset=0&amp;query=any,contains,991002734949702656","Catalog Record")</f>
        <v>Catalog Record</v>
      </c>
      <c r="AV1447" s="9" t="str">
        <f aca="false">HYPERLINK("http://www.worldcat.org/oclc/418801","WorldCat Record")</f>
        <v>WorldCat Record</v>
      </c>
      <c r="AW1447" s="6" t="s">
        <v>11559</v>
      </c>
      <c r="AX1447" s="6" t="s">
        <v>11560</v>
      </c>
      <c r="AY1447" s="6" t="s">
        <v>11561</v>
      </c>
      <c r="AZ1447" s="6" t="s">
        <v>11561</v>
      </c>
      <c r="BA1447" s="6" t="s">
        <v>11562</v>
      </c>
      <c r="BB1447" s="28"/>
      <c r="BC1447" s="6" t="s">
        <v>11563</v>
      </c>
      <c r="BE1447" s="15" t="s">
        <v>2145</v>
      </c>
      <c r="BF1447" s="6" t="s">
        <v>11564</v>
      </c>
    </row>
    <row r="1448" customFormat="false" ht="163" hidden="false" customHeight="false" outlineLevel="0" collapsed="false">
      <c r="A1448" s="26" t="s">
        <v>63</v>
      </c>
      <c r="B1448" s="27" t="s">
        <v>2129</v>
      </c>
      <c r="C1448" s="27" t="s">
        <v>2130</v>
      </c>
      <c r="D1448" s="27" t="s">
        <v>11565</v>
      </c>
      <c r="E1448" s="27" t="s">
        <v>11566</v>
      </c>
      <c r="F1448" s="27" t="s">
        <v>11567</v>
      </c>
      <c r="G1448" s="28"/>
      <c r="H1448" s="6" t="s">
        <v>63</v>
      </c>
      <c r="I1448" s="6" t="s">
        <v>62</v>
      </c>
      <c r="J1448" s="6" t="s">
        <v>63</v>
      </c>
      <c r="K1448" s="6" t="s">
        <v>63</v>
      </c>
      <c r="L1448" s="6" t="s">
        <v>64</v>
      </c>
      <c r="M1448" s="27" t="s">
        <v>4782</v>
      </c>
      <c r="N1448" s="27" t="s">
        <v>11568</v>
      </c>
      <c r="O1448" s="6" t="s">
        <v>2693</v>
      </c>
      <c r="P1448" s="28"/>
      <c r="Q1448" s="6" t="s">
        <v>67</v>
      </c>
      <c r="R1448" s="6" t="s">
        <v>1059</v>
      </c>
      <c r="S1448" s="28"/>
      <c r="T1448" s="6" t="s">
        <v>6138</v>
      </c>
      <c r="U1448" s="7" t="n">
        <v>4</v>
      </c>
      <c r="V1448" s="7" t="n">
        <v>4</v>
      </c>
      <c r="W1448" s="8" t="s">
        <v>11569</v>
      </c>
      <c r="X1448" s="8" t="s">
        <v>11569</v>
      </c>
      <c r="Y1448" s="8" t="s">
        <v>8389</v>
      </c>
      <c r="Z1448" s="8" t="s">
        <v>8389</v>
      </c>
      <c r="AA1448" s="7" t="n">
        <v>769</v>
      </c>
      <c r="AB1448" s="7" t="n">
        <v>721</v>
      </c>
      <c r="AC1448" s="7" t="n">
        <v>926</v>
      </c>
      <c r="AD1448" s="7" t="n">
        <v>8</v>
      </c>
      <c r="AE1448" s="7" t="n">
        <v>9</v>
      </c>
      <c r="AF1448" s="7" t="n">
        <v>46</v>
      </c>
      <c r="AG1448" s="7" t="n">
        <v>52</v>
      </c>
      <c r="AH1448" s="7" t="n">
        <v>20</v>
      </c>
      <c r="AI1448" s="7" t="n">
        <v>21</v>
      </c>
      <c r="AJ1448" s="7" t="n">
        <v>9</v>
      </c>
      <c r="AK1448" s="7" t="n">
        <v>10</v>
      </c>
      <c r="AL1448" s="7" t="n">
        <v>24</v>
      </c>
      <c r="AM1448" s="7" t="n">
        <v>28</v>
      </c>
      <c r="AN1448" s="7" t="n">
        <v>5</v>
      </c>
      <c r="AO1448" s="7" t="n">
        <v>6</v>
      </c>
      <c r="AP1448" s="7" t="n">
        <v>0</v>
      </c>
      <c r="AQ1448" s="7" t="n">
        <v>0</v>
      </c>
      <c r="AR1448" s="6" t="s">
        <v>63</v>
      </c>
      <c r="AS1448" s="6" t="s">
        <v>63</v>
      </c>
      <c r="AT1448" s="28"/>
      <c r="AU1448" s="9" t="str">
        <f aca="false">HYPERLINK("https://creighton-primo.hosted.exlibrisgroup.com/primo-explore/search?tab=default_tab&amp;search_scope=EVERYTHING&amp;vid=01CRU&amp;lang=en_US&amp;offset=0&amp;query=any,contains,991001069499702656","Catalog Record")</f>
        <v>Catalog Record</v>
      </c>
      <c r="AV1448" s="9" t="str">
        <f aca="false">HYPERLINK("http://www.worldcat.org/oclc/178558","WorldCat Record")</f>
        <v>WorldCat Record</v>
      </c>
      <c r="AW1448" s="6" t="s">
        <v>11570</v>
      </c>
      <c r="AX1448" s="6" t="s">
        <v>11571</v>
      </c>
      <c r="AY1448" s="6" t="s">
        <v>11572</v>
      </c>
      <c r="AZ1448" s="6" t="s">
        <v>11572</v>
      </c>
      <c r="BA1448" s="6" t="s">
        <v>11573</v>
      </c>
      <c r="BB1448" s="28"/>
      <c r="BC1448" s="6" t="s">
        <v>11574</v>
      </c>
      <c r="BE1448" s="15" t="s">
        <v>2145</v>
      </c>
      <c r="BF1448" s="6" t="s">
        <v>11575</v>
      </c>
    </row>
    <row r="1449" customFormat="false" ht="243.5" hidden="false" customHeight="false" outlineLevel="0" collapsed="false">
      <c r="A1449" s="26" t="s">
        <v>63</v>
      </c>
      <c r="B1449" s="27" t="s">
        <v>2129</v>
      </c>
      <c r="C1449" s="27" t="s">
        <v>2130</v>
      </c>
      <c r="D1449" s="27" t="s">
        <v>11576</v>
      </c>
      <c r="E1449" s="27" t="s">
        <v>11577</v>
      </c>
      <c r="F1449" s="27" t="s">
        <v>11578</v>
      </c>
      <c r="G1449" s="28"/>
      <c r="H1449" s="6" t="s">
        <v>63</v>
      </c>
      <c r="I1449" s="6" t="s">
        <v>62</v>
      </c>
      <c r="J1449" s="6" t="s">
        <v>63</v>
      </c>
      <c r="K1449" s="6" t="s">
        <v>63</v>
      </c>
      <c r="L1449" s="6" t="s">
        <v>64</v>
      </c>
      <c r="M1449" s="27" t="s">
        <v>11579</v>
      </c>
      <c r="N1449" s="27" t="s">
        <v>11580</v>
      </c>
      <c r="O1449" s="6" t="s">
        <v>4833</v>
      </c>
      <c r="P1449" s="28"/>
      <c r="Q1449" s="6" t="s">
        <v>67</v>
      </c>
      <c r="R1449" s="6" t="s">
        <v>68</v>
      </c>
      <c r="S1449" s="28"/>
      <c r="T1449" s="6" t="s">
        <v>6138</v>
      </c>
      <c r="U1449" s="7" t="n">
        <v>1</v>
      </c>
      <c r="V1449" s="7" t="n">
        <v>1</v>
      </c>
      <c r="W1449" s="8" t="s">
        <v>10665</v>
      </c>
      <c r="X1449" s="8" t="s">
        <v>10665</v>
      </c>
      <c r="Y1449" s="8" t="s">
        <v>8389</v>
      </c>
      <c r="Z1449" s="8" t="s">
        <v>8389</v>
      </c>
      <c r="AA1449" s="7" t="n">
        <v>428</v>
      </c>
      <c r="AB1449" s="7" t="n">
        <v>372</v>
      </c>
      <c r="AC1449" s="7" t="n">
        <v>426</v>
      </c>
      <c r="AD1449" s="7" t="n">
        <v>1</v>
      </c>
      <c r="AE1449" s="7" t="n">
        <v>1</v>
      </c>
      <c r="AF1449" s="7" t="n">
        <v>21</v>
      </c>
      <c r="AG1449" s="7" t="n">
        <v>23</v>
      </c>
      <c r="AH1449" s="7" t="n">
        <v>8</v>
      </c>
      <c r="AI1449" s="7" t="n">
        <v>9</v>
      </c>
      <c r="AJ1449" s="7" t="n">
        <v>4</v>
      </c>
      <c r="AK1449" s="7" t="n">
        <v>5</v>
      </c>
      <c r="AL1449" s="7" t="n">
        <v>13</v>
      </c>
      <c r="AM1449" s="7" t="n">
        <v>15</v>
      </c>
      <c r="AN1449" s="7" t="n">
        <v>0</v>
      </c>
      <c r="AO1449" s="7" t="n">
        <v>0</v>
      </c>
      <c r="AP1449" s="7" t="n">
        <v>0</v>
      </c>
      <c r="AQ1449" s="7" t="n">
        <v>0</v>
      </c>
      <c r="AR1449" s="6" t="s">
        <v>63</v>
      </c>
      <c r="AS1449" s="6" t="s">
        <v>63</v>
      </c>
      <c r="AT1449" s="9" t="str">
        <f aca="false">HYPERLINK("http://catalog.hathitrust.org/Record/001396199","HathiTrust Record")</f>
        <v>HathiTrust Record</v>
      </c>
      <c r="AU1449" s="9" t="str">
        <f aca="false">HYPERLINK("https://creighton-primo.hosted.exlibrisgroup.com/primo-explore/search?tab=default_tab&amp;search_scope=EVERYTHING&amp;vid=01CRU&amp;lang=en_US&amp;offset=0&amp;query=any,contains,991002563609702656","Catalog Record")</f>
        <v>Catalog Record</v>
      </c>
      <c r="AV1449" s="9" t="str">
        <f aca="false">HYPERLINK("http://www.worldcat.org/oclc/372166","WorldCat Record")</f>
        <v>WorldCat Record</v>
      </c>
      <c r="AW1449" s="6" t="s">
        <v>11581</v>
      </c>
      <c r="AX1449" s="6" t="s">
        <v>11582</v>
      </c>
      <c r="AY1449" s="6" t="s">
        <v>11583</v>
      </c>
      <c r="AZ1449" s="6" t="s">
        <v>11583</v>
      </c>
      <c r="BA1449" s="6" t="s">
        <v>11584</v>
      </c>
      <c r="BB1449" s="28"/>
      <c r="BC1449" s="6" t="s">
        <v>11585</v>
      </c>
      <c r="BE1449" s="15" t="s">
        <v>2145</v>
      </c>
      <c r="BF1449" s="6" t="s">
        <v>11586</v>
      </c>
    </row>
    <row r="1450" customFormat="false" ht="209" hidden="false" customHeight="false" outlineLevel="0" collapsed="false">
      <c r="A1450" s="26" t="s">
        <v>63</v>
      </c>
      <c r="B1450" s="27" t="s">
        <v>2129</v>
      </c>
      <c r="C1450" s="27" t="s">
        <v>2130</v>
      </c>
      <c r="D1450" s="27" t="s">
        <v>11587</v>
      </c>
      <c r="E1450" s="27" t="s">
        <v>11588</v>
      </c>
      <c r="F1450" s="27" t="s">
        <v>11589</v>
      </c>
      <c r="G1450" s="28"/>
      <c r="H1450" s="6" t="s">
        <v>63</v>
      </c>
      <c r="I1450" s="6" t="s">
        <v>62</v>
      </c>
      <c r="J1450" s="6" t="s">
        <v>63</v>
      </c>
      <c r="K1450" s="6" t="s">
        <v>63</v>
      </c>
      <c r="L1450" s="6" t="s">
        <v>64</v>
      </c>
      <c r="M1450" s="27" t="s">
        <v>11590</v>
      </c>
      <c r="N1450" s="27" t="s">
        <v>11591</v>
      </c>
      <c r="O1450" s="6" t="s">
        <v>2665</v>
      </c>
      <c r="P1450" s="28"/>
      <c r="Q1450" s="6" t="s">
        <v>67</v>
      </c>
      <c r="R1450" s="6" t="s">
        <v>802</v>
      </c>
      <c r="S1450" s="27" t="s">
        <v>11592</v>
      </c>
      <c r="T1450" s="6" t="s">
        <v>6138</v>
      </c>
      <c r="U1450" s="7" t="n">
        <v>6</v>
      </c>
      <c r="V1450" s="7" t="n">
        <v>6</v>
      </c>
      <c r="W1450" s="8" t="s">
        <v>11593</v>
      </c>
      <c r="X1450" s="8" t="s">
        <v>11593</v>
      </c>
      <c r="Y1450" s="8" t="s">
        <v>8389</v>
      </c>
      <c r="Z1450" s="8" t="s">
        <v>8389</v>
      </c>
      <c r="AA1450" s="7" t="n">
        <v>328</v>
      </c>
      <c r="AB1450" s="7" t="n">
        <v>240</v>
      </c>
      <c r="AC1450" s="7" t="n">
        <v>254</v>
      </c>
      <c r="AD1450" s="7" t="n">
        <v>1</v>
      </c>
      <c r="AE1450" s="7" t="n">
        <v>1</v>
      </c>
      <c r="AF1450" s="7" t="n">
        <v>18</v>
      </c>
      <c r="AG1450" s="7" t="n">
        <v>19</v>
      </c>
      <c r="AH1450" s="7" t="n">
        <v>5</v>
      </c>
      <c r="AI1450" s="7" t="n">
        <v>6</v>
      </c>
      <c r="AJ1450" s="7" t="n">
        <v>6</v>
      </c>
      <c r="AK1450" s="7" t="n">
        <v>6</v>
      </c>
      <c r="AL1450" s="7" t="n">
        <v>14</v>
      </c>
      <c r="AM1450" s="7" t="n">
        <v>15</v>
      </c>
      <c r="AN1450" s="7" t="n">
        <v>0</v>
      </c>
      <c r="AO1450" s="7" t="n">
        <v>0</v>
      </c>
      <c r="AP1450" s="7" t="n">
        <v>0</v>
      </c>
      <c r="AQ1450" s="7" t="n">
        <v>0</v>
      </c>
      <c r="AR1450" s="6" t="s">
        <v>63</v>
      </c>
      <c r="AS1450" s="6" t="s">
        <v>57</v>
      </c>
      <c r="AT1450" s="9" t="str">
        <f aca="false">HYPERLINK("http://catalog.hathitrust.org/Record/001385327","HathiTrust Record")</f>
        <v>HathiTrust Record</v>
      </c>
      <c r="AU1450" s="9" t="str">
        <f aca="false">HYPERLINK("https://creighton-primo.hosted.exlibrisgroup.com/primo-explore/search?tab=default_tab&amp;search_scope=EVERYTHING&amp;vid=01CRU&amp;lang=en_US&amp;offset=0&amp;query=any,contains,991001066969702656","Catalog Record")</f>
        <v>Catalog Record</v>
      </c>
      <c r="AV1450" s="9" t="str">
        <f aca="false">HYPERLINK("http://www.worldcat.org/oclc/598877","WorldCat Record")</f>
        <v>WorldCat Record</v>
      </c>
      <c r="AW1450" s="6" t="s">
        <v>11594</v>
      </c>
      <c r="AX1450" s="6" t="s">
        <v>11595</v>
      </c>
      <c r="AY1450" s="6" t="s">
        <v>11596</v>
      </c>
      <c r="AZ1450" s="6" t="s">
        <v>11596</v>
      </c>
      <c r="BA1450" s="6" t="s">
        <v>11597</v>
      </c>
      <c r="BB1450" s="28"/>
      <c r="BC1450" s="6" t="s">
        <v>11598</v>
      </c>
      <c r="BE1450" s="15" t="s">
        <v>2145</v>
      </c>
      <c r="BF1450" s="6" t="s">
        <v>11599</v>
      </c>
    </row>
    <row r="1451" customFormat="false" ht="140" hidden="false" customHeight="false" outlineLevel="0" collapsed="false">
      <c r="A1451" s="26" t="s">
        <v>63</v>
      </c>
      <c r="B1451" s="27" t="s">
        <v>2129</v>
      </c>
      <c r="C1451" s="27" t="s">
        <v>2130</v>
      </c>
      <c r="D1451" s="27" t="s">
        <v>11600</v>
      </c>
      <c r="E1451" s="27" t="s">
        <v>11601</v>
      </c>
      <c r="F1451" s="27" t="s">
        <v>11602</v>
      </c>
      <c r="G1451" s="28"/>
      <c r="H1451" s="6" t="s">
        <v>63</v>
      </c>
      <c r="I1451" s="6" t="s">
        <v>62</v>
      </c>
      <c r="J1451" s="6" t="s">
        <v>63</v>
      </c>
      <c r="K1451" s="6" t="s">
        <v>57</v>
      </c>
      <c r="L1451" s="6" t="s">
        <v>64</v>
      </c>
      <c r="M1451" s="28"/>
      <c r="N1451" s="27" t="s">
        <v>11603</v>
      </c>
      <c r="O1451" s="6" t="s">
        <v>152</v>
      </c>
      <c r="P1451" s="27" t="s">
        <v>4594</v>
      </c>
      <c r="Q1451" s="6" t="s">
        <v>67</v>
      </c>
      <c r="R1451" s="6" t="s">
        <v>272</v>
      </c>
      <c r="S1451" s="28"/>
      <c r="T1451" s="6" t="s">
        <v>6138</v>
      </c>
      <c r="U1451" s="7" t="n">
        <v>1</v>
      </c>
      <c r="V1451" s="7" t="n">
        <v>1</v>
      </c>
      <c r="W1451" s="8" t="s">
        <v>2236</v>
      </c>
      <c r="X1451" s="8" t="s">
        <v>2236</v>
      </c>
      <c r="Y1451" s="8" t="s">
        <v>2236</v>
      </c>
      <c r="Z1451" s="8" t="s">
        <v>2236</v>
      </c>
      <c r="AA1451" s="7" t="n">
        <v>37</v>
      </c>
      <c r="AB1451" s="7" t="n">
        <v>10</v>
      </c>
      <c r="AC1451" s="7" t="n">
        <v>568</v>
      </c>
      <c r="AD1451" s="7" t="n">
        <v>1</v>
      </c>
      <c r="AE1451" s="7" t="n">
        <v>4</v>
      </c>
      <c r="AF1451" s="7" t="n">
        <v>0</v>
      </c>
      <c r="AG1451" s="7" t="n">
        <v>34</v>
      </c>
      <c r="AH1451" s="7" t="n">
        <v>0</v>
      </c>
      <c r="AI1451" s="7" t="n">
        <v>11</v>
      </c>
      <c r="AJ1451" s="7" t="n">
        <v>0</v>
      </c>
      <c r="AK1451" s="7" t="n">
        <v>7</v>
      </c>
      <c r="AL1451" s="7" t="n">
        <v>0</v>
      </c>
      <c r="AM1451" s="7" t="n">
        <v>22</v>
      </c>
      <c r="AN1451" s="7" t="n">
        <v>0</v>
      </c>
      <c r="AO1451" s="7" t="n">
        <v>3</v>
      </c>
      <c r="AP1451" s="7" t="n">
        <v>0</v>
      </c>
      <c r="AQ1451" s="7" t="n">
        <v>0</v>
      </c>
      <c r="AR1451" s="6" t="s">
        <v>63</v>
      </c>
      <c r="AS1451" s="6" t="s">
        <v>63</v>
      </c>
      <c r="AT1451" s="28"/>
      <c r="AU1451" s="9" t="str">
        <f aca="false">HYPERLINK("https://creighton-primo.hosted.exlibrisgroup.com/primo-explore/search?tab=default_tab&amp;search_scope=EVERYTHING&amp;vid=01CRU&amp;lang=en_US&amp;offset=0&amp;query=any,contains,991004400579702656","Catalog Record")</f>
        <v>Catalog Record</v>
      </c>
      <c r="AV1451" s="9" t="str">
        <f aca="false">HYPERLINK("http://www.worldcat.org/oclc/39831951","WorldCat Record")</f>
        <v>WorldCat Record</v>
      </c>
      <c r="AW1451" s="6" t="s">
        <v>11604</v>
      </c>
      <c r="AX1451" s="6" t="s">
        <v>11605</v>
      </c>
      <c r="AY1451" s="6" t="s">
        <v>11606</v>
      </c>
      <c r="AZ1451" s="6" t="s">
        <v>11606</v>
      </c>
      <c r="BA1451" s="6" t="s">
        <v>11607</v>
      </c>
      <c r="BB1451" s="6" t="s">
        <v>11608</v>
      </c>
      <c r="BC1451" s="6" t="s">
        <v>11609</v>
      </c>
      <c r="BE1451" s="15" t="s">
        <v>2145</v>
      </c>
      <c r="BF1451" s="6" t="s">
        <v>11610</v>
      </c>
    </row>
    <row r="1452" customFormat="false" ht="174.5" hidden="false" customHeight="false" outlineLevel="0" collapsed="false">
      <c r="A1452" s="26" t="s">
        <v>63</v>
      </c>
      <c r="B1452" s="27" t="s">
        <v>2129</v>
      </c>
      <c r="C1452" s="27" t="s">
        <v>2130</v>
      </c>
      <c r="D1452" s="27" t="s">
        <v>11611</v>
      </c>
      <c r="E1452" s="27" t="s">
        <v>11612</v>
      </c>
      <c r="F1452" s="27" t="s">
        <v>11613</v>
      </c>
      <c r="G1452" s="28"/>
      <c r="H1452" s="6" t="s">
        <v>63</v>
      </c>
      <c r="I1452" s="6" t="s">
        <v>62</v>
      </c>
      <c r="J1452" s="6" t="s">
        <v>63</v>
      </c>
      <c r="K1452" s="6" t="s">
        <v>63</v>
      </c>
      <c r="L1452" s="6" t="s">
        <v>64</v>
      </c>
      <c r="M1452" s="27" t="s">
        <v>11614</v>
      </c>
      <c r="N1452" s="27" t="s">
        <v>11615</v>
      </c>
      <c r="O1452" s="6" t="s">
        <v>3094</v>
      </c>
      <c r="P1452" s="28"/>
      <c r="Q1452" s="6" t="s">
        <v>67</v>
      </c>
      <c r="R1452" s="6" t="s">
        <v>68</v>
      </c>
      <c r="S1452" s="28"/>
      <c r="T1452" s="6" t="s">
        <v>6138</v>
      </c>
      <c r="U1452" s="7" t="n">
        <v>4</v>
      </c>
      <c r="V1452" s="7" t="n">
        <v>4</v>
      </c>
      <c r="W1452" s="8" t="s">
        <v>11616</v>
      </c>
      <c r="X1452" s="8" t="s">
        <v>11616</v>
      </c>
      <c r="Y1452" s="8" t="s">
        <v>9956</v>
      </c>
      <c r="Z1452" s="8" t="s">
        <v>9956</v>
      </c>
      <c r="AA1452" s="7" t="n">
        <v>550</v>
      </c>
      <c r="AB1452" s="7" t="n">
        <v>480</v>
      </c>
      <c r="AC1452" s="7" t="n">
        <v>493</v>
      </c>
      <c r="AD1452" s="7" t="n">
        <v>2</v>
      </c>
      <c r="AE1452" s="7" t="n">
        <v>2</v>
      </c>
      <c r="AF1452" s="7" t="n">
        <v>23</v>
      </c>
      <c r="AG1452" s="7" t="n">
        <v>23</v>
      </c>
      <c r="AH1452" s="7" t="n">
        <v>8</v>
      </c>
      <c r="AI1452" s="7" t="n">
        <v>8</v>
      </c>
      <c r="AJ1452" s="7" t="n">
        <v>6</v>
      </c>
      <c r="AK1452" s="7" t="n">
        <v>6</v>
      </c>
      <c r="AL1452" s="7" t="n">
        <v>14</v>
      </c>
      <c r="AM1452" s="7" t="n">
        <v>14</v>
      </c>
      <c r="AN1452" s="7" t="n">
        <v>1</v>
      </c>
      <c r="AO1452" s="7" t="n">
        <v>1</v>
      </c>
      <c r="AP1452" s="7" t="n">
        <v>0</v>
      </c>
      <c r="AQ1452" s="7" t="n">
        <v>0</v>
      </c>
      <c r="AR1452" s="6" t="s">
        <v>63</v>
      </c>
      <c r="AS1452" s="6" t="s">
        <v>63</v>
      </c>
      <c r="AT1452" s="28"/>
      <c r="AU1452" s="9" t="str">
        <f aca="false">HYPERLINK("https://creighton-primo.hosted.exlibrisgroup.com/primo-explore/search?tab=default_tab&amp;search_scope=EVERYTHING&amp;vid=01CRU&amp;lang=en_US&amp;offset=0&amp;query=any,contains,991001401719702656","Catalog Record")</f>
        <v>Catalog Record</v>
      </c>
      <c r="AV1452" s="9" t="str">
        <f aca="false">HYPERLINK("http://www.worldcat.org/oclc/229508","WorldCat Record")</f>
        <v>WorldCat Record</v>
      </c>
      <c r="AW1452" s="6" t="s">
        <v>11617</v>
      </c>
      <c r="AX1452" s="6" t="s">
        <v>11618</v>
      </c>
      <c r="AY1452" s="6" t="s">
        <v>11619</v>
      </c>
      <c r="AZ1452" s="6" t="s">
        <v>11619</v>
      </c>
      <c r="BA1452" s="6" t="s">
        <v>11620</v>
      </c>
      <c r="BB1452" s="28"/>
      <c r="BC1452" s="6" t="s">
        <v>11621</v>
      </c>
      <c r="BE1452" s="15" t="s">
        <v>2145</v>
      </c>
      <c r="BF1452" s="6" t="s">
        <v>11622</v>
      </c>
    </row>
    <row r="1453" customFormat="false" ht="174.5" hidden="false" customHeight="false" outlineLevel="0" collapsed="false">
      <c r="A1453" s="26" t="s">
        <v>63</v>
      </c>
      <c r="B1453" s="27" t="s">
        <v>2129</v>
      </c>
      <c r="C1453" s="27" t="s">
        <v>2130</v>
      </c>
      <c r="D1453" s="27" t="s">
        <v>11623</v>
      </c>
      <c r="E1453" s="27" t="s">
        <v>11624</v>
      </c>
      <c r="F1453" s="27" t="s">
        <v>11625</v>
      </c>
      <c r="G1453" s="28"/>
      <c r="H1453" s="6" t="s">
        <v>63</v>
      </c>
      <c r="I1453" s="6" t="s">
        <v>62</v>
      </c>
      <c r="J1453" s="6" t="s">
        <v>63</v>
      </c>
      <c r="K1453" s="6" t="s">
        <v>63</v>
      </c>
      <c r="L1453" s="6" t="s">
        <v>64</v>
      </c>
      <c r="M1453" s="27" t="s">
        <v>11626</v>
      </c>
      <c r="N1453" s="27" t="s">
        <v>11627</v>
      </c>
      <c r="O1453" s="6" t="s">
        <v>3029</v>
      </c>
      <c r="P1453" s="28"/>
      <c r="Q1453" s="6" t="s">
        <v>67</v>
      </c>
      <c r="R1453" s="6" t="s">
        <v>68</v>
      </c>
      <c r="S1453" s="28"/>
      <c r="T1453" s="6" t="s">
        <v>6138</v>
      </c>
      <c r="U1453" s="7" t="n">
        <v>2</v>
      </c>
      <c r="V1453" s="7" t="n">
        <v>2</v>
      </c>
      <c r="W1453" s="8" t="s">
        <v>8038</v>
      </c>
      <c r="X1453" s="8" t="s">
        <v>8038</v>
      </c>
      <c r="Y1453" s="8" t="s">
        <v>9956</v>
      </c>
      <c r="Z1453" s="8" t="s">
        <v>9956</v>
      </c>
      <c r="AA1453" s="7" t="n">
        <v>485</v>
      </c>
      <c r="AB1453" s="7" t="n">
        <v>447</v>
      </c>
      <c r="AC1453" s="7" t="n">
        <v>838</v>
      </c>
      <c r="AD1453" s="7" t="n">
        <v>3</v>
      </c>
      <c r="AE1453" s="7" t="n">
        <v>7</v>
      </c>
      <c r="AF1453" s="7" t="n">
        <v>23</v>
      </c>
      <c r="AG1453" s="7" t="n">
        <v>40</v>
      </c>
      <c r="AH1453" s="7" t="n">
        <v>9</v>
      </c>
      <c r="AI1453" s="7" t="n">
        <v>14</v>
      </c>
      <c r="AJ1453" s="7" t="n">
        <v>5</v>
      </c>
      <c r="AK1453" s="7" t="n">
        <v>8</v>
      </c>
      <c r="AL1453" s="7" t="n">
        <v>14</v>
      </c>
      <c r="AM1453" s="7" t="n">
        <v>20</v>
      </c>
      <c r="AN1453" s="7" t="n">
        <v>2</v>
      </c>
      <c r="AO1453" s="7" t="n">
        <v>4</v>
      </c>
      <c r="AP1453" s="7" t="n">
        <v>0</v>
      </c>
      <c r="AQ1453" s="7" t="n">
        <v>5</v>
      </c>
      <c r="AR1453" s="6" t="s">
        <v>63</v>
      </c>
      <c r="AS1453" s="6" t="s">
        <v>57</v>
      </c>
      <c r="AT1453" s="9" t="str">
        <f aca="false">HYPERLINK("http://catalog.hathitrust.org/Record/007123873","HathiTrust Record")</f>
        <v>HathiTrust Record</v>
      </c>
      <c r="AU1453" s="9" t="str">
        <f aca="false">HYPERLINK("https://creighton-primo.hosted.exlibrisgroup.com/primo-explore/search?tab=default_tab&amp;search_scope=EVERYTHING&amp;vid=01CRU&amp;lang=en_US&amp;offset=0&amp;query=any,contains,991003429319702656","Catalog Record")</f>
        <v>Catalog Record</v>
      </c>
      <c r="AV1453" s="9" t="str">
        <f aca="false">HYPERLINK("http://www.worldcat.org/oclc/965213","WorldCat Record")</f>
        <v>WorldCat Record</v>
      </c>
      <c r="AW1453" s="6" t="s">
        <v>11628</v>
      </c>
      <c r="AX1453" s="6" t="s">
        <v>11629</v>
      </c>
      <c r="AY1453" s="6" t="s">
        <v>11630</v>
      </c>
      <c r="AZ1453" s="6" t="s">
        <v>11630</v>
      </c>
      <c r="BA1453" s="6" t="s">
        <v>11631</v>
      </c>
      <c r="BB1453" s="28"/>
      <c r="BC1453" s="6" t="s">
        <v>11632</v>
      </c>
      <c r="BE1453" s="15" t="s">
        <v>2145</v>
      </c>
      <c r="BF1453" s="6" t="s">
        <v>11633</v>
      </c>
    </row>
    <row r="1454" customFormat="false" ht="105.5" hidden="false" customHeight="false" outlineLevel="0" collapsed="false">
      <c r="A1454" s="26" t="s">
        <v>63</v>
      </c>
      <c r="B1454" s="27" t="s">
        <v>2129</v>
      </c>
      <c r="C1454" s="27" t="s">
        <v>2130</v>
      </c>
      <c r="D1454" s="27" t="s">
        <v>11634</v>
      </c>
      <c r="E1454" s="27" t="s">
        <v>11635</v>
      </c>
      <c r="F1454" s="27" t="s">
        <v>11636</v>
      </c>
      <c r="G1454" s="28"/>
      <c r="H1454" s="6" t="s">
        <v>63</v>
      </c>
      <c r="I1454" s="6" t="s">
        <v>62</v>
      </c>
      <c r="J1454" s="6" t="s">
        <v>63</v>
      </c>
      <c r="K1454" s="6" t="s">
        <v>63</v>
      </c>
      <c r="L1454" s="6" t="s">
        <v>64</v>
      </c>
      <c r="M1454" s="28"/>
      <c r="N1454" s="27" t="s">
        <v>11637</v>
      </c>
      <c r="O1454" s="6" t="s">
        <v>2893</v>
      </c>
      <c r="P1454" s="28"/>
      <c r="Q1454" s="6" t="s">
        <v>67</v>
      </c>
      <c r="R1454" s="6" t="s">
        <v>11638</v>
      </c>
      <c r="S1454" s="28"/>
      <c r="T1454" s="6" t="s">
        <v>6138</v>
      </c>
      <c r="U1454" s="7" t="n">
        <v>4</v>
      </c>
      <c r="V1454" s="7" t="n">
        <v>4</v>
      </c>
      <c r="W1454" s="8" t="s">
        <v>11639</v>
      </c>
      <c r="X1454" s="8" t="s">
        <v>11639</v>
      </c>
      <c r="Y1454" s="8" t="s">
        <v>9956</v>
      </c>
      <c r="Z1454" s="8" t="s">
        <v>9956</v>
      </c>
      <c r="AA1454" s="7" t="n">
        <v>356</v>
      </c>
      <c r="AB1454" s="7" t="n">
        <v>287</v>
      </c>
      <c r="AC1454" s="7" t="n">
        <v>288</v>
      </c>
      <c r="AD1454" s="7" t="n">
        <v>4</v>
      </c>
      <c r="AE1454" s="7" t="n">
        <v>4</v>
      </c>
      <c r="AF1454" s="7" t="n">
        <v>18</v>
      </c>
      <c r="AG1454" s="7" t="n">
        <v>18</v>
      </c>
      <c r="AH1454" s="7" t="n">
        <v>4</v>
      </c>
      <c r="AI1454" s="7" t="n">
        <v>4</v>
      </c>
      <c r="AJ1454" s="7" t="n">
        <v>5</v>
      </c>
      <c r="AK1454" s="7" t="n">
        <v>5</v>
      </c>
      <c r="AL1454" s="7" t="n">
        <v>13</v>
      </c>
      <c r="AM1454" s="7" t="n">
        <v>13</v>
      </c>
      <c r="AN1454" s="7" t="n">
        <v>2</v>
      </c>
      <c r="AO1454" s="7" t="n">
        <v>2</v>
      </c>
      <c r="AP1454" s="7" t="n">
        <v>0</v>
      </c>
      <c r="AQ1454" s="7" t="n">
        <v>0</v>
      </c>
      <c r="AR1454" s="6" t="s">
        <v>63</v>
      </c>
      <c r="AS1454" s="6" t="s">
        <v>63</v>
      </c>
      <c r="AT1454" s="28"/>
      <c r="AU1454" s="9" t="str">
        <f aca="false">HYPERLINK("https://creighton-primo.hosted.exlibrisgroup.com/primo-explore/search?tab=default_tab&amp;search_scope=EVERYTHING&amp;vid=01CRU&amp;lang=en_US&amp;offset=0&amp;query=any,contains,991003803849702656","Catalog Record")</f>
        <v>Catalog Record</v>
      </c>
      <c r="AV1454" s="9" t="str">
        <f aca="false">HYPERLINK("http://www.worldcat.org/oclc/1529394","WorldCat Record")</f>
        <v>WorldCat Record</v>
      </c>
      <c r="AW1454" s="6" t="s">
        <v>11640</v>
      </c>
      <c r="AX1454" s="6" t="s">
        <v>11641</v>
      </c>
      <c r="AY1454" s="6" t="s">
        <v>11642</v>
      </c>
      <c r="AZ1454" s="6" t="s">
        <v>11642</v>
      </c>
      <c r="BA1454" s="6" t="s">
        <v>11643</v>
      </c>
      <c r="BB1454" s="6" t="s">
        <v>11644</v>
      </c>
      <c r="BC1454" s="6" t="s">
        <v>11645</v>
      </c>
      <c r="BE1454" s="15" t="s">
        <v>2145</v>
      </c>
      <c r="BF1454" s="6" t="s">
        <v>11646</v>
      </c>
    </row>
    <row r="1455" customFormat="false" ht="71" hidden="false" customHeight="false" outlineLevel="0" collapsed="false">
      <c r="A1455" s="26" t="s">
        <v>63</v>
      </c>
      <c r="B1455" s="27" t="s">
        <v>2129</v>
      </c>
      <c r="C1455" s="27" t="s">
        <v>2130</v>
      </c>
      <c r="D1455" s="27" t="s">
        <v>11647</v>
      </c>
      <c r="E1455" s="27" t="s">
        <v>11648</v>
      </c>
      <c r="F1455" s="27" t="s">
        <v>11649</v>
      </c>
      <c r="G1455" s="28"/>
      <c r="H1455" s="6" t="s">
        <v>63</v>
      </c>
      <c r="I1455" s="6" t="s">
        <v>62</v>
      </c>
      <c r="J1455" s="6" t="s">
        <v>63</v>
      </c>
      <c r="K1455" s="6" t="s">
        <v>63</v>
      </c>
      <c r="L1455" s="6" t="s">
        <v>64</v>
      </c>
      <c r="M1455" s="27" t="s">
        <v>11650</v>
      </c>
      <c r="N1455" s="27" t="s">
        <v>11651</v>
      </c>
      <c r="O1455" s="6" t="s">
        <v>167</v>
      </c>
      <c r="P1455" s="28"/>
      <c r="Q1455" s="6" t="s">
        <v>67</v>
      </c>
      <c r="R1455" s="6" t="s">
        <v>802</v>
      </c>
      <c r="S1455" s="28"/>
      <c r="T1455" s="6" t="s">
        <v>6138</v>
      </c>
      <c r="U1455" s="7" t="n">
        <v>3</v>
      </c>
      <c r="V1455" s="7" t="n">
        <v>3</v>
      </c>
      <c r="W1455" s="8" t="s">
        <v>11652</v>
      </c>
      <c r="X1455" s="8" t="s">
        <v>11652</v>
      </c>
      <c r="Y1455" s="8" t="s">
        <v>9956</v>
      </c>
      <c r="Z1455" s="8" t="s">
        <v>9956</v>
      </c>
      <c r="AA1455" s="7" t="n">
        <v>360</v>
      </c>
      <c r="AB1455" s="7" t="n">
        <v>281</v>
      </c>
      <c r="AC1455" s="7" t="n">
        <v>351</v>
      </c>
      <c r="AD1455" s="7" t="n">
        <v>3</v>
      </c>
      <c r="AE1455" s="7" t="n">
        <v>3</v>
      </c>
      <c r="AF1455" s="7" t="n">
        <v>17</v>
      </c>
      <c r="AG1455" s="7" t="n">
        <v>21</v>
      </c>
      <c r="AH1455" s="7" t="n">
        <v>3</v>
      </c>
      <c r="AI1455" s="7" t="n">
        <v>4</v>
      </c>
      <c r="AJ1455" s="7" t="n">
        <v>4</v>
      </c>
      <c r="AK1455" s="7" t="n">
        <v>7</v>
      </c>
      <c r="AL1455" s="7" t="n">
        <v>12</v>
      </c>
      <c r="AM1455" s="7" t="n">
        <v>15</v>
      </c>
      <c r="AN1455" s="7" t="n">
        <v>2</v>
      </c>
      <c r="AO1455" s="7" t="n">
        <v>2</v>
      </c>
      <c r="AP1455" s="7" t="n">
        <v>0</v>
      </c>
      <c r="AQ1455" s="7" t="n">
        <v>0</v>
      </c>
      <c r="AR1455" s="6" t="s">
        <v>63</v>
      </c>
      <c r="AS1455" s="6" t="s">
        <v>57</v>
      </c>
      <c r="AT1455" s="9" t="str">
        <f aca="false">HYPERLINK("http://catalog.hathitrust.org/Record/001385343","HathiTrust Record")</f>
        <v>HathiTrust Record</v>
      </c>
      <c r="AU1455" s="9" t="str">
        <f aca="false">HYPERLINK("https://creighton-primo.hosted.exlibrisgroup.com/primo-explore/search?tab=default_tab&amp;search_scope=EVERYTHING&amp;vid=01CRU&amp;lang=en_US&amp;offset=0&amp;query=any,contains,991002236149702656","Catalog Record")</f>
        <v>Catalog Record</v>
      </c>
      <c r="AV1455" s="9" t="str">
        <f aca="false">HYPERLINK("http://www.worldcat.org/oclc/295914","WorldCat Record")</f>
        <v>WorldCat Record</v>
      </c>
      <c r="AW1455" s="6" t="s">
        <v>11653</v>
      </c>
      <c r="AX1455" s="6" t="s">
        <v>11654</v>
      </c>
      <c r="AY1455" s="6" t="s">
        <v>11655</v>
      </c>
      <c r="AZ1455" s="6" t="s">
        <v>11655</v>
      </c>
      <c r="BA1455" s="6" t="s">
        <v>11656</v>
      </c>
      <c r="BB1455" s="28"/>
      <c r="BC1455" s="6" t="s">
        <v>11657</v>
      </c>
      <c r="BE1455" s="15" t="s">
        <v>2145</v>
      </c>
      <c r="BF1455" s="6" t="s">
        <v>11658</v>
      </c>
    </row>
    <row r="1456" customFormat="false" ht="105.5" hidden="false" customHeight="false" outlineLevel="0" collapsed="false">
      <c r="A1456" s="26" t="s">
        <v>63</v>
      </c>
      <c r="B1456" s="27" t="s">
        <v>2129</v>
      </c>
      <c r="C1456" s="27" t="s">
        <v>2130</v>
      </c>
      <c r="D1456" s="27" t="s">
        <v>11659</v>
      </c>
      <c r="E1456" s="27" t="s">
        <v>11660</v>
      </c>
      <c r="F1456" s="27" t="s">
        <v>11661</v>
      </c>
      <c r="G1456" s="28"/>
      <c r="H1456" s="6" t="s">
        <v>63</v>
      </c>
      <c r="I1456" s="6" t="s">
        <v>62</v>
      </c>
      <c r="J1456" s="6" t="s">
        <v>63</v>
      </c>
      <c r="K1456" s="6" t="s">
        <v>63</v>
      </c>
      <c r="L1456" s="6" t="s">
        <v>64</v>
      </c>
      <c r="M1456" s="27" t="s">
        <v>11662</v>
      </c>
      <c r="N1456" s="27" t="s">
        <v>11663</v>
      </c>
      <c r="O1456" s="6" t="s">
        <v>2693</v>
      </c>
      <c r="P1456" s="28"/>
      <c r="Q1456" s="6" t="s">
        <v>67</v>
      </c>
      <c r="R1456" s="6" t="s">
        <v>384</v>
      </c>
      <c r="S1456" s="27" t="s">
        <v>3030</v>
      </c>
      <c r="T1456" s="6" t="s">
        <v>6138</v>
      </c>
      <c r="U1456" s="7" t="n">
        <v>2</v>
      </c>
      <c r="V1456" s="7" t="n">
        <v>2</v>
      </c>
      <c r="W1456" s="8" t="s">
        <v>11664</v>
      </c>
      <c r="X1456" s="8" t="s">
        <v>11664</v>
      </c>
      <c r="Y1456" s="8" t="s">
        <v>9956</v>
      </c>
      <c r="Z1456" s="8" t="s">
        <v>9956</v>
      </c>
      <c r="AA1456" s="7" t="n">
        <v>711</v>
      </c>
      <c r="AB1456" s="7" t="n">
        <v>531</v>
      </c>
      <c r="AC1456" s="7" t="n">
        <v>556</v>
      </c>
      <c r="AD1456" s="7" t="n">
        <v>3</v>
      </c>
      <c r="AE1456" s="7" t="n">
        <v>3</v>
      </c>
      <c r="AF1456" s="7" t="n">
        <v>32</v>
      </c>
      <c r="AG1456" s="7" t="n">
        <v>32</v>
      </c>
      <c r="AH1456" s="7" t="n">
        <v>12</v>
      </c>
      <c r="AI1456" s="7" t="n">
        <v>12</v>
      </c>
      <c r="AJ1456" s="7" t="n">
        <v>9</v>
      </c>
      <c r="AK1456" s="7" t="n">
        <v>9</v>
      </c>
      <c r="AL1456" s="7" t="n">
        <v>20</v>
      </c>
      <c r="AM1456" s="7" t="n">
        <v>20</v>
      </c>
      <c r="AN1456" s="7" t="n">
        <v>2</v>
      </c>
      <c r="AO1456" s="7" t="n">
        <v>2</v>
      </c>
      <c r="AP1456" s="7" t="n">
        <v>0</v>
      </c>
      <c r="AQ1456" s="7" t="n">
        <v>0</v>
      </c>
      <c r="AR1456" s="6" t="s">
        <v>63</v>
      </c>
      <c r="AS1456" s="6" t="s">
        <v>57</v>
      </c>
      <c r="AT1456" s="9" t="str">
        <f aca="false">HYPERLINK("http://catalog.hathitrust.org/Record/001385347","HathiTrust Record")</f>
        <v>HathiTrust Record</v>
      </c>
      <c r="AU1456" s="9" t="str">
        <f aca="false">HYPERLINK("https://creighton-primo.hosted.exlibrisgroup.com/primo-explore/search?tab=default_tab&amp;search_scope=EVERYTHING&amp;vid=01CRU&amp;lang=en_US&amp;offset=0&amp;query=any,contains,991002572349702656","Catalog Record")</f>
        <v>Catalog Record</v>
      </c>
      <c r="AV1456" s="9" t="str">
        <f aca="false">HYPERLINK("http://www.worldcat.org/oclc/374045","WorldCat Record")</f>
        <v>WorldCat Record</v>
      </c>
      <c r="AW1456" s="6" t="s">
        <v>11665</v>
      </c>
      <c r="AX1456" s="6" t="s">
        <v>11666</v>
      </c>
      <c r="AY1456" s="6" t="s">
        <v>11667</v>
      </c>
      <c r="AZ1456" s="6" t="s">
        <v>11667</v>
      </c>
      <c r="BA1456" s="6" t="s">
        <v>11668</v>
      </c>
      <c r="BB1456" s="6" t="s">
        <v>11669</v>
      </c>
      <c r="BC1456" s="6" t="s">
        <v>11670</v>
      </c>
      <c r="BE1456" s="15" t="s">
        <v>2145</v>
      </c>
      <c r="BF1456" s="6" t="s">
        <v>11671</v>
      </c>
    </row>
    <row r="1457" customFormat="false" ht="174.5" hidden="false" customHeight="false" outlineLevel="0" collapsed="false">
      <c r="A1457" s="26" t="s">
        <v>63</v>
      </c>
      <c r="B1457" s="27" t="s">
        <v>2129</v>
      </c>
      <c r="C1457" s="27" t="s">
        <v>2130</v>
      </c>
      <c r="D1457" s="27" t="s">
        <v>11672</v>
      </c>
      <c r="E1457" s="27" t="s">
        <v>11673</v>
      </c>
      <c r="F1457" s="27" t="s">
        <v>11674</v>
      </c>
      <c r="G1457" s="28"/>
      <c r="H1457" s="6" t="s">
        <v>63</v>
      </c>
      <c r="I1457" s="6" t="s">
        <v>62</v>
      </c>
      <c r="J1457" s="6" t="s">
        <v>63</v>
      </c>
      <c r="K1457" s="6" t="s">
        <v>63</v>
      </c>
      <c r="L1457" s="6" t="s">
        <v>64</v>
      </c>
      <c r="M1457" s="27" t="s">
        <v>11675</v>
      </c>
      <c r="N1457" s="27" t="s">
        <v>11676</v>
      </c>
      <c r="O1457" s="6" t="s">
        <v>2329</v>
      </c>
      <c r="P1457" s="28"/>
      <c r="Q1457" s="6" t="s">
        <v>67</v>
      </c>
      <c r="R1457" s="6" t="s">
        <v>68</v>
      </c>
      <c r="S1457" s="28"/>
      <c r="T1457" s="6" t="s">
        <v>6138</v>
      </c>
      <c r="U1457" s="7" t="n">
        <v>1</v>
      </c>
      <c r="V1457" s="7" t="n">
        <v>1</v>
      </c>
      <c r="W1457" s="8" t="s">
        <v>3469</v>
      </c>
      <c r="X1457" s="8" t="s">
        <v>3469</v>
      </c>
      <c r="Y1457" s="8" t="s">
        <v>9956</v>
      </c>
      <c r="Z1457" s="8" t="s">
        <v>9956</v>
      </c>
      <c r="AA1457" s="7" t="n">
        <v>360</v>
      </c>
      <c r="AB1457" s="7" t="n">
        <v>323</v>
      </c>
      <c r="AC1457" s="7" t="n">
        <v>485</v>
      </c>
      <c r="AD1457" s="7" t="n">
        <v>3</v>
      </c>
      <c r="AE1457" s="7" t="n">
        <v>4</v>
      </c>
      <c r="AF1457" s="7" t="n">
        <v>19</v>
      </c>
      <c r="AG1457" s="7" t="n">
        <v>27</v>
      </c>
      <c r="AH1457" s="7" t="n">
        <v>8</v>
      </c>
      <c r="AI1457" s="7" t="n">
        <v>9</v>
      </c>
      <c r="AJ1457" s="7" t="n">
        <v>4</v>
      </c>
      <c r="AK1457" s="7" t="n">
        <v>7</v>
      </c>
      <c r="AL1457" s="7" t="n">
        <v>10</v>
      </c>
      <c r="AM1457" s="7" t="n">
        <v>16</v>
      </c>
      <c r="AN1457" s="7" t="n">
        <v>2</v>
      </c>
      <c r="AO1457" s="7" t="n">
        <v>3</v>
      </c>
      <c r="AP1457" s="7" t="n">
        <v>0</v>
      </c>
      <c r="AQ1457" s="7" t="n">
        <v>0</v>
      </c>
      <c r="AR1457" s="6" t="s">
        <v>63</v>
      </c>
      <c r="AS1457" s="6" t="s">
        <v>63</v>
      </c>
      <c r="AT1457" s="9" t="str">
        <f aca="false">HYPERLINK("http://catalog.hathitrust.org/Record/009512172","HathiTrust Record")</f>
        <v>HathiTrust Record</v>
      </c>
      <c r="AU1457" s="9" t="str">
        <f aca="false">HYPERLINK("https://creighton-primo.hosted.exlibrisgroup.com/primo-explore/search?tab=default_tab&amp;search_scope=EVERYTHING&amp;vid=01CRU&amp;lang=en_US&amp;offset=0&amp;query=any,contains,991003347959702656","Catalog Record")</f>
        <v>Catalog Record</v>
      </c>
      <c r="AV1457" s="9" t="str">
        <f aca="false">HYPERLINK("http://www.worldcat.org/oclc/880008","WorldCat Record")</f>
        <v>WorldCat Record</v>
      </c>
      <c r="AW1457" s="6" t="s">
        <v>11677</v>
      </c>
      <c r="AX1457" s="6" t="s">
        <v>11678</v>
      </c>
      <c r="AY1457" s="6" t="s">
        <v>11679</v>
      </c>
      <c r="AZ1457" s="6" t="s">
        <v>11679</v>
      </c>
      <c r="BA1457" s="6" t="s">
        <v>11680</v>
      </c>
      <c r="BB1457" s="28"/>
      <c r="BC1457" s="6" t="s">
        <v>11681</v>
      </c>
      <c r="BE1457" s="15" t="s">
        <v>2145</v>
      </c>
      <c r="BF1457" s="6" t="s">
        <v>11682</v>
      </c>
    </row>
    <row r="1458" customFormat="false" ht="117" hidden="false" customHeight="false" outlineLevel="0" collapsed="false">
      <c r="A1458" s="26" t="s">
        <v>63</v>
      </c>
      <c r="B1458" s="27" t="s">
        <v>2129</v>
      </c>
      <c r="C1458" s="27" t="s">
        <v>2130</v>
      </c>
      <c r="D1458" s="27" t="s">
        <v>11683</v>
      </c>
      <c r="E1458" s="27" t="s">
        <v>11684</v>
      </c>
      <c r="F1458" s="27" t="s">
        <v>11685</v>
      </c>
      <c r="G1458" s="28"/>
      <c r="H1458" s="6" t="s">
        <v>63</v>
      </c>
      <c r="I1458" s="6" t="s">
        <v>62</v>
      </c>
      <c r="J1458" s="6" t="s">
        <v>63</v>
      </c>
      <c r="K1458" s="6" t="s">
        <v>63</v>
      </c>
      <c r="L1458" s="6" t="s">
        <v>64</v>
      </c>
      <c r="M1458" s="27" t="s">
        <v>11686</v>
      </c>
      <c r="N1458" s="27" t="s">
        <v>11687</v>
      </c>
      <c r="O1458" s="6" t="s">
        <v>2426</v>
      </c>
      <c r="P1458" s="28"/>
      <c r="Q1458" s="6" t="s">
        <v>67</v>
      </c>
      <c r="R1458" s="6" t="s">
        <v>401</v>
      </c>
      <c r="S1458" s="28"/>
      <c r="T1458" s="6" t="s">
        <v>6138</v>
      </c>
      <c r="U1458" s="7" t="n">
        <v>1</v>
      </c>
      <c r="V1458" s="7" t="n">
        <v>1</v>
      </c>
      <c r="W1458" s="8" t="s">
        <v>11688</v>
      </c>
      <c r="X1458" s="8" t="s">
        <v>11688</v>
      </c>
      <c r="Y1458" s="8" t="s">
        <v>9956</v>
      </c>
      <c r="Z1458" s="8" t="s">
        <v>9956</v>
      </c>
      <c r="AA1458" s="7" t="n">
        <v>523</v>
      </c>
      <c r="AB1458" s="7" t="n">
        <v>416</v>
      </c>
      <c r="AC1458" s="7" t="n">
        <v>442</v>
      </c>
      <c r="AD1458" s="7" t="n">
        <v>5</v>
      </c>
      <c r="AE1458" s="7" t="n">
        <v>5</v>
      </c>
      <c r="AF1458" s="7" t="n">
        <v>26</v>
      </c>
      <c r="AG1458" s="7" t="n">
        <v>26</v>
      </c>
      <c r="AH1458" s="7" t="n">
        <v>8</v>
      </c>
      <c r="AI1458" s="7" t="n">
        <v>8</v>
      </c>
      <c r="AJ1458" s="7" t="n">
        <v>7</v>
      </c>
      <c r="AK1458" s="7" t="n">
        <v>7</v>
      </c>
      <c r="AL1458" s="7" t="n">
        <v>16</v>
      </c>
      <c r="AM1458" s="7" t="n">
        <v>16</v>
      </c>
      <c r="AN1458" s="7" t="n">
        <v>3</v>
      </c>
      <c r="AO1458" s="7" t="n">
        <v>3</v>
      </c>
      <c r="AP1458" s="7" t="n">
        <v>0</v>
      </c>
      <c r="AQ1458" s="7" t="n">
        <v>0</v>
      </c>
      <c r="AR1458" s="6" t="s">
        <v>63</v>
      </c>
      <c r="AS1458" s="6" t="s">
        <v>63</v>
      </c>
      <c r="AT1458" s="28"/>
      <c r="AU1458" s="9" t="str">
        <f aca="false">HYPERLINK("https://creighton-primo.hosted.exlibrisgroup.com/primo-explore/search?tab=default_tab&amp;search_scope=EVERYTHING&amp;vid=01CRU&amp;lang=en_US&amp;offset=0&amp;query=any,contains,991003523179702656","Catalog Record")</f>
        <v>Catalog Record</v>
      </c>
      <c r="AV1458" s="9" t="str">
        <f aca="false">HYPERLINK("http://www.worldcat.org/oclc/1085598","WorldCat Record")</f>
        <v>WorldCat Record</v>
      </c>
      <c r="AW1458" s="6" t="s">
        <v>11689</v>
      </c>
      <c r="AX1458" s="6" t="s">
        <v>11690</v>
      </c>
      <c r="AY1458" s="6" t="s">
        <v>11691</v>
      </c>
      <c r="AZ1458" s="6" t="s">
        <v>11691</v>
      </c>
      <c r="BA1458" s="6" t="s">
        <v>11692</v>
      </c>
      <c r="BB1458" s="6" t="s">
        <v>11693</v>
      </c>
      <c r="BC1458" s="6" t="s">
        <v>11694</v>
      </c>
      <c r="BE1458" s="15" t="s">
        <v>2145</v>
      </c>
      <c r="BF1458" s="6" t="s">
        <v>11695</v>
      </c>
    </row>
    <row r="1459" customFormat="false" ht="71" hidden="false" customHeight="false" outlineLevel="0" collapsed="false">
      <c r="A1459" s="26" t="s">
        <v>63</v>
      </c>
      <c r="B1459" s="27" t="s">
        <v>2129</v>
      </c>
      <c r="C1459" s="27" t="s">
        <v>2130</v>
      </c>
      <c r="D1459" s="27" t="s">
        <v>11696</v>
      </c>
      <c r="E1459" s="27" t="s">
        <v>11697</v>
      </c>
      <c r="F1459" s="27" t="s">
        <v>11698</v>
      </c>
      <c r="G1459" s="28"/>
      <c r="H1459" s="6" t="s">
        <v>63</v>
      </c>
      <c r="I1459" s="6" t="s">
        <v>62</v>
      </c>
      <c r="J1459" s="6" t="s">
        <v>63</v>
      </c>
      <c r="K1459" s="6" t="s">
        <v>63</v>
      </c>
      <c r="L1459" s="6" t="s">
        <v>64</v>
      </c>
      <c r="M1459" s="27" t="s">
        <v>11699</v>
      </c>
      <c r="N1459" s="27" t="s">
        <v>11700</v>
      </c>
      <c r="O1459" s="6" t="s">
        <v>246</v>
      </c>
      <c r="P1459" s="28"/>
      <c r="Q1459" s="6" t="s">
        <v>67</v>
      </c>
      <c r="R1459" s="6" t="s">
        <v>222</v>
      </c>
      <c r="S1459" s="28"/>
      <c r="T1459" s="6" t="s">
        <v>6138</v>
      </c>
      <c r="U1459" s="7" t="n">
        <v>3</v>
      </c>
      <c r="V1459" s="7" t="n">
        <v>3</v>
      </c>
      <c r="W1459" s="8" t="s">
        <v>11701</v>
      </c>
      <c r="X1459" s="8" t="s">
        <v>11701</v>
      </c>
      <c r="Y1459" s="8" t="s">
        <v>9956</v>
      </c>
      <c r="Z1459" s="8" t="s">
        <v>9956</v>
      </c>
      <c r="AA1459" s="7" t="n">
        <v>562</v>
      </c>
      <c r="AB1459" s="7" t="n">
        <v>437</v>
      </c>
      <c r="AC1459" s="7" t="n">
        <v>531</v>
      </c>
      <c r="AD1459" s="7" t="n">
        <v>4</v>
      </c>
      <c r="AE1459" s="7" t="n">
        <v>4</v>
      </c>
      <c r="AF1459" s="7" t="n">
        <v>27</v>
      </c>
      <c r="AG1459" s="7" t="n">
        <v>34</v>
      </c>
      <c r="AH1459" s="7" t="n">
        <v>10</v>
      </c>
      <c r="AI1459" s="7" t="n">
        <v>15</v>
      </c>
      <c r="AJ1459" s="7" t="n">
        <v>7</v>
      </c>
      <c r="AK1459" s="7" t="n">
        <v>9</v>
      </c>
      <c r="AL1459" s="7" t="n">
        <v>16</v>
      </c>
      <c r="AM1459" s="7" t="n">
        <v>19</v>
      </c>
      <c r="AN1459" s="7" t="n">
        <v>2</v>
      </c>
      <c r="AO1459" s="7" t="n">
        <v>2</v>
      </c>
      <c r="AP1459" s="7" t="n">
        <v>0</v>
      </c>
      <c r="AQ1459" s="7" t="n">
        <v>0</v>
      </c>
      <c r="AR1459" s="6" t="s">
        <v>63</v>
      </c>
      <c r="AS1459" s="6" t="s">
        <v>57</v>
      </c>
      <c r="AT1459" s="9" t="str">
        <f aca="false">HYPERLINK("http://catalog.hathitrust.org/Record/000176645","HathiTrust Record")</f>
        <v>HathiTrust Record</v>
      </c>
      <c r="AU1459" s="9" t="str">
        <f aca="false">HYPERLINK("https://creighton-primo.hosted.exlibrisgroup.com/primo-explore/search?tab=default_tab&amp;search_scope=EVERYTHING&amp;vid=01CRU&amp;lang=en_US&amp;offset=0&amp;query=any,contains,991004565119702656","Catalog Record")</f>
        <v>Catalog Record</v>
      </c>
      <c r="AV1459" s="9" t="str">
        <f aca="false">HYPERLINK("http://www.worldcat.org/oclc/4004305","WorldCat Record")</f>
        <v>WorldCat Record</v>
      </c>
      <c r="AW1459" s="6" t="s">
        <v>11702</v>
      </c>
      <c r="AX1459" s="6" t="s">
        <v>11703</v>
      </c>
      <c r="AY1459" s="6" t="s">
        <v>11704</v>
      </c>
      <c r="AZ1459" s="6" t="s">
        <v>11704</v>
      </c>
      <c r="BA1459" s="6" t="s">
        <v>11705</v>
      </c>
      <c r="BB1459" s="6" t="s">
        <v>11706</v>
      </c>
      <c r="BC1459" s="6" t="s">
        <v>11707</v>
      </c>
      <c r="BE1459" s="15" t="s">
        <v>2145</v>
      </c>
      <c r="BF1459" s="6" t="s">
        <v>11708</v>
      </c>
    </row>
    <row r="1460" customFormat="false" ht="94" hidden="false" customHeight="false" outlineLevel="0" collapsed="false">
      <c r="A1460" s="26" t="s">
        <v>63</v>
      </c>
      <c r="B1460" s="27" t="s">
        <v>2129</v>
      </c>
      <c r="C1460" s="27" t="s">
        <v>2130</v>
      </c>
      <c r="D1460" s="27" t="s">
        <v>11709</v>
      </c>
      <c r="E1460" s="27" t="s">
        <v>11710</v>
      </c>
      <c r="F1460" s="27" t="s">
        <v>11711</v>
      </c>
      <c r="G1460" s="28"/>
      <c r="H1460" s="6" t="s">
        <v>63</v>
      </c>
      <c r="I1460" s="6" t="s">
        <v>62</v>
      </c>
      <c r="J1460" s="6" t="s">
        <v>63</v>
      </c>
      <c r="K1460" s="6" t="s">
        <v>63</v>
      </c>
      <c r="L1460" s="6" t="s">
        <v>64</v>
      </c>
      <c r="M1460" s="27" t="s">
        <v>11712</v>
      </c>
      <c r="N1460" s="27" t="s">
        <v>11713</v>
      </c>
      <c r="O1460" s="6" t="s">
        <v>2797</v>
      </c>
      <c r="P1460" s="28"/>
      <c r="Q1460" s="6" t="s">
        <v>67</v>
      </c>
      <c r="R1460" s="6" t="s">
        <v>68</v>
      </c>
      <c r="S1460" s="28"/>
      <c r="T1460" s="6" t="s">
        <v>6138</v>
      </c>
      <c r="U1460" s="7" t="n">
        <v>5</v>
      </c>
      <c r="V1460" s="7" t="n">
        <v>5</v>
      </c>
      <c r="W1460" s="8" t="s">
        <v>11714</v>
      </c>
      <c r="X1460" s="8" t="s">
        <v>11714</v>
      </c>
      <c r="Y1460" s="8" t="s">
        <v>9956</v>
      </c>
      <c r="Z1460" s="8" t="s">
        <v>9956</v>
      </c>
      <c r="AA1460" s="7" t="n">
        <v>549</v>
      </c>
      <c r="AB1460" s="7" t="n">
        <v>484</v>
      </c>
      <c r="AC1460" s="7" t="n">
        <v>638</v>
      </c>
      <c r="AD1460" s="7" t="n">
        <v>4</v>
      </c>
      <c r="AE1460" s="7" t="n">
        <v>5</v>
      </c>
      <c r="AF1460" s="7" t="n">
        <v>26</v>
      </c>
      <c r="AG1460" s="7" t="n">
        <v>36</v>
      </c>
      <c r="AH1460" s="7" t="n">
        <v>14</v>
      </c>
      <c r="AI1460" s="7" t="n">
        <v>15</v>
      </c>
      <c r="AJ1460" s="7" t="n">
        <v>6</v>
      </c>
      <c r="AK1460" s="7" t="n">
        <v>8</v>
      </c>
      <c r="AL1460" s="7" t="n">
        <v>13</v>
      </c>
      <c r="AM1460" s="7" t="n">
        <v>21</v>
      </c>
      <c r="AN1460" s="7" t="n">
        <v>2</v>
      </c>
      <c r="AO1460" s="7" t="n">
        <v>3</v>
      </c>
      <c r="AP1460" s="7" t="n">
        <v>0</v>
      </c>
      <c r="AQ1460" s="7" t="n">
        <v>0</v>
      </c>
      <c r="AR1460" s="6" t="s">
        <v>63</v>
      </c>
      <c r="AS1460" s="6" t="s">
        <v>57</v>
      </c>
      <c r="AT1460" s="9" t="str">
        <f aca="false">HYPERLINK("http://catalog.hathitrust.org/Record/102071392","HathiTrust Record")</f>
        <v>HathiTrust Record</v>
      </c>
      <c r="AU1460" s="9" t="str">
        <f aca="false">HYPERLINK("https://creighton-primo.hosted.exlibrisgroup.com/primo-explore/search?tab=default_tab&amp;search_scope=EVERYTHING&amp;vid=01CRU&amp;lang=en_US&amp;offset=0&amp;query=any,contains,991002901099702656","Catalog Record")</f>
        <v>Catalog Record</v>
      </c>
      <c r="AV1460" s="9" t="str">
        <f aca="false">HYPERLINK("http://www.worldcat.org/oclc/517319","WorldCat Record")</f>
        <v>WorldCat Record</v>
      </c>
      <c r="AW1460" s="6" t="s">
        <v>11715</v>
      </c>
      <c r="AX1460" s="6" t="s">
        <v>11716</v>
      </c>
      <c r="AY1460" s="6" t="s">
        <v>11717</v>
      </c>
      <c r="AZ1460" s="6" t="s">
        <v>11717</v>
      </c>
      <c r="BA1460" s="6" t="s">
        <v>11718</v>
      </c>
      <c r="BB1460" s="28"/>
      <c r="BC1460" s="6" t="s">
        <v>11719</v>
      </c>
      <c r="BE1460" s="15" t="s">
        <v>2145</v>
      </c>
      <c r="BF1460" s="6" t="s">
        <v>11720</v>
      </c>
    </row>
    <row r="1461" customFormat="false" ht="220.5" hidden="false" customHeight="false" outlineLevel="0" collapsed="false">
      <c r="A1461" s="26" t="s">
        <v>63</v>
      </c>
      <c r="B1461" s="27" t="s">
        <v>2129</v>
      </c>
      <c r="C1461" s="27" t="s">
        <v>2130</v>
      </c>
      <c r="D1461" s="27" t="s">
        <v>11721</v>
      </c>
      <c r="E1461" s="27" t="s">
        <v>11722</v>
      </c>
      <c r="F1461" s="27" t="s">
        <v>11723</v>
      </c>
      <c r="G1461" s="28"/>
      <c r="H1461" s="6" t="s">
        <v>63</v>
      </c>
      <c r="I1461" s="6" t="s">
        <v>62</v>
      </c>
      <c r="J1461" s="6" t="s">
        <v>63</v>
      </c>
      <c r="K1461" s="6" t="s">
        <v>63</v>
      </c>
      <c r="L1461" s="6" t="s">
        <v>64</v>
      </c>
      <c r="M1461" s="27" t="s">
        <v>11724</v>
      </c>
      <c r="N1461" s="27" t="s">
        <v>11725</v>
      </c>
      <c r="O1461" s="6" t="s">
        <v>2623</v>
      </c>
      <c r="P1461" s="28"/>
      <c r="Q1461" s="6" t="s">
        <v>67</v>
      </c>
      <c r="R1461" s="6" t="s">
        <v>1108</v>
      </c>
      <c r="S1461" s="28"/>
      <c r="T1461" s="6" t="s">
        <v>6138</v>
      </c>
      <c r="U1461" s="7" t="n">
        <v>1</v>
      </c>
      <c r="V1461" s="7" t="n">
        <v>1</v>
      </c>
      <c r="W1461" s="8" t="s">
        <v>11726</v>
      </c>
      <c r="X1461" s="8" t="s">
        <v>11726</v>
      </c>
      <c r="Y1461" s="8" t="s">
        <v>9956</v>
      </c>
      <c r="Z1461" s="8" t="s">
        <v>9956</v>
      </c>
      <c r="AA1461" s="7" t="n">
        <v>395</v>
      </c>
      <c r="AB1461" s="7" t="n">
        <v>328</v>
      </c>
      <c r="AC1461" s="7" t="n">
        <v>330</v>
      </c>
      <c r="AD1461" s="7" t="n">
        <v>3</v>
      </c>
      <c r="AE1461" s="7" t="n">
        <v>3</v>
      </c>
      <c r="AF1461" s="7" t="n">
        <v>25</v>
      </c>
      <c r="AG1461" s="7" t="n">
        <v>25</v>
      </c>
      <c r="AH1461" s="7" t="n">
        <v>8</v>
      </c>
      <c r="AI1461" s="7" t="n">
        <v>8</v>
      </c>
      <c r="AJ1461" s="7" t="n">
        <v>8</v>
      </c>
      <c r="AK1461" s="7" t="n">
        <v>8</v>
      </c>
      <c r="AL1461" s="7" t="n">
        <v>16</v>
      </c>
      <c r="AM1461" s="7" t="n">
        <v>16</v>
      </c>
      <c r="AN1461" s="7" t="n">
        <v>2</v>
      </c>
      <c r="AO1461" s="7" t="n">
        <v>2</v>
      </c>
      <c r="AP1461" s="7" t="n">
        <v>0</v>
      </c>
      <c r="AQ1461" s="7" t="n">
        <v>0</v>
      </c>
      <c r="AR1461" s="6" t="s">
        <v>63</v>
      </c>
      <c r="AS1461" s="6" t="s">
        <v>57</v>
      </c>
      <c r="AT1461" s="9" t="str">
        <f aca="false">HYPERLINK("http://catalog.hathitrust.org/Record/000743165","HathiTrust Record")</f>
        <v>HathiTrust Record</v>
      </c>
      <c r="AU1461" s="9" t="str">
        <f aca="false">HYPERLINK("https://creighton-primo.hosted.exlibrisgroup.com/primo-explore/search?tab=default_tab&amp;search_scope=EVERYTHING&amp;vid=01CRU&amp;lang=en_US&amp;offset=0&amp;query=any,contains,991004937009702656","Catalog Record")</f>
        <v>Catalog Record</v>
      </c>
      <c r="AV1461" s="9" t="str">
        <f aca="false">HYPERLINK("http://www.worldcat.org/oclc/6143882","WorldCat Record")</f>
        <v>WorldCat Record</v>
      </c>
      <c r="AW1461" s="6" t="s">
        <v>11727</v>
      </c>
      <c r="AX1461" s="6" t="s">
        <v>11728</v>
      </c>
      <c r="AY1461" s="6" t="s">
        <v>11729</v>
      </c>
      <c r="AZ1461" s="6" t="s">
        <v>11729</v>
      </c>
      <c r="BA1461" s="6" t="s">
        <v>11730</v>
      </c>
      <c r="BB1461" s="6" t="s">
        <v>11731</v>
      </c>
      <c r="BC1461" s="6" t="s">
        <v>11732</v>
      </c>
      <c r="BE1461" s="15" t="s">
        <v>2145</v>
      </c>
      <c r="BF1461" s="6" t="s">
        <v>11733</v>
      </c>
    </row>
    <row r="1462" customFormat="false" ht="174.5" hidden="false" customHeight="false" outlineLevel="0" collapsed="false">
      <c r="A1462" s="26" t="s">
        <v>63</v>
      </c>
      <c r="B1462" s="27" t="s">
        <v>2129</v>
      </c>
      <c r="C1462" s="27" t="s">
        <v>2130</v>
      </c>
      <c r="D1462" s="27" t="s">
        <v>11734</v>
      </c>
      <c r="E1462" s="27" t="s">
        <v>11735</v>
      </c>
      <c r="F1462" s="27" t="s">
        <v>11736</v>
      </c>
      <c r="G1462" s="28"/>
      <c r="H1462" s="6" t="s">
        <v>63</v>
      </c>
      <c r="I1462" s="6" t="s">
        <v>62</v>
      </c>
      <c r="J1462" s="6" t="s">
        <v>63</v>
      </c>
      <c r="K1462" s="6" t="s">
        <v>63</v>
      </c>
      <c r="L1462" s="6" t="s">
        <v>64</v>
      </c>
      <c r="M1462" s="27" t="s">
        <v>11737</v>
      </c>
      <c r="N1462" s="27" t="s">
        <v>11738</v>
      </c>
      <c r="O1462" s="6" t="s">
        <v>3029</v>
      </c>
      <c r="P1462" s="28"/>
      <c r="Q1462" s="6" t="s">
        <v>67</v>
      </c>
      <c r="R1462" s="6" t="s">
        <v>384</v>
      </c>
      <c r="S1462" s="28"/>
      <c r="T1462" s="6" t="s">
        <v>6138</v>
      </c>
      <c r="U1462" s="7" t="n">
        <v>5</v>
      </c>
      <c r="V1462" s="7" t="n">
        <v>5</v>
      </c>
      <c r="W1462" s="8" t="s">
        <v>11558</v>
      </c>
      <c r="X1462" s="8" t="s">
        <v>11558</v>
      </c>
      <c r="Y1462" s="8" t="s">
        <v>9956</v>
      </c>
      <c r="Z1462" s="8" t="s">
        <v>9956</v>
      </c>
      <c r="AA1462" s="7" t="n">
        <v>305</v>
      </c>
      <c r="AB1462" s="7" t="n">
        <v>186</v>
      </c>
      <c r="AC1462" s="7" t="n">
        <v>458</v>
      </c>
      <c r="AD1462" s="7" t="n">
        <v>1</v>
      </c>
      <c r="AE1462" s="7" t="n">
        <v>3</v>
      </c>
      <c r="AF1462" s="7" t="n">
        <v>13</v>
      </c>
      <c r="AG1462" s="7" t="n">
        <v>31</v>
      </c>
      <c r="AH1462" s="7" t="n">
        <v>4</v>
      </c>
      <c r="AI1462" s="7" t="n">
        <v>9</v>
      </c>
      <c r="AJ1462" s="7" t="n">
        <v>5</v>
      </c>
      <c r="AK1462" s="7" t="n">
        <v>8</v>
      </c>
      <c r="AL1462" s="7" t="n">
        <v>9</v>
      </c>
      <c r="AM1462" s="7" t="n">
        <v>19</v>
      </c>
      <c r="AN1462" s="7" t="n">
        <v>0</v>
      </c>
      <c r="AO1462" s="7" t="n">
        <v>2</v>
      </c>
      <c r="AP1462" s="7" t="n">
        <v>1</v>
      </c>
      <c r="AQ1462" s="7" t="n">
        <v>3</v>
      </c>
      <c r="AR1462" s="6" t="s">
        <v>63</v>
      </c>
      <c r="AS1462" s="6" t="s">
        <v>63</v>
      </c>
      <c r="AT1462" s="28"/>
      <c r="AU1462" s="9" t="str">
        <f aca="false">HYPERLINK("https://creighton-primo.hosted.exlibrisgroup.com/primo-explore/search?tab=default_tab&amp;search_scope=EVERYTHING&amp;vid=01CRU&amp;lang=en_US&amp;offset=0&amp;query=any,contains,991000092759702656","Catalog Record")</f>
        <v>Catalog Record</v>
      </c>
      <c r="AV1462" s="9" t="str">
        <f aca="false">HYPERLINK("http://www.worldcat.org/oclc/38577","WorldCat Record")</f>
        <v>WorldCat Record</v>
      </c>
      <c r="AW1462" s="6" t="s">
        <v>11739</v>
      </c>
      <c r="AX1462" s="6" t="s">
        <v>11740</v>
      </c>
      <c r="AY1462" s="6" t="s">
        <v>11741</v>
      </c>
      <c r="AZ1462" s="6" t="s">
        <v>11741</v>
      </c>
      <c r="BA1462" s="6" t="s">
        <v>11742</v>
      </c>
      <c r="BB1462" s="28"/>
      <c r="BC1462" s="6" t="s">
        <v>11743</v>
      </c>
      <c r="BE1462" s="15" t="s">
        <v>2145</v>
      </c>
      <c r="BF1462" s="6" t="s">
        <v>11744</v>
      </c>
    </row>
    <row r="1463" customFormat="false" ht="117" hidden="false" customHeight="false" outlineLevel="0" collapsed="false">
      <c r="A1463" s="26" t="s">
        <v>63</v>
      </c>
      <c r="B1463" s="27" t="s">
        <v>2129</v>
      </c>
      <c r="C1463" s="27" t="s">
        <v>2130</v>
      </c>
      <c r="D1463" s="27" t="s">
        <v>11745</v>
      </c>
      <c r="E1463" s="27" t="s">
        <v>11746</v>
      </c>
      <c r="F1463" s="27" t="s">
        <v>11747</v>
      </c>
      <c r="G1463" s="28"/>
      <c r="H1463" s="6" t="s">
        <v>63</v>
      </c>
      <c r="I1463" s="6" t="s">
        <v>62</v>
      </c>
      <c r="J1463" s="6" t="s">
        <v>63</v>
      </c>
      <c r="K1463" s="6" t="s">
        <v>63</v>
      </c>
      <c r="L1463" s="6" t="s">
        <v>64</v>
      </c>
      <c r="M1463" s="27" t="s">
        <v>11748</v>
      </c>
      <c r="N1463" s="27" t="s">
        <v>10383</v>
      </c>
      <c r="O1463" s="6" t="s">
        <v>3301</v>
      </c>
      <c r="P1463" s="28"/>
      <c r="Q1463" s="6" t="s">
        <v>67</v>
      </c>
      <c r="R1463" s="6" t="s">
        <v>2288</v>
      </c>
      <c r="S1463" s="28"/>
      <c r="T1463" s="6" t="s">
        <v>6138</v>
      </c>
      <c r="U1463" s="7" t="n">
        <v>4</v>
      </c>
      <c r="V1463" s="7" t="n">
        <v>4</v>
      </c>
      <c r="W1463" s="8" t="s">
        <v>11726</v>
      </c>
      <c r="X1463" s="8" t="s">
        <v>11726</v>
      </c>
      <c r="Y1463" s="8" t="s">
        <v>9956</v>
      </c>
      <c r="Z1463" s="8" t="s">
        <v>9956</v>
      </c>
      <c r="AA1463" s="7" t="n">
        <v>152</v>
      </c>
      <c r="AB1463" s="7" t="n">
        <v>121</v>
      </c>
      <c r="AC1463" s="7" t="n">
        <v>127</v>
      </c>
      <c r="AD1463" s="7" t="n">
        <v>2</v>
      </c>
      <c r="AE1463" s="7" t="n">
        <v>2</v>
      </c>
      <c r="AF1463" s="7" t="n">
        <v>11</v>
      </c>
      <c r="AG1463" s="7" t="n">
        <v>11</v>
      </c>
      <c r="AH1463" s="7" t="n">
        <v>2</v>
      </c>
      <c r="AI1463" s="7" t="n">
        <v>2</v>
      </c>
      <c r="AJ1463" s="7" t="n">
        <v>5</v>
      </c>
      <c r="AK1463" s="7" t="n">
        <v>5</v>
      </c>
      <c r="AL1463" s="7" t="n">
        <v>8</v>
      </c>
      <c r="AM1463" s="7" t="n">
        <v>8</v>
      </c>
      <c r="AN1463" s="7" t="n">
        <v>1</v>
      </c>
      <c r="AO1463" s="7" t="n">
        <v>1</v>
      </c>
      <c r="AP1463" s="7" t="n">
        <v>0</v>
      </c>
      <c r="AQ1463" s="7" t="n">
        <v>0</v>
      </c>
      <c r="AR1463" s="6" t="s">
        <v>63</v>
      </c>
      <c r="AS1463" s="6" t="s">
        <v>57</v>
      </c>
      <c r="AT1463" s="9" t="str">
        <f aca="false">HYPERLINK("http://catalog.hathitrust.org/Record/000100802","HathiTrust Record")</f>
        <v>HathiTrust Record</v>
      </c>
      <c r="AU1463" s="9" t="str">
        <f aca="false">HYPERLINK("https://creighton-primo.hosted.exlibrisgroup.com/primo-explore/search?tab=default_tab&amp;search_scope=EVERYTHING&amp;vid=01CRU&amp;lang=en_US&amp;offset=0&amp;query=any,contains,991005185099702656","Catalog Record")</f>
        <v>Catalog Record</v>
      </c>
      <c r="AV1463" s="9" t="str">
        <f aca="false">HYPERLINK("http://www.worldcat.org/oclc/7975302","WorldCat Record")</f>
        <v>WorldCat Record</v>
      </c>
      <c r="AW1463" s="6" t="s">
        <v>11749</v>
      </c>
      <c r="AX1463" s="6" t="s">
        <v>11750</v>
      </c>
      <c r="AY1463" s="6" t="s">
        <v>11751</v>
      </c>
      <c r="AZ1463" s="6" t="s">
        <v>11751</v>
      </c>
      <c r="BA1463" s="6" t="s">
        <v>11752</v>
      </c>
      <c r="BB1463" s="6" t="s">
        <v>11753</v>
      </c>
      <c r="BC1463" s="6" t="s">
        <v>11754</v>
      </c>
      <c r="BE1463" s="15" t="s">
        <v>2145</v>
      </c>
      <c r="BF1463" s="6" t="s">
        <v>11755</v>
      </c>
    </row>
    <row r="1464" customFormat="false" ht="94" hidden="false" customHeight="false" outlineLevel="0" collapsed="false">
      <c r="A1464" s="26" t="s">
        <v>63</v>
      </c>
      <c r="B1464" s="27" t="s">
        <v>2129</v>
      </c>
      <c r="C1464" s="27" t="s">
        <v>2130</v>
      </c>
      <c r="D1464" s="27" t="s">
        <v>11756</v>
      </c>
      <c r="E1464" s="27" t="s">
        <v>11757</v>
      </c>
      <c r="F1464" s="27" t="s">
        <v>11758</v>
      </c>
      <c r="G1464" s="28"/>
      <c r="H1464" s="6" t="s">
        <v>63</v>
      </c>
      <c r="I1464" s="6" t="s">
        <v>62</v>
      </c>
      <c r="J1464" s="6" t="s">
        <v>63</v>
      </c>
      <c r="K1464" s="6" t="s">
        <v>63</v>
      </c>
      <c r="L1464" s="6" t="s">
        <v>64</v>
      </c>
      <c r="M1464" s="27" t="s">
        <v>11759</v>
      </c>
      <c r="N1464" s="27" t="s">
        <v>11760</v>
      </c>
      <c r="O1464" s="6" t="s">
        <v>233</v>
      </c>
      <c r="P1464" s="27" t="s">
        <v>4146</v>
      </c>
      <c r="Q1464" s="6" t="s">
        <v>67</v>
      </c>
      <c r="R1464" s="6" t="s">
        <v>1059</v>
      </c>
      <c r="S1464" s="28"/>
      <c r="T1464" s="6" t="s">
        <v>6138</v>
      </c>
      <c r="U1464" s="7" t="n">
        <v>6</v>
      </c>
      <c r="V1464" s="7" t="n">
        <v>6</v>
      </c>
      <c r="W1464" s="8" t="s">
        <v>11761</v>
      </c>
      <c r="X1464" s="8" t="s">
        <v>11761</v>
      </c>
      <c r="Y1464" s="8" t="s">
        <v>9956</v>
      </c>
      <c r="Z1464" s="8" t="s">
        <v>9956</v>
      </c>
      <c r="AA1464" s="7" t="n">
        <v>400</v>
      </c>
      <c r="AB1464" s="7" t="n">
        <v>335</v>
      </c>
      <c r="AC1464" s="7" t="n">
        <v>653</v>
      </c>
      <c r="AD1464" s="7" t="n">
        <v>3</v>
      </c>
      <c r="AE1464" s="7" t="n">
        <v>4</v>
      </c>
      <c r="AF1464" s="7" t="n">
        <v>19</v>
      </c>
      <c r="AG1464" s="7" t="n">
        <v>40</v>
      </c>
      <c r="AH1464" s="7" t="n">
        <v>9</v>
      </c>
      <c r="AI1464" s="7" t="n">
        <v>15</v>
      </c>
      <c r="AJ1464" s="7" t="n">
        <v>4</v>
      </c>
      <c r="AK1464" s="7" t="n">
        <v>9</v>
      </c>
      <c r="AL1464" s="7" t="n">
        <v>12</v>
      </c>
      <c r="AM1464" s="7" t="n">
        <v>24</v>
      </c>
      <c r="AN1464" s="7" t="n">
        <v>2</v>
      </c>
      <c r="AO1464" s="7" t="n">
        <v>3</v>
      </c>
      <c r="AP1464" s="7" t="n">
        <v>0</v>
      </c>
      <c r="AQ1464" s="7" t="n">
        <v>1</v>
      </c>
      <c r="AR1464" s="6" t="s">
        <v>63</v>
      </c>
      <c r="AS1464" s="6" t="s">
        <v>63</v>
      </c>
      <c r="AT1464" s="9" t="str">
        <f aca="false">HYPERLINK("http://catalog.hathitrust.org/Record/001385392","HathiTrust Record")</f>
        <v>HathiTrust Record</v>
      </c>
      <c r="AU1464" s="9" t="str">
        <f aca="false">HYPERLINK("https://creighton-primo.hosted.exlibrisgroup.com/primo-explore/search?tab=default_tab&amp;search_scope=EVERYTHING&amp;vid=01CRU&amp;lang=en_US&amp;offset=0&amp;query=any,contains,991004847649702656","Catalog Record")</f>
        <v>Catalog Record</v>
      </c>
      <c r="AV1464" s="9" t="str">
        <f aca="false">HYPERLINK("http://www.worldcat.org/oclc/5573390","WorldCat Record")</f>
        <v>WorldCat Record</v>
      </c>
      <c r="AW1464" s="6" t="s">
        <v>11762</v>
      </c>
      <c r="AX1464" s="6" t="s">
        <v>11763</v>
      </c>
      <c r="AY1464" s="6" t="s">
        <v>11764</v>
      </c>
      <c r="AZ1464" s="6" t="s">
        <v>11764</v>
      </c>
      <c r="BA1464" s="6" t="s">
        <v>11765</v>
      </c>
      <c r="BB1464" s="28"/>
      <c r="BC1464" s="6" t="s">
        <v>11766</v>
      </c>
      <c r="BE1464" s="15" t="s">
        <v>2145</v>
      </c>
      <c r="BF1464" s="6" t="s">
        <v>11767</v>
      </c>
    </row>
    <row r="1465" customFormat="false" ht="117" hidden="false" customHeight="false" outlineLevel="0" collapsed="false">
      <c r="A1465" s="26" t="s">
        <v>63</v>
      </c>
      <c r="B1465" s="27" t="s">
        <v>2129</v>
      </c>
      <c r="C1465" s="27" t="s">
        <v>2130</v>
      </c>
      <c r="D1465" s="27" t="s">
        <v>11768</v>
      </c>
      <c r="E1465" s="27" t="s">
        <v>11769</v>
      </c>
      <c r="F1465" s="27" t="s">
        <v>11770</v>
      </c>
      <c r="G1465" s="28"/>
      <c r="H1465" s="6" t="s">
        <v>63</v>
      </c>
      <c r="I1465" s="6" t="s">
        <v>62</v>
      </c>
      <c r="J1465" s="6" t="s">
        <v>63</v>
      </c>
      <c r="K1465" s="6" t="s">
        <v>63</v>
      </c>
      <c r="L1465" s="6" t="s">
        <v>64</v>
      </c>
      <c r="M1465" s="27" t="s">
        <v>11771</v>
      </c>
      <c r="N1465" s="27" t="s">
        <v>11772</v>
      </c>
      <c r="O1465" s="6" t="s">
        <v>246</v>
      </c>
      <c r="P1465" s="28"/>
      <c r="Q1465" s="6" t="s">
        <v>67</v>
      </c>
      <c r="R1465" s="6" t="s">
        <v>2288</v>
      </c>
      <c r="S1465" s="28"/>
      <c r="T1465" s="6" t="s">
        <v>6138</v>
      </c>
      <c r="U1465" s="7" t="n">
        <v>2</v>
      </c>
      <c r="V1465" s="7" t="n">
        <v>2</v>
      </c>
      <c r="W1465" s="8" t="s">
        <v>11773</v>
      </c>
      <c r="X1465" s="8" t="s">
        <v>11773</v>
      </c>
      <c r="Y1465" s="8" t="s">
        <v>9956</v>
      </c>
      <c r="Z1465" s="8" t="s">
        <v>9956</v>
      </c>
      <c r="AA1465" s="7" t="n">
        <v>198</v>
      </c>
      <c r="AB1465" s="7" t="n">
        <v>176</v>
      </c>
      <c r="AC1465" s="7" t="n">
        <v>176</v>
      </c>
      <c r="AD1465" s="7" t="n">
        <v>2</v>
      </c>
      <c r="AE1465" s="7" t="n">
        <v>2</v>
      </c>
      <c r="AF1465" s="7" t="n">
        <v>13</v>
      </c>
      <c r="AG1465" s="7" t="n">
        <v>13</v>
      </c>
      <c r="AH1465" s="7" t="n">
        <v>4</v>
      </c>
      <c r="AI1465" s="7" t="n">
        <v>4</v>
      </c>
      <c r="AJ1465" s="7" t="n">
        <v>3</v>
      </c>
      <c r="AK1465" s="7" t="n">
        <v>3</v>
      </c>
      <c r="AL1465" s="7" t="n">
        <v>9</v>
      </c>
      <c r="AM1465" s="7" t="n">
        <v>9</v>
      </c>
      <c r="AN1465" s="7" t="n">
        <v>1</v>
      </c>
      <c r="AO1465" s="7" t="n">
        <v>1</v>
      </c>
      <c r="AP1465" s="7" t="n">
        <v>0</v>
      </c>
      <c r="AQ1465" s="7" t="n">
        <v>0</v>
      </c>
      <c r="AR1465" s="6" t="s">
        <v>63</v>
      </c>
      <c r="AS1465" s="6" t="s">
        <v>63</v>
      </c>
      <c r="AT1465" s="28"/>
      <c r="AU1465" s="9" t="str">
        <f aca="false">HYPERLINK("https://creighton-primo.hosted.exlibrisgroup.com/primo-explore/search?tab=default_tab&amp;search_scope=EVERYTHING&amp;vid=01CRU&amp;lang=en_US&amp;offset=0&amp;query=any,contains,991004833429702656","Catalog Record")</f>
        <v>Catalog Record</v>
      </c>
      <c r="AV1465" s="9" t="str">
        <f aca="false">HYPERLINK("http://www.worldcat.org/oclc/5422652","WorldCat Record")</f>
        <v>WorldCat Record</v>
      </c>
      <c r="AW1465" s="6" t="s">
        <v>11774</v>
      </c>
      <c r="AX1465" s="6" t="s">
        <v>11775</v>
      </c>
      <c r="AY1465" s="6" t="s">
        <v>11776</v>
      </c>
      <c r="AZ1465" s="6" t="s">
        <v>11776</v>
      </c>
      <c r="BA1465" s="6" t="s">
        <v>11777</v>
      </c>
      <c r="BB1465" s="6" t="s">
        <v>11778</v>
      </c>
      <c r="BC1465" s="6" t="s">
        <v>11779</v>
      </c>
      <c r="BE1465" s="15" t="s">
        <v>2145</v>
      </c>
      <c r="BF1465" s="6" t="s">
        <v>11780</v>
      </c>
    </row>
    <row r="1466" customFormat="false" ht="197.5" hidden="false" customHeight="false" outlineLevel="0" collapsed="false">
      <c r="A1466" s="26" t="s">
        <v>63</v>
      </c>
      <c r="B1466" s="27" t="s">
        <v>2129</v>
      </c>
      <c r="C1466" s="27" t="s">
        <v>2130</v>
      </c>
      <c r="D1466" s="27" t="s">
        <v>11781</v>
      </c>
      <c r="E1466" s="27" t="s">
        <v>11782</v>
      </c>
      <c r="F1466" s="27" t="s">
        <v>11783</v>
      </c>
      <c r="G1466" s="28"/>
      <c r="H1466" s="6" t="s">
        <v>63</v>
      </c>
      <c r="I1466" s="6" t="s">
        <v>62</v>
      </c>
      <c r="J1466" s="6" t="s">
        <v>63</v>
      </c>
      <c r="K1466" s="6" t="s">
        <v>63</v>
      </c>
      <c r="L1466" s="6" t="s">
        <v>64</v>
      </c>
      <c r="M1466" s="27" t="s">
        <v>4743</v>
      </c>
      <c r="N1466" s="27" t="s">
        <v>11784</v>
      </c>
      <c r="O1466" s="6" t="s">
        <v>3301</v>
      </c>
      <c r="P1466" s="28"/>
      <c r="Q1466" s="6" t="s">
        <v>67</v>
      </c>
      <c r="R1466" s="6" t="s">
        <v>802</v>
      </c>
      <c r="S1466" s="27" t="s">
        <v>11785</v>
      </c>
      <c r="T1466" s="6" t="s">
        <v>6138</v>
      </c>
      <c r="U1466" s="7" t="n">
        <v>2</v>
      </c>
      <c r="V1466" s="7" t="n">
        <v>2</v>
      </c>
      <c r="W1466" s="8" t="s">
        <v>11786</v>
      </c>
      <c r="X1466" s="8" t="s">
        <v>11786</v>
      </c>
      <c r="Y1466" s="8" t="s">
        <v>4159</v>
      </c>
      <c r="Z1466" s="8" t="s">
        <v>4159</v>
      </c>
      <c r="AA1466" s="7" t="n">
        <v>285</v>
      </c>
      <c r="AB1466" s="7" t="n">
        <v>196</v>
      </c>
      <c r="AC1466" s="7" t="n">
        <v>200</v>
      </c>
      <c r="AD1466" s="7" t="n">
        <v>3</v>
      </c>
      <c r="AE1466" s="7" t="n">
        <v>3</v>
      </c>
      <c r="AF1466" s="7" t="n">
        <v>15</v>
      </c>
      <c r="AG1466" s="7" t="n">
        <v>15</v>
      </c>
      <c r="AH1466" s="7" t="n">
        <v>2</v>
      </c>
      <c r="AI1466" s="7" t="n">
        <v>2</v>
      </c>
      <c r="AJ1466" s="7" t="n">
        <v>5</v>
      </c>
      <c r="AK1466" s="7" t="n">
        <v>5</v>
      </c>
      <c r="AL1466" s="7" t="n">
        <v>10</v>
      </c>
      <c r="AM1466" s="7" t="n">
        <v>10</v>
      </c>
      <c r="AN1466" s="7" t="n">
        <v>2</v>
      </c>
      <c r="AO1466" s="7" t="n">
        <v>2</v>
      </c>
      <c r="AP1466" s="7" t="n">
        <v>0</v>
      </c>
      <c r="AQ1466" s="7" t="n">
        <v>0</v>
      </c>
      <c r="AR1466" s="6" t="s">
        <v>63</v>
      </c>
      <c r="AS1466" s="6" t="s">
        <v>63</v>
      </c>
      <c r="AT1466" s="28"/>
      <c r="AU1466" s="9" t="str">
        <f aca="false">HYPERLINK("https://creighton-primo.hosted.exlibrisgroup.com/primo-explore/search?tab=default_tab&amp;search_scope=EVERYTHING&amp;vid=01CRU&amp;lang=en_US&amp;offset=0&amp;query=any,contains,991000026049702656","Catalog Record")</f>
        <v>Catalog Record</v>
      </c>
      <c r="AV1466" s="9" t="str">
        <f aca="false">HYPERLINK("http://www.worldcat.org/oclc/8589176","WorldCat Record")</f>
        <v>WorldCat Record</v>
      </c>
      <c r="AW1466" s="6" t="s">
        <v>11787</v>
      </c>
      <c r="AX1466" s="6" t="s">
        <v>11788</v>
      </c>
      <c r="AY1466" s="6" t="s">
        <v>11789</v>
      </c>
      <c r="AZ1466" s="6" t="s">
        <v>11789</v>
      </c>
      <c r="BA1466" s="6" t="s">
        <v>11790</v>
      </c>
      <c r="BB1466" s="6" t="s">
        <v>11791</v>
      </c>
      <c r="BC1466" s="6" t="s">
        <v>11792</v>
      </c>
      <c r="BE1466" s="15" t="s">
        <v>2145</v>
      </c>
      <c r="BF1466" s="6" t="s">
        <v>11793</v>
      </c>
    </row>
    <row r="1467" customFormat="false" ht="140" hidden="false" customHeight="false" outlineLevel="0" collapsed="false">
      <c r="A1467" s="26" t="s">
        <v>63</v>
      </c>
      <c r="B1467" s="27" t="s">
        <v>2129</v>
      </c>
      <c r="C1467" s="27" t="s">
        <v>2130</v>
      </c>
      <c r="D1467" s="27" t="s">
        <v>11794</v>
      </c>
      <c r="E1467" s="27" t="s">
        <v>11795</v>
      </c>
      <c r="F1467" s="27" t="s">
        <v>11796</v>
      </c>
      <c r="G1467" s="28"/>
      <c r="H1467" s="6" t="s">
        <v>63</v>
      </c>
      <c r="I1467" s="6" t="s">
        <v>62</v>
      </c>
      <c r="J1467" s="6" t="s">
        <v>63</v>
      </c>
      <c r="K1467" s="6" t="s">
        <v>63</v>
      </c>
      <c r="L1467" s="6" t="s">
        <v>64</v>
      </c>
      <c r="M1467" s="27" t="s">
        <v>11797</v>
      </c>
      <c r="N1467" s="27" t="s">
        <v>11798</v>
      </c>
      <c r="O1467" s="6" t="s">
        <v>122</v>
      </c>
      <c r="P1467" s="28"/>
      <c r="Q1467" s="6" t="s">
        <v>67</v>
      </c>
      <c r="R1467" s="6" t="s">
        <v>1059</v>
      </c>
      <c r="S1467" s="27" t="s">
        <v>3145</v>
      </c>
      <c r="T1467" s="6" t="s">
        <v>6138</v>
      </c>
      <c r="U1467" s="7" t="n">
        <v>3</v>
      </c>
      <c r="V1467" s="7" t="n">
        <v>3</v>
      </c>
      <c r="W1467" s="8" t="s">
        <v>11799</v>
      </c>
      <c r="X1467" s="8" t="s">
        <v>11799</v>
      </c>
      <c r="Y1467" s="8" t="s">
        <v>4159</v>
      </c>
      <c r="Z1467" s="8" t="s">
        <v>4159</v>
      </c>
      <c r="AA1467" s="7" t="n">
        <v>617</v>
      </c>
      <c r="AB1467" s="7" t="n">
        <v>535</v>
      </c>
      <c r="AC1467" s="7" t="n">
        <v>545</v>
      </c>
      <c r="AD1467" s="7" t="n">
        <v>4</v>
      </c>
      <c r="AE1467" s="7" t="n">
        <v>4</v>
      </c>
      <c r="AF1467" s="7" t="n">
        <v>35</v>
      </c>
      <c r="AG1467" s="7" t="n">
        <v>35</v>
      </c>
      <c r="AH1467" s="7" t="n">
        <v>11</v>
      </c>
      <c r="AI1467" s="7" t="n">
        <v>11</v>
      </c>
      <c r="AJ1467" s="7" t="n">
        <v>9</v>
      </c>
      <c r="AK1467" s="7" t="n">
        <v>9</v>
      </c>
      <c r="AL1467" s="7" t="n">
        <v>24</v>
      </c>
      <c r="AM1467" s="7" t="n">
        <v>24</v>
      </c>
      <c r="AN1467" s="7" t="n">
        <v>3</v>
      </c>
      <c r="AO1467" s="7" t="n">
        <v>3</v>
      </c>
      <c r="AP1467" s="7" t="n">
        <v>0</v>
      </c>
      <c r="AQ1467" s="7" t="n">
        <v>0</v>
      </c>
      <c r="AR1467" s="6" t="s">
        <v>63</v>
      </c>
      <c r="AS1467" s="6" t="s">
        <v>57</v>
      </c>
      <c r="AT1467" s="9" t="str">
        <f aca="false">HYPERLINK("http://catalog.hathitrust.org/Record/001385404","HathiTrust Record")</f>
        <v>HathiTrust Record</v>
      </c>
      <c r="AU1467" s="9" t="str">
        <f aca="false">HYPERLINK("https://creighton-primo.hosted.exlibrisgroup.com/primo-explore/search?tab=default_tab&amp;search_scope=EVERYTHING&amp;vid=01CRU&amp;lang=en_US&amp;offset=0&amp;query=any,contains,991002610539702656","Catalog Record")</f>
        <v>Catalog Record</v>
      </c>
      <c r="AV1467" s="9" t="str">
        <f aca="false">HYPERLINK("http://www.worldcat.org/oclc/377708","WorldCat Record")</f>
        <v>WorldCat Record</v>
      </c>
      <c r="AW1467" s="6" t="s">
        <v>11800</v>
      </c>
      <c r="AX1467" s="6" t="s">
        <v>11801</v>
      </c>
      <c r="AY1467" s="6" t="s">
        <v>11802</v>
      </c>
      <c r="AZ1467" s="6" t="s">
        <v>11802</v>
      </c>
      <c r="BA1467" s="6" t="s">
        <v>11803</v>
      </c>
      <c r="BB1467" s="28"/>
      <c r="BC1467" s="6" t="s">
        <v>11804</v>
      </c>
      <c r="BE1467" s="15" t="s">
        <v>2145</v>
      </c>
      <c r="BF1467" s="6" t="s">
        <v>11805</v>
      </c>
    </row>
    <row r="1468" customFormat="false" ht="117" hidden="false" customHeight="false" outlineLevel="0" collapsed="false">
      <c r="A1468" s="26" t="s">
        <v>57</v>
      </c>
      <c r="B1468" s="27" t="s">
        <v>2129</v>
      </c>
      <c r="C1468" s="27" t="s">
        <v>2130</v>
      </c>
      <c r="D1468" s="27" t="s">
        <v>11806</v>
      </c>
      <c r="E1468" s="27" t="s">
        <v>11807</v>
      </c>
      <c r="F1468" s="27" t="s">
        <v>11808</v>
      </c>
      <c r="G1468" s="28"/>
      <c r="H1468" s="6" t="s">
        <v>63</v>
      </c>
      <c r="I1468" s="6" t="s">
        <v>62</v>
      </c>
      <c r="J1468" s="6" t="s">
        <v>63</v>
      </c>
      <c r="K1468" s="6" t="s">
        <v>63</v>
      </c>
      <c r="L1468" s="6" t="s">
        <v>64</v>
      </c>
      <c r="M1468" s="27" t="s">
        <v>11699</v>
      </c>
      <c r="N1468" s="27" t="s">
        <v>11809</v>
      </c>
      <c r="O1468" s="6" t="s">
        <v>2221</v>
      </c>
      <c r="P1468" s="28"/>
      <c r="Q1468" s="6" t="s">
        <v>67</v>
      </c>
      <c r="R1468" s="6" t="s">
        <v>384</v>
      </c>
      <c r="S1468" s="28"/>
      <c r="T1468" s="6" t="s">
        <v>6138</v>
      </c>
      <c r="U1468" s="7" t="n">
        <v>3</v>
      </c>
      <c r="V1468" s="7" t="n">
        <v>3</v>
      </c>
      <c r="W1468" s="8" t="s">
        <v>11810</v>
      </c>
      <c r="X1468" s="8" t="s">
        <v>11810</v>
      </c>
      <c r="Y1468" s="8" t="s">
        <v>4159</v>
      </c>
      <c r="Z1468" s="8" t="s">
        <v>4159</v>
      </c>
      <c r="AA1468" s="7" t="n">
        <v>577</v>
      </c>
      <c r="AB1468" s="7" t="n">
        <v>404</v>
      </c>
      <c r="AC1468" s="7" t="n">
        <v>414</v>
      </c>
      <c r="AD1468" s="7" t="n">
        <v>2</v>
      </c>
      <c r="AE1468" s="7" t="n">
        <v>2</v>
      </c>
      <c r="AF1468" s="7" t="n">
        <v>25</v>
      </c>
      <c r="AG1468" s="7" t="n">
        <v>25</v>
      </c>
      <c r="AH1468" s="7" t="n">
        <v>10</v>
      </c>
      <c r="AI1468" s="7" t="n">
        <v>10</v>
      </c>
      <c r="AJ1468" s="7" t="n">
        <v>6</v>
      </c>
      <c r="AK1468" s="7" t="n">
        <v>6</v>
      </c>
      <c r="AL1468" s="7" t="n">
        <v>17</v>
      </c>
      <c r="AM1468" s="7" t="n">
        <v>17</v>
      </c>
      <c r="AN1468" s="7" t="n">
        <v>1</v>
      </c>
      <c r="AO1468" s="7" t="n">
        <v>1</v>
      </c>
      <c r="AP1468" s="7" t="n">
        <v>0</v>
      </c>
      <c r="AQ1468" s="7" t="n">
        <v>0</v>
      </c>
      <c r="AR1468" s="6" t="s">
        <v>63</v>
      </c>
      <c r="AS1468" s="6" t="s">
        <v>63</v>
      </c>
      <c r="AT1468" s="28"/>
      <c r="AU1468" s="9" t="str">
        <f aca="false">HYPERLINK("https://creighton-primo.hosted.exlibrisgroup.com/primo-explore/search?tab=default_tab&amp;search_scope=EVERYTHING&amp;vid=01CRU&amp;lang=en_US&amp;offset=0&amp;query=any,contains,991001003529702656","Catalog Record")</f>
        <v>Catalog Record</v>
      </c>
      <c r="AV1468" s="9" t="str">
        <f aca="false">HYPERLINK("http://www.worldcat.org/oclc/15222105","WorldCat Record")</f>
        <v>WorldCat Record</v>
      </c>
      <c r="AW1468" s="6" t="s">
        <v>11811</v>
      </c>
      <c r="AX1468" s="6" t="s">
        <v>11812</v>
      </c>
      <c r="AY1468" s="6" t="s">
        <v>11813</v>
      </c>
      <c r="AZ1468" s="6" t="s">
        <v>11813</v>
      </c>
      <c r="BA1468" s="6" t="s">
        <v>11814</v>
      </c>
      <c r="BB1468" s="6" t="s">
        <v>11815</v>
      </c>
      <c r="BC1468" s="6" t="s">
        <v>11816</v>
      </c>
      <c r="BE1468" s="15" t="s">
        <v>2145</v>
      </c>
      <c r="BF1468" s="6" t="s">
        <v>11817</v>
      </c>
    </row>
    <row r="1469" customFormat="false" ht="128.5" hidden="false" customHeight="false" outlineLevel="0" collapsed="false">
      <c r="A1469" s="26" t="s">
        <v>63</v>
      </c>
      <c r="B1469" s="27" t="s">
        <v>2129</v>
      </c>
      <c r="C1469" s="27" t="s">
        <v>2130</v>
      </c>
      <c r="D1469" s="27" t="s">
        <v>11818</v>
      </c>
      <c r="E1469" s="27" t="s">
        <v>11819</v>
      </c>
      <c r="F1469" s="27" t="s">
        <v>11820</v>
      </c>
      <c r="G1469" s="28"/>
      <c r="H1469" s="6" t="s">
        <v>63</v>
      </c>
      <c r="I1469" s="6" t="s">
        <v>62</v>
      </c>
      <c r="J1469" s="6" t="s">
        <v>63</v>
      </c>
      <c r="K1469" s="6" t="s">
        <v>63</v>
      </c>
      <c r="L1469" s="6" t="s">
        <v>64</v>
      </c>
      <c r="M1469" s="27" t="s">
        <v>11821</v>
      </c>
      <c r="N1469" s="27" t="s">
        <v>11822</v>
      </c>
      <c r="O1469" s="6" t="s">
        <v>2426</v>
      </c>
      <c r="P1469" s="28"/>
      <c r="Q1469" s="6" t="s">
        <v>67</v>
      </c>
      <c r="R1469" s="6" t="s">
        <v>1108</v>
      </c>
      <c r="S1469" s="28"/>
      <c r="T1469" s="6" t="s">
        <v>6138</v>
      </c>
      <c r="U1469" s="7" t="n">
        <v>3</v>
      </c>
      <c r="V1469" s="7" t="n">
        <v>3</v>
      </c>
      <c r="W1469" s="8" t="s">
        <v>11823</v>
      </c>
      <c r="X1469" s="8" t="s">
        <v>11823</v>
      </c>
      <c r="Y1469" s="8" t="s">
        <v>4159</v>
      </c>
      <c r="Z1469" s="8" t="s">
        <v>4159</v>
      </c>
      <c r="AA1469" s="7" t="n">
        <v>410</v>
      </c>
      <c r="AB1469" s="7" t="n">
        <v>336</v>
      </c>
      <c r="AC1469" s="7" t="n">
        <v>337</v>
      </c>
      <c r="AD1469" s="7" t="n">
        <v>5</v>
      </c>
      <c r="AE1469" s="7" t="n">
        <v>5</v>
      </c>
      <c r="AF1469" s="7" t="n">
        <v>16</v>
      </c>
      <c r="AG1469" s="7" t="n">
        <v>16</v>
      </c>
      <c r="AH1469" s="7" t="n">
        <v>5</v>
      </c>
      <c r="AI1469" s="7" t="n">
        <v>5</v>
      </c>
      <c r="AJ1469" s="7" t="n">
        <v>2</v>
      </c>
      <c r="AK1469" s="7" t="n">
        <v>2</v>
      </c>
      <c r="AL1469" s="7" t="n">
        <v>10</v>
      </c>
      <c r="AM1469" s="7" t="n">
        <v>10</v>
      </c>
      <c r="AN1469" s="7" t="n">
        <v>2</v>
      </c>
      <c r="AO1469" s="7" t="n">
        <v>2</v>
      </c>
      <c r="AP1469" s="7" t="n">
        <v>0</v>
      </c>
      <c r="AQ1469" s="7" t="n">
        <v>0</v>
      </c>
      <c r="AR1469" s="6" t="s">
        <v>63</v>
      </c>
      <c r="AS1469" s="6" t="s">
        <v>63</v>
      </c>
      <c r="AT1469" s="28"/>
      <c r="AU1469" s="9" t="str">
        <f aca="false">HYPERLINK("https://creighton-primo.hosted.exlibrisgroup.com/primo-explore/search?tab=default_tab&amp;search_scope=EVERYTHING&amp;vid=01CRU&amp;lang=en_US&amp;offset=0&amp;query=any,contains,991003365129702656","Catalog Record")</f>
        <v>Catalog Record</v>
      </c>
      <c r="AV1469" s="9" t="str">
        <f aca="false">HYPERLINK("http://www.worldcat.org/oclc/901138","WorldCat Record")</f>
        <v>WorldCat Record</v>
      </c>
      <c r="AW1469" s="6" t="s">
        <v>11824</v>
      </c>
      <c r="AX1469" s="6" t="s">
        <v>11825</v>
      </c>
      <c r="AY1469" s="6" t="s">
        <v>11826</v>
      </c>
      <c r="AZ1469" s="6" t="s">
        <v>11826</v>
      </c>
      <c r="BA1469" s="6" t="s">
        <v>11827</v>
      </c>
      <c r="BB1469" s="28"/>
      <c r="BC1469" s="6" t="s">
        <v>11828</v>
      </c>
      <c r="BE1469" s="15" t="s">
        <v>2145</v>
      </c>
      <c r="BF1469" s="6" t="s">
        <v>11829</v>
      </c>
    </row>
    <row r="1470" customFormat="false" ht="174.5" hidden="false" customHeight="false" outlineLevel="0" collapsed="false">
      <c r="A1470" s="26" t="s">
        <v>63</v>
      </c>
      <c r="B1470" s="27" t="s">
        <v>2129</v>
      </c>
      <c r="C1470" s="27" t="s">
        <v>2130</v>
      </c>
      <c r="D1470" s="27" t="s">
        <v>11830</v>
      </c>
      <c r="E1470" s="27" t="s">
        <v>11831</v>
      </c>
      <c r="F1470" s="27" t="s">
        <v>11832</v>
      </c>
      <c r="G1470" s="28"/>
      <c r="H1470" s="6" t="s">
        <v>63</v>
      </c>
      <c r="I1470" s="6" t="s">
        <v>62</v>
      </c>
      <c r="J1470" s="6" t="s">
        <v>63</v>
      </c>
      <c r="K1470" s="6" t="s">
        <v>63</v>
      </c>
      <c r="L1470" s="6" t="s">
        <v>64</v>
      </c>
      <c r="M1470" s="27" t="s">
        <v>11590</v>
      </c>
      <c r="N1470" s="27" t="s">
        <v>11833</v>
      </c>
      <c r="O1470" s="6" t="s">
        <v>2426</v>
      </c>
      <c r="P1470" s="28"/>
      <c r="Q1470" s="6" t="s">
        <v>67</v>
      </c>
      <c r="R1470" s="6" t="s">
        <v>802</v>
      </c>
      <c r="S1470" s="28"/>
      <c r="T1470" s="6" t="s">
        <v>6138</v>
      </c>
      <c r="U1470" s="7" t="n">
        <v>3</v>
      </c>
      <c r="V1470" s="7" t="n">
        <v>3</v>
      </c>
      <c r="W1470" s="8" t="s">
        <v>11834</v>
      </c>
      <c r="X1470" s="8" t="s">
        <v>11834</v>
      </c>
      <c r="Y1470" s="8" t="s">
        <v>4159</v>
      </c>
      <c r="Z1470" s="8" t="s">
        <v>4159</v>
      </c>
      <c r="AA1470" s="7" t="n">
        <v>338</v>
      </c>
      <c r="AB1470" s="7" t="n">
        <v>250</v>
      </c>
      <c r="AC1470" s="7" t="n">
        <v>260</v>
      </c>
      <c r="AD1470" s="7" t="n">
        <v>3</v>
      </c>
      <c r="AE1470" s="7" t="n">
        <v>3</v>
      </c>
      <c r="AF1470" s="7" t="n">
        <v>19</v>
      </c>
      <c r="AG1470" s="7" t="n">
        <v>19</v>
      </c>
      <c r="AH1470" s="7" t="n">
        <v>5</v>
      </c>
      <c r="AI1470" s="7" t="n">
        <v>5</v>
      </c>
      <c r="AJ1470" s="7" t="n">
        <v>6</v>
      </c>
      <c r="AK1470" s="7" t="n">
        <v>6</v>
      </c>
      <c r="AL1470" s="7" t="n">
        <v>14</v>
      </c>
      <c r="AM1470" s="7" t="n">
        <v>14</v>
      </c>
      <c r="AN1470" s="7" t="n">
        <v>2</v>
      </c>
      <c r="AO1470" s="7" t="n">
        <v>2</v>
      </c>
      <c r="AP1470" s="7" t="n">
        <v>0</v>
      </c>
      <c r="AQ1470" s="7" t="n">
        <v>0</v>
      </c>
      <c r="AR1470" s="6" t="s">
        <v>63</v>
      </c>
      <c r="AS1470" s="6" t="s">
        <v>57</v>
      </c>
      <c r="AT1470" s="9" t="str">
        <f aca="false">HYPERLINK("http://catalog.hathitrust.org/Record/004463012","HathiTrust Record")</f>
        <v>HathiTrust Record</v>
      </c>
      <c r="AU1470" s="9" t="str">
        <f aca="false">HYPERLINK("https://creighton-primo.hosted.exlibrisgroup.com/primo-explore/search?tab=default_tab&amp;search_scope=EVERYTHING&amp;vid=01CRU&amp;lang=en_US&amp;offset=0&amp;query=any,contains,991003628719702656","Catalog Record")</f>
        <v>Catalog Record</v>
      </c>
      <c r="AV1470" s="9" t="str">
        <f aca="false">HYPERLINK("http://www.worldcat.org/oclc/1218699","WorldCat Record")</f>
        <v>WorldCat Record</v>
      </c>
      <c r="AW1470" s="6" t="s">
        <v>11835</v>
      </c>
      <c r="AX1470" s="6" t="s">
        <v>11836</v>
      </c>
      <c r="AY1470" s="6" t="s">
        <v>11837</v>
      </c>
      <c r="AZ1470" s="6" t="s">
        <v>11837</v>
      </c>
      <c r="BA1470" s="6" t="s">
        <v>11838</v>
      </c>
      <c r="BB1470" s="6" t="s">
        <v>11839</v>
      </c>
      <c r="BC1470" s="6" t="s">
        <v>11840</v>
      </c>
      <c r="BE1470" s="15" t="s">
        <v>2145</v>
      </c>
      <c r="BF1470" s="6" t="s">
        <v>11841</v>
      </c>
    </row>
    <row r="1471" customFormat="false" ht="163" hidden="false" customHeight="false" outlineLevel="0" collapsed="false">
      <c r="A1471" s="26" t="s">
        <v>63</v>
      </c>
      <c r="B1471" s="27" t="s">
        <v>2129</v>
      </c>
      <c r="C1471" s="27" t="s">
        <v>2130</v>
      </c>
      <c r="D1471" s="27" t="s">
        <v>11842</v>
      </c>
      <c r="E1471" s="27" t="s">
        <v>11843</v>
      </c>
      <c r="F1471" s="27" t="s">
        <v>11844</v>
      </c>
      <c r="G1471" s="28"/>
      <c r="H1471" s="6" t="s">
        <v>63</v>
      </c>
      <c r="I1471" s="6" t="s">
        <v>62</v>
      </c>
      <c r="J1471" s="6" t="s">
        <v>63</v>
      </c>
      <c r="K1471" s="6" t="s">
        <v>63</v>
      </c>
      <c r="L1471" s="6" t="s">
        <v>64</v>
      </c>
      <c r="M1471" s="27" t="s">
        <v>4565</v>
      </c>
      <c r="N1471" s="27" t="s">
        <v>11845</v>
      </c>
      <c r="O1471" s="6" t="s">
        <v>254</v>
      </c>
      <c r="P1471" s="28"/>
      <c r="Q1471" s="6" t="s">
        <v>67</v>
      </c>
      <c r="R1471" s="6" t="s">
        <v>384</v>
      </c>
      <c r="S1471" s="28"/>
      <c r="T1471" s="6" t="s">
        <v>6138</v>
      </c>
      <c r="U1471" s="7" t="n">
        <v>3</v>
      </c>
      <c r="V1471" s="7" t="n">
        <v>3</v>
      </c>
      <c r="W1471" s="8" t="s">
        <v>11846</v>
      </c>
      <c r="X1471" s="8" t="s">
        <v>11846</v>
      </c>
      <c r="Y1471" s="8" t="s">
        <v>4159</v>
      </c>
      <c r="Z1471" s="8" t="s">
        <v>4159</v>
      </c>
      <c r="AA1471" s="7" t="n">
        <v>385</v>
      </c>
      <c r="AB1471" s="7" t="n">
        <v>260</v>
      </c>
      <c r="AC1471" s="7" t="n">
        <v>265</v>
      </c>
      <c r="AD1471" s="7" t="n">
        <v>3</v>
      </c>
      <c r="AE1471" s="7" t="n">
        <v>3</v>
      </c>
      <c r="AF1471" s="7" t="n">
        <v>19</v>
      </c>
      <c r="AG1471" s="7" t="n">
        <v>19</v>
      </c>
      <c r="AH1471" s="7" t="n">
        <v>5</v>
      </c>
      <c r="AI1471" s="7" t="n">
        <v>5</v>
      </c>
      <c r="AJ1471" s="7" t="n">
        <v>5</v>
      </c>
      <c r="AK1471" s="7" t="n">
        <v>5</v>
      </c>
      <c r="AL1471" s="7" t="n">
        <v>14</v>
      </c>
      <c r="AM1471" s="7" t="n">
        <v>14</v>
      </c>
      <c r="AN1471" s="7" t="n">
        <v>2</v>
      </c>
      <c r="AO1471" s="7" t="n">
        <v>2</v>
      </c>
      <c r="AP1471" s="7" t="n">
        <v>0</v>
      </c>
      <c r="AQ1471" s="7" t="n">
        <v>0</v>
      </c>
      <c r="AR1471" s="6" t="s">
        <v>63</v>
      </c>
      <c r="AS1471" s="6" t="s">
        <v>63</v>
      </c>
      <c r="AT1471" s="28"/>
      <c r="AU1471" s="9" t="str">
        <f aca="false">HYPERLINK("https://creighton-primo.hosted.exlibrisgroup.com/primo-explore/search?tab=default_tab&amp;search_scope=EVERYTHING&amp;vid=01CRU&amp;lang=en_US&amp;offset=0&amp;query=any,contains,991003336889702656","Catalog Record")</f>
        <v>Catalog Record</v>
      </c>
      <c r="AV1471" s="9" t="str">
        <f aca="false">HYPERLINK("http://www.worldcat.org/oclc/867525","WorldCat Record")</f>
        <v>WorldCat Record</v>
      </c>
      <c r="AW1471" s="6" t="s">
        <v>11847</v>
      </c>
      <c r="AX1471" s="6" t="s">
        <v>11848</v>
      </c>
      <c r="AY1471" s="6" t="s">
        <v>11849</v>
      </c>
      <c r="AZ1471" s="6" t="s">
        <v>11849</v>
      </c>
      <c r="BA1471" s="6" t="s">
        <v>11850</v>
      </c>
      <c r="BB1471" s="6" t="s">
        <v>11851</v>
      </c>
      <c r="BC1471" s="6" t="s">
        <v>11852</v>
      </c>
      <c r="BE1471" s="15" t="s">
        <v>2145</v>
      </c>
      <c r="BF1471" s="6" t="s">
        <v>11853</v>
      </c>
    </row>
    <row r="1472" customFormat="false" ht="105.5" hidden="false" customHeight="false" outlineLevel="0" collapsed="false">
      <c r="A1472" s="26" t="s">
        <v>63</v>
      </c>
      <c r="B1472" s="27" t="s">
        <v>2129</v>
      </c>
      <c r="C1472" s="27" t="s">
        <v>2130</v>
      </c>
      <c r="D1472" s="27" t="s">
        <v>11854</v>
      </c>
      <c r="E1472" s="27" t="s">
        <v>11855</v>
      </c>
      <c r="F1472" s="27" t="s">
        <v>11856</v>
      </c>
      <c r="G1472" s="28"/>
      <c r="H1472" s="6" t="s">
        <v>63</v>
      </c>
      <c r="I1472" s="6" t="s">
        <v>62</v>
      </c>
      <c r="J1472" s="6" t="s">
        <v>63</v>
      </c>
      <c r="K1472" s="6" t="s">
        <v>63</v>
      </c>
      <c r="L1472" s="6" t="s">
        <v>64</v>
      </c>
      <c r="M1472" s="27" t="s">
        <v>11857</v>
      </c>
      <c r="N1472" s="27" t="s">
        <v>11858</v>
      </c>
      <c r="O1472" s="6" t="s">
        <v>2665</v>
      </c>
      <c r="P1472" s="28"/>
      <c r="Q1472" s="6" t="s">
        <v>67</v>
      </c>
      <c r="R1472" s="6" t="s">
        <v>802</v>
      </c>
      <c r="S1472" s="28"/>
      <c r="T1472" s="6" t="s">
        <v>6138</v>
      </c>
      <c r="U1472" s="7" t="n">
        <v>5</v>
      </c>
      <c r="V1472" s="7" t="n">
        <v>5</v>
      </c>
      <c r="W1472" s="8" t="s">
        <v>11859</v>
      </c>
      <c r="X1472" s="8" t="s">
        <v>11859</v>
      </c>
      <c r="Y1472" s="8" t="s">
        <v>4159</v>
      </c>
      <c r="Z1472" s="8" t="s">
        <v>4159</v>
      </c>
      <c r="AA1472" s="7" t="n">
        <v>266</v>
      </c>
      <c r="AB1472" s="7" t="n">
        <v>221</v>
      </c>
      <c r="AC1472" s="7" t="n">
        <v>313</v>
      </c>
      <c r="AD1472" s="7" t="n">
        <v>1</v>
      </c>
      <c r="AE1472" s="7" t="n">
        <v>3</v>
      </c>
      <c r="AF1472" s="7" t="n">
        <v>15</v>
      </c>
      <c r="AG1472" s="7" t="n">
        <v>27</v>
      </c>
      <c r="AH1472" s="7" t="n">
        <v>4</v>
      </c>
      <c r="AI1472" s="7" t="n">
        <v>6</v>
      </c>
      <c r="AJ1472" s="7" t="n">
        <v>4</v>
      </c>
      <c r="AK1472" s="7" t="n">
        <v>8</v>
      </c>
      <c r="AL1472" s="7" t="n">
        <v>12</v>
      </c>
      <c r="AM1472" s="7" t="n">
        <v>20</v>
      </c>
      <c r="AN1472" s="7" t="n">
        <v>0</v>
      </c>
      <c r="AO1472" s="7" t="n">
        <v>2</v>
      </c>
      <c r="AP1472" s="7" t="n">
        <v>0</v>
      </c>
      <c r="AQ1472" s="7" t="n">
        <v>0</v>
      </c>
      <c r="AR1472" s="6" t="s">
        <v>63</v>
      </c>
      <c r="AS1472" s="6" t="s">
        <v>57</v>
      </c>
      <c r="AT1472" s="9" t="str">
        <f aca="false">HYPERLINK("http://catalog.hathitrust.org/Record/001385412","HathiTrust Record")</f>
        <v>HathiTrust Record</v>
      </c>
      <c r="AU1472" s="9" t="str">
        <f aca="false">HYPERLINK("https://creighton-primo.hosted.exlibrisgroup.com/primo-explore/search?tab=default_tab&amp;search_scope=EVERYTHING&amp;vid=01CRU&amp;lang=en_US&amp;offset=0&amp;query=any,contains,991002963209702656","Catalog Record")</f>
        <v>Catalog Record</v>
      </c>
      <c r="AV1472" s="9" t="str">
        <f aca="false">HYPERLINK("http://www.worldcat.org/oclc/544955","WorldCat Record")</f>
        <v>WorldCat Record</v>
      </c>
      <c r="AW1472" s="6" t="s">
        <v>11860</v>
      </c>
      <c r="AX1472" s="6" t="s">
        <v>11861</v>
      </c>
      <c r="AY1472" s="6" t="s">
        <v>11862</v>
      </c>
      <c r="AZ1472" s="6" t="s">
        <v>11862</v>
      </c>
      <c r="BA1472" s="6" t="s">
        <v>11863</v>
      </c>
      <c r="BB1472" s="6" t="s">
        <v>11864</v>
      </c>
      <c r="BC1472" s="6" t="s">
        <v>11865</v>
      </c>
      <c r="BE1472" s="15" t="s">
        <v>2145</v>
      </c>
      <c r="BF1472" s="6" t="s">
        <v>11866</v>
      </c>
    </row>
    <row r="1473" customFormat="false" ht="163" hidden="false" customHeight="false" outlineLevel="0" collapsed="false">
      <c r="A1473" s="26" t="s">
        <v>63</v>
      </c>
      <c r="B1473" s="27" t="s">
        <v>2129</v>
      </c>
      <c r="C1473" s="27" t="s">
        <v>2130</v>
      </c>
      <c r="D1473" s="27" t="s">
        <v>11867</v>
      </c>
      <c r="E1473" s="27" t="s">
        <v>11868</v>
      </c>
      <c r="F1473" s="27" t="s">
        <v>11869</v>
      </c>
      <c r="G1473" s="28"/>
      <c r="H1473" s="6" t="s">
        <v>63</v>
      </c>
      <c r="I1473" s="6" t="s">
        <v>62</v>
      </c>
      <c r="J1473" s="6" t="s">
        <v>63</v>
      </c>
      <c r="K1473" s="6" t="s">
        <v>57</v>
      </c>
      <c r="L1473" s="6" t="s">
        <v>64</v>
      </c>
      <c r="M1473" s="27" t="s">
        <v>4782</v>
      </c>
      <c r="N1473" s="27" t="s">
        <v>11870</v>
      </c>
      <c r="O1473" s="6" t="s">
        <v>2329</v>
      </c>
      <c r="P1473" s="28"/>
      <c r="Q1473" s="6" t="s">
        <v>67</v>
      </c>
      <c r="R1473" s="6" t="s">
        <v>500</v>
      </c>
      <c r="S1473" s="28"/>
      <c r="T1473" s="6" t="s">
        <v>6138</v>
      </c>
      <c r="U1473" s="7" t="n">
        <v>3</v>
      </c>
      <c r="V1473" s="7" t="n">
        <v>3</v>
      </c>
      <c r="W1473" s="8" t="s">
        <v>11871</v>
      </c>
      <c r="X1473" s="8" t="s">
        <v>11871</v>
      </c>
      <c r="Y1473" s="8" t="s">
        <v>4159</v>
      </c>
      <c r="Z1473" s="8" t="s">
        <v>4159</v>
      </c>
      <c r="AA1473" s="7" t="n">
        <v>985</v>
      </c>
      <c r="AB1473" s="7" t="n">
        <v>856</v>
      </c>
      <c r="AC1473" s="7" t="n">
        <v>1230</v>
      </c>
      <c r="AD1473" s="7" t="n">
        <v>8</v>
      </c>
      <c r="AE1473" s="7" t="n">
        <v>9</v>
      </c>
      <c r="AF1473" s="7" t="n">
        <v>47</v>
      </c>
      <c r="AG1473" s="7" t="n">
        <v>57</v>
      </c>
      <c r="AH1473" s="7" t="n">
        <v>20</v>
      </c>
      <c r="AI1473" s="7" t="n">
        <v>26</v>
      </c>
      <c r="AJ1473" s="7" t="n">
        <v>10</v>
      </c>
      <c r="AK1473" s="7" t="n">
        <v>11</v>
      </c>
      <c r="AL1473" s="7" t="n">
        <v>23</v>
      </c>
      <c r="AM1473" s="7" t="n">
        <v>27</v>
      </c>
      <c r="AN1473" s="7" t="n">
        <v>6</v>
      </c>
      <c r="AO1473" s="7" t="n">
        <v>7</v>
      </c>
      <c r="AP1473" s="7" t="n">
        <v>0</v>
      </c>
      <c r="AQ1473" s="7" t="n">
        <v>0</v>
      </c>
      <c r="AR1473" s="6" t="s">
        <v>63</v>
      </c>
      <c r="AS1473" s="6" t="s">
        <v>63</v>
      </c>
      <c r="AT1473" s="9" t="str">
        <f aca="false">HYPERLINK("http://catalog.hathitrust.org/Record/001396215","HathiTrust Record")</f>
        <v>HathiTrust Record</v>
      </c>
      <c r="AU1473" s="9" t="str">
        <f aca="false">HYPERLINK("https://creighton-primo.hosted.exlibrisgroup.com/primo-explore/search?tab=default_tab&amp;search_scope=EVERYTHING&amp;vid=01CRU&amp;lang=en_US&amp;offset=0&amp;query=any,contains,991002570689702656","Catalog Record")</f>
        <v>Catalog Record</v>
      </c>
      <c r="AV1473" s="9" t="str">
        <f aca="false">HYPERLINK("http://www.worldcat.org/oclc/373592","WorldCat Record")</f>
        <v>WorldCat Record</v>
      </c>
      <c r="AW1473" s="6" t="s">
        <v>11872</v>
      </c>
      <c r="AX1473" s="6" t="s">
        <v>11873</v>
      </c>
      <c r="AY1473" s="6" t="s">
        <v>11874</v>
      </c>
      <c r="AZ1473" s="6" t="s">
        <v>11874</v>
      </c>
      <c r="BA1473" s="6" t="s">
        <v>11875</v>
      </c>
      <c r="BB1473" s="28"/>
      <c r="BC1473" s="6" t="s">
        <v>11876</v>
      </c>
      <c r="BE1473" s="15" t="s">
        <v>2145</v>
      </c>
      <c r="BF1473" s="6" t="s">
        <v>11877</v>
      </c>
    </row>
    <row r="1474" customFormat="false" ht="82.5" hidden="false" customHeight="false" outlineLevel="0" collapsed="false">
      <c r="A1474" s="26" t="s">
        <v>63</v>
      </c>
      <c r="B1474" s="27" t="s">
        <v>2129</v>
      </c>
      <c r="C1474" s="27" t="s">
        <v>2130</v>
      </c>
      <c r="D1474" s="27" t="s">
        <v>11878</v>
      </c>
      <c r="E1474" s="27" t="s">
        <v>11879</v>
      </c>
      <c r="F1474" s="27" t="s">
        <v>11880</v>
      </c>
      <c r="G1474" s="28"/>
      <c r="H1474" s="6" t="s">
        <v>63</v>
      </c>
      <c r="I1474" s="6" t="s">
        <v>62</v>
      </c>
      <c r="J1474" s="6" t="s">
        <v>63</v>
      </c>
      <c r="K1474" s="6" t="s">
        <v>63</v>
      </c>
      <c r="L1474" s="6" t="s">
        <v>64</v>
      </c>
      <c r="M1474" s="27" t="s">
        <v>11881</v>
      </c>
      <c r="N1474" s="27" t="s">
        <v>11882</v>
      </c>
      <c r="O1474" s="6" t="s">
        <v>2693</v>
      </c>
      <c r="P1474" s="28"/>
      <c r="Q1474" s="6" t="s">
        <v>67</v>
      </c>
      <c r="R1474" s="6" t="s">
        <v>1059</v>
      </c>
      <c r="S1474" s="28"/>
      <c r="T1474" s="6" t="s">
        <v>6138</v>
      </c>
      <c r="U1474" s="7" t="n">
        <v>2</v>
      </c>
      <c r="V1474" s="7" t="n">
        <v>2</v>
      </c>
      <c r="W1474" s="8" t="s">
        <v>11883</v>
      </c>
      <c r="X1474" s="8" t="s">
        <v>11883</v>
      </c>
      <c r="Y1474" s="8" t="s">
        <v>4159</v>
      </c>
      <c r="Z1474" s="8" t="s">
        <v>4159</v>
      </c>
      <c r="AA1474" s="7" t="n">
        <v>772</v>
      </c>
      <c r="AB1474" s="7" t="n">
        <v>684</v>
      </c>
      <c r="AC1474" s="7" t="n">
        <v>691</v>
      </c>
      <c r="AD1474" s="7" t="n">
        <v>5</v>
      </c>
      <c r="AE1474" s="7" t="n">
        <v>5</v>
      </c>
      <c r="AF1474" s="7" t="n">
        <v>40</v>
      </c>
      <c r="AG1474" s="7" t="n">
        <v>40</v>
      </c>
      <c r="AH1474" s="7" t="n">
        <v>15</v>
      </c>
      <c r="AI1474" s="7" t="n">
        <v>15</v>
      </c>
      <c r="AJ1474" s="7" t="n">
        <v>10</v>
      </c>
      <c r="AK1474" s="7" t="n">
        <v>10</v>
      </c>
      <c r="AL1474" s="7" t="n">
        <v>23</v>
      </c>
      <c r="AM1474" s="7" t="n">
        <v>23</v>
      </c>
      <c r="AN1474" s="7" t="n">
        <v>4</v>
      </c>
      <c r="AO1474" s="7" t="n">
        <v>4</v>
      </c>
      <c r="AP1474" s="7" t="n">
        <v>0</v>
      </c>
      <c r="AQ1474" s="7" t="n">
        <v>0</v>
      </c>
      <c r="AR1474" s="6" t="s">
        <v>63</v>
      </c>
      <c r="AS1474" s="6" t="s">
        <v>57</v>
      </c>
      <c r="AT1474" s="9" t="str">
        <f aca="false">HYPERLINK("http://catalog.hathitrust.org/Record/006231459","HathiTrust Record")</f>
        <v>HathiTrust Record</v>
      </c>
      <c r="AU1474" s="9" t="str">
        <f aca="false">HYPERLINK("https://creighton-primo.hosted.exlibrisgroup.com/primo-explore/search?tab=default_tab&amp;search_scope=EVERYTHING&amp;vid=01CRU&amp;lang=en_US&amp;offset=0&amp;query=any,contains,991002563069702656","Catalog Record")</f>
        <v>Catalog Record</v>
      </c>
      <c r="AV1474" s="9" t="str">
        <f aca="false">HYPERLINK("http://www.worldcat.org/oclc/372086","WorldCat Record")</f>
        <v>WorldCat Record</v>
      </c>
      <c r="AW1474" s="6" t="s">
        <v>11884</v>
      </c>
      <c r="AX1474" s="6" t="s">
        <v>11885</v>
      </c>
      <c r="AY1474" s="6" t="s">
        <v>11886</v>
      </c>
      <c r="AZ1474" s="6" t="s">
        <v>11886</v>
      </c>
      <c r="BA1474" s="6" t="s">
        <v>11887</v>
      </c>
      <c r="BB1474" s="28"/>
      <c r="BC1474" s="6" t="s">
        <v>11888</v>
      </c>
      <c r="BE1474" s="15" t="s">
        <v>2145</v>
      </c>
      <c r="BF1474" s="6" t="s">
        <v>11889</v>
      </c>
    </row>
    <row r="1475" customFormat="false" ht="94" hidden="false" customHeight="false" outlineLevel="0" collapsed="false">
      <c r="A1475" s="26" t="s">
        <v>63</v>
      </c>
      <c r="B1475" s="27" t="s">
        <v>2129</v>
      </c>
      <c r="C1475" s="27" t="s">
        <v>2130</v>
      </c>
      <c r="D1475" s="27" t="s">
        <v>11890</v>
      </c>
      <c r="E1475" s="27" t="s">
        <v>11891</v>
      </c>
      <c r="F1475" s="27" t="s">
        <v>11892</v>
      </c>
      <c r="G1475" s="28"/>
      <c r="H1475" s="6" t="s">
        <v>63</v>
      </c>
      <c r="I1475" s="6" t="s">
        <v>62</v>
      </c>
      <c r="J1475" s="6" t="s">
        <v>63</v>
      </c>
      <c r="K1475" s="6" t="s">
        <v>63</v>
      </c>
      <c r="L1475" s="6" t="s">
        <v>64</v>
      </c>
      <c r="M1475" s="27" t="s">
        <v>11893</v>
      </c>
      <c r="N1475" s="27" t="s">
        <v>11894</v>
      </c>
      <c r="O1475" s="6" t="s">
        <v>2221</v>
      </c>
      <c r="P1475" s="28"/>
      <c r="Q1475" s="6" t="s">
        <v>67</v>
      </c>
      <c r="R1475" s="6" t="s">
        <v>1108</v>
      </c>
      <c r="S1475" s="28"/>
      <c r="T1475" s="6" t="s">
        <v>6138</v>
      </c>
      <c r="U1475" s="7" t="n">
        <v>4</v>
      </c>
      <c r="V1475" s="7" t="n">
        <v>4</v>
      </c>
      <c r="W1475" s="8" t="s">
        <v>11895</v>
      </c>
      <c r="X1475" s="8" t="s">
        <v>11895</v>
      </c>
      <c r="Y1475" s="8" t="s">
        <v>7722</v>
      </c>
      <c r="Z1475" s="8" t="s">
        <v>7722</v>
      </c>
      <c r="AA1475" s="7" t="n">
        <v>319</v>
      </c>
      <c r="AB1475" s="7" t="n">
        <v>286</v>
      </c>
      <c r="AC1475" s="7" t="n">
        <v>347</v>
      </c>
      <c r="AD1475" s="7" t="n">
        <v>2</v>
      </c>
      <c r="AE1475" s="7" t="n">
        <v>3</v>
      </c>
      <c r="AF1475" s="7" t="n">
        <v>23</v>
      </c>
      <c r="AG1475" s="7" t="n">
        <v>25</v>
      </c>
      <c r="AH1475" s="7" t="n">
        <v>11</v>
      </c>
      <c r="AI1475" s="7" t="n">
        <v>12</v>
      </c>
      <c r="AJ1475" s="7" t="n">
        <v>7</v>
      </c>
      <c r="AK1475" s="7" t="n">
        <v>7</v>
      </c>
      <c r="AL1475" s="7" t="n">
        <v>14</v>
      </c>
      <c r="AM1475" s="7" t="n">
        <v>15</v>
      </c>
      <c r="AN1475" s="7" t="n">
        <v>1</v>
      </c>
      <c r="AO1475" s="7" t="n">
        <v>2</v>
      </c>
      <c r="AP1475" s="7" t="n">
        <v>0</v>
      </c>
      <c r="AQ1475" s="7" t="n">
        <v>0</v>
      </c>
      <c r="AR1475" s="6" t="s">
        <v>63</v>
      </c>
      <c r="AS1475" s="6" t="s">
        <v>63</v>
      </c>
      <c r="AT1475" s="28"/>
      <c r="AU1475" s="9" t="str">
        <f aca="false">HYPERLINK("https://creighton-primo.hosted.exlibrisgroup.com/primo-explore/search?tab=default_tab&amp;search_scope=EVERYTHING&amp;vid=01CRU&amp;lang=en_US&amp;offset=0&amp;query=any,contains,991001083829702656","Catalog Record")</f>
        <v>Catalog Record</v>
      </c>
      <c r="AV1475" s="9" t="str">
        <f aca="false">HYPERLINK("http://www.worldcat.org/oclc/16092550","WorldCat Record")</f>
        <v>WorldCat Record</v>
      </c>
      <c r="AW1475" s="6" t="s">
        <v>11896</v>
      </c>
      <c r="AX1475" s="6" t="s">
        <v>11897</v>
      </c>
      <c r="AY1475" s="6" t="s">
        <v>11898</v>
      </c>
      <c r="AZ1475" s="6" t="s">
        <v>11898</v>
      </c>
      <c r="BA1475" s="6" t="s">
        <v>11899</v>
      </c>
      <c r="BB1475" s="6" t="s">
        <v>11900</v>
      </c>
      <c r="BC1475" s="6" t="s">
        <v>11901</v>
      </c>
      <c r="BE1475" s="15" t="s">
        <v>2145</v>
      </c>
      <c r="BF1475" s="6" t="s">
        <v>11902</v>
      </c>
    </row>
    <row r="1476" customFormat="false" ht="82.5" hidden="false" customHeight="false" outlineLevel="0" collapsed="false">
      <c r="A1476" s="26" t="s">
        <v>63</v>
      </c>
      <c r="B1476" s="27" t="s">
        <v>2129</v>
      </c>
      <c r="C1476" s="27" t="s">
        <v>2130</v>
      </c>
      <c r="D1476" s="27" t="s">
        <v>11903</v>
      </c>
      <c r="E1476" s="27" t="s">
        <v>11904</v>
      </c>
      <c r="F1476" s="27" t="s">
        <v>11905</v>
      </c>
      <c r="G1476" s="28"/>
      <c r="H1476" s="6" t="s">
        <v>63</v>
      </c>
      <c r="I1476" s="6" t="s">
        <v>62</v>
      </c>
      <c r="J1476" s="6" t="s">
        <v>63</v>
      </c>
      <c r="K1476" s="6" t="s">
        <v>63</v>
      </c>
      <c r="L1476" s="6" t="s">
        <v>64</v>
      </c>
      <c r="M1476" s="27" t="s">
        <v>11906</v>
      </c>
      <c r="N1476" s="27" t="s">
        <v>11907</v>
      </c>
      <c r="O1476" s="6" t="s">
        <v>167</v>
      </c>
      <c r="P1476" s="28"/>
      <c r="Q1476" s="6" t="s">
        <v>67</v>
      </c>
      <c r="R1476" s="6" t="s">
        <v>68</v>
      </c>
      <c r="S1476" s="28"/>
      <c r="T1476" s="6" t="s">
        <v>6138</v>
      </c>
      <c r="U1476" s="7" t="n">
        <v>4</v>
      </c>
      <c r="V1476" s="7" t="n">
        <v>4</v>
      </c>
      <c r="W1476" s="8" t="s">
        <v>11908</v>
      </c>
      <c r="X1476" s="8" t="s">
        <v>11908</v>
      </c>
      <c r="Y1476" s="8" t="s">
        <v>4159</v>
      </c>
      <c r="Z1476" s="8" t="s">
        <v>4159</v>
      </c>
      <c r="AA1476" s="7" t="n">
        <v>350</v>
      </c>
      <c r="AB1476" s="7" t="n">
        <v>302</v>
      </c>
      <c r="AC1476" s="7" t="n">
        <v>406</v>
      </c>
      <c r="AD1476" s="7" t="n">
        <v>5</v>
      </c>
      <c r="AE1476" s="7" t="n">
        <v>5</v>
      </c>
      <c r="AF1476" s="7" t="n">
        <v>23</v>
      </c>
      <c r="AG1476" s="7" t="n">
        <v>29</v>
      </c>
      <c r="AH1476" s="7" t="n">
        <v>7</v>
      </c>
      <c r="AI1476" s="7" t="n">
        <v>7</v>
      </c>
      <c r="AJ1476" s="7" t="n">
        <v>7</v>
      </c>
      <c r="AK1476" s="7" t="n">
        <v>8</v>
      </c>
      <c r="AL1476" s="7" t="n">
        <v>13</v>
      </c>
      <c r="AM1476" s="7" t="n">
        <v>18</v>
      </c>
      <c r="AN1476" s="7" t="n">
        <v>4</v>
      </c>
      <c r="AO1476" s="7" t="n">
        <v>4</v>
      </c>
      <c r="AP1476" s="7" t="n">
        <v>0</v>
      </c>
      <c r="AQ1476" s="7" t="n">
        <v>0</v>
      </c>
      <c r="AR1476" s="6" t="s">
        <v>63</v>
      </c>
      <c r="AS1476" s="6" t="s">
        <v>57</v>
      </c>
      <c r="AT1476" s="9" t="str">
        <f aca="false">HYPERLINK("http://catalog.hathitrust.org/Record/007140537","HathiTrust Record")</f>
        <v>HathiTrust Record</v>
      </c>
      <c r="AU1476" s="9" t="str">
        <f aca="false">HYPERLINK("https://creighton-primo.hosted.exlibrisgroup.com/primo-explore/search?tab=default_tab&amp;search_scope=EVERYTHING&amp;vid=01CRU&amp;lang=en_US&amp;offset=0&amp;query=any,contains,991002050629702656","Catalog Record")</f>
        <v>Catalog Record</v>
      </c>
      <c r="AV1476" s="9" t="str">
        <f aca="false">HYPERLINK("http://www.worldcat.org/oclc/261651","WorldCat Record")</f>
        <v>WorldCat Record</v>
      </c>
      <c r="AW1476" s="6" t="s">
        <v>11909</v>
      </c>
      <c r="AX1476" s="6" t="s">
        <v>11910</v>
      </c>
      <c r="AY1476" s="6" t="s">
        <v>11911</v>
      </c>
      <c r="AZ1476" s="6" t="s">
        <v>11911</v>
      </c>
      <c r="BA1476" s="6" t="s">
        <v>11912</v>
      </c>
      <c r="BB1476" s="28"/>
      <c r="BC1476" s="6" t="s">
        <v>11913</v>
      </c>
      <c r="BE1476" s="15" t="s">
        <v>2145</v>
      </c>
      <c r="BF1476" s="6" t="s">
        <v>11914</v>
      </c>
    </row>
    <row r="1477" customFormat="false" ht="243.5" hidden="false" customHeight="false" outlineLevel="0" collapsed="false">
      <c r="A1477" s="26" t="s">
        <v>63</v>
      </c>
      <c r="B1477" s="27" t="s">
        <v>2129</v>
      </c>
      <c r="C1477" s="27" t="s">
        <v>2130</v>
      </c>
      <c r="D1477" s="27" t="s">
        <v>11915</v>
      </c>
      <c r="E1477" s="27" t="s">
        <v>11916</v>
      </c>
      <c r="F1477" s="27" t="s">
        <v>11917</v>
      </c>
      <c r="G1477" s="28"/>
      <c r="H1477" s="6" t="s">
        <v>63</v>
      </c>
      <c r="I1477" s="6" t="s">
        <v>62</v>
      </c>
      <c r="J1477" s="6" t="s">
        <v>63</v>
      </c>
      <c r="K1477" s="6" t="s">
        <v>63</v>
      </c>
      <c r="L1477" s="6" t="s">
        <v>64</v>
      </c>
      <c r="M1477" s="27" t="s">
        <v>11918</v>
      </c>
      <c r="N1477" s="27" t="s">
        <v>11919</v>
      </c>
      <c r="O1477" s="6" t="s">
        <v>264</v>
      </c>
      <c r="P1477" s="28"/>
      <c r="Q1477" s="6" t="s">
        <v>67</v>
      </c>
      <c r="R1477" s="6" t="s">
        <v>68</v>
      </c>
      <c r="S1477" s="27" t="s">
        <v>5732</v>
      </c>
      <c r="T1477" s="6" t="s">
        <v>6138</v>
      </c>
      <c r="U1477" s="7" t="n">
        <v>2</v>
      </c>
      <c r="V1477" s="7" t="n">
        <v>2</v>
      </c>
      <c r="W1477" s="8" t="s">
        <v>11920</v>
      </c>
      <c r="X1477" s="8" t="s">
        <v>11920</v>
      </c>
      <c r="Y1477" s="8" t="s">
        <v>4159</v>
      </c>
      <c r="Z1477" s="8" t="s">
        <v>4159</v>
      </c>
      <c r="AA1477" s="7" t="n">
        <v>456</v>
      </c>
      <c r="AB1477" s="7" t="n">
        <v>381</v>
      </c>
      <c r="AC1477" s="7" t="n">
        <v>559</v>
      </c>
      <c r="AD1477" s="7" t="n">
        <v>4</v>
      </c>
      <c r="AE1477" s="7" t="n">
        <v>4</v>
      </c>
      <c r="AF1477" s="7" t="n">
        <v>31</v>
      </c>
      <c r="AG1477" s="7" t="n">
        <v>38</v>
      </c>
      <c r="AH1477" s="7" t="n">
        <v>11</v>
      </c>
      <c r="AI1477" s="7" t="n">
        <v>14</v>
      </c>
      <c r="AJ1477" s="7" t="n">
        <v>8</v>
      </c>
      <c r="AK1477" s="7" t="n">
        <v>10</v>
      </c>
      <c r="AL1477" s="7" t="n">
        <v>20</v>
      </c>
      <c r="AM1477" s="7" t="n">
        <v>24</v>
      </c>
      <c r="AN1477" s="7" t="n">
        <v>2</v>
      </c>
      <c r="AO1477" s="7" t="n">
        <v>2</v>
      </c>
      <c r="AP1477" s="7" t="n">
        <v>0</v>
      </c>
      <c r="AQ1477" s="7" t="n">
        <v>0</v>
      </c>
      <c r="AR1477" s="6" t="s">
        <v>63</v>
      </c>
      <c r="AS1477" s="6" t="s">
        <v>63</v>
      </c>
      <c r="AT1477" s="28"/>
      <c r="AU1477" s="9" t="str">
        <f aca="false">HYPERLINK("https://creighton-primo.hosted.exlibrisgroup.com/primo-explore/search?tab=default_tab&amp;search_scope=EVERYTHING&amp;vid=01CRU&amp;lang=en_US&amp;offset=0&amp;query=any,contains,991000658549702656","Catalog Record")</f>
        <v>Catalog Record</v>
      </c>
      <c r="AV1477" s="9" t="str">
        <f aca="false">HYPERLINK("http://www.worldcat.org/oclc/116706","WorldCat Record")</f>
        <v>WorldCat Record</v>
      </c>
      <c r="AW1477" s="6" t="s">
        <v>11921</v>
      </c>
      <c r="AX1477" s="6" t="s">
        <v>11922</v>
      </c>
      <c r="AY1477" s="6" t="s">
        <v>11923</v>
      </c>
      <c r="AZ1477" s="6" t="s">
        <v>11923</v>
      </c>
      <c r="BA1477" s="6" t="s">
        <v>11924</v>
      </c>
      <c r="BB1477" s="6" t="s">
        <v>11925</v>
      </c>
      <c r="BC1477" s="6" t="s">
        <v>11926</v>
      </c>
      <c r="BE1477" s="15" t="s">
        <v>2145</v>
      </c>
      <c r="BF1477" s="6" t="s">
        <v>11927</v>
      </c>
    </row>
    <row r="1478" customFormat="false" ht="105.5" hidden="false" customHeight="false" outlineLevel="0" collapsed="false">
      <c r="A1478" s="26" t="s">
        <v>63</v>
      </c>
      <c r="B1478" s="27" t="s">
        <v>2129</v>
      </c>
      <c r="C1478" s="27" t="s">
        <v>2130</v>
      </c>
      <c r="D1478" s="27" t="s">
        <v>11928</v>
      </c>
      <c r="E1478" s="27" t="s">
        <v>11929</v>
      </c>
      <c r="F1478" s="27" t="s">
        <v>11930</v>
      </c>
      <c r="G1478" s="28"/>
      <c r="H1478" s="6" t="s">
        <v>63</v>
      </c>
      <c r="I1478" s="6" t="s">
        <v>62</v>
      </c>
      <c r="J1478" s="6" t="s">
        <v>63</v>
      </c>
      <c r="K1478" s="6" t="s">
        <v>63</v>
      </c>
      <c r="L1478" s="6" t="s">
        <v>64</v>
      </c>
      <c r="M1478" s="27" t="s">
        <v>11931</v>
      </c>
      <c r="N1478" s="27" t="s">
        <v>11932</v>
      </c>
      <c r="O1478" s="6" t="s">
        <v>2975</v>
      </c>
      <c r="P1478" s="28"/>
      <c r="Q1478" s="6" t="s">
        <v>67</v>
      </c>
      <c r="R1478" s="6" t="s">
        <v>384</v>
      </c>
      <c r="S1478" s="28"/>
      <c r="T1478" s="6" t="s">
        <v>6138</v>
      </c>
      <c r="U1478" s="7" t="n">
        <v>3</v>
      </c>
      <c r="V1478" s="7" t="n">
        <v>3</v>
      </c>
      <c r="W1478" s="8" t="s">
        <v>5973</v>
      </c>
      <c r="X1478" s="8" t="s">
        <v>5973</v>
      </c>
      <c r="Y1478" s="8" t="s">
        <v>9694</v>
      </c>
      <c r="Z1478" s="8" t="s">
        <v>9694</v>
      </c>
      <c r="AA1478" s="7" t="n">
        <v>633</v>
      </c>
      <c r="AB1478" s="7" t="n">
        <v>477</v>
      </c>
      <c r="AC1478" s="7" t="n">
        <v>619</v>
      </c>
      <c r="AD1478" s="7" t="n">
        <v>2</v>
      </c>
      <c r="AE1478" s="7" t="n">
        <v>4</v>
      </c>
      <c r="AF1478" s="7" t="n">
        <v>29</v>
      </c>
      <c r="AG1478" s="7" t="n">
        <v>36</v>
      </c>
      <c r="AH1478" s="7" t="n">
        <v>9</v>
      </c>
      <c r="AI1478" s="7" t="n">
        <v>12</v>
      </c>
      <c r="AJ1478" s="7" t="n">
        <v>10</v>
      </c>
      <c r="AK1478" s="7" t="n">
        <v>11</v>
      </c>
      <c r="AL1478" s="7" t="n">
        <v>19</v>
      </c>
      <c r="AM1478" s="7" t="n">
        <v>21</v>
      </c>
      <c r="AN1478" s="7" t="n">
        <v>1</v>
      </c>
      <c r="AO1478" s="7" t="n">
        <v>3</v>
      </c>
      <c r="AP1478" s="7" t="n">
        <v>0</v>
      </c>
      <c r="AQ1478" s="7" t="n">
        <v>0</v>
      </c>
      <c r="AR1478" s="6" t="s">
        <v>63</v>
      </c>
      <c r="AS1478" s="6" t="s">
        <v>63</v>
      </c>
      <c r="AT1478" s="28"/>
      <c r="AU1478" s="9" t="str">
        <f aca="false">HYPERLINK("https://creighton-primo.hosted.exlibrisgroup.com/primo-explore/search?tab=default_tab&amp;search_scope=EVERYTHING&amp;vid=01CRU&amp;lang=en_US&amp;offset=0&amp;query=any,contains,991005352759702656","Catalog Record")</f>
        <v>Catalog Record</v>
      </c>
      <c r="AV1478" s="9" t="str">
        <f aca="false">HYPERLINK("http://www.worldcat.org/oclc/29747","WorldCat Record")</f>
        <v>WorldCat Record</v>
      </c>
      <c r="AW1478" s="6" t="s">
        <v>11933</v>
      </c>
      <c r="AX1478" s="6" t="s">
        <v>11934</v>
      </c>
      <c r="AY1478" s="6" t="s">
        <v>11935</v>
      </c>
      <c r="AZ1478" s="6" t="s">
        <v>11935</v>
      </c>
      <c r="BA1478" s="6" t="s">
        <v>11936</v>
      </c>
      <c r="BB1478" s="6" t="s">
        <v>11937</v>
      </c>
      <c r="BC1478" s="6" t="s">
        <v>11938</v>
      </c>
      <c r="BE1478" s="15" t="s">
        <v>2145</v>
      </c>
      <c r="BF1478" s="6" t="s">
        <v>11939</v>
      </c>
    </row>
    <row r="1479" customFormat="false" ht="94" hidden="false" customHeight="false" outlineLevel="0" collapsed="false">
      <c r="A1479" s="26" t="s">
        <v>63</v>
      </c>
      <c r="B1479" s="27" t="s">
        <v>2129</v>
      </c>
      <c r="C1479" s="27" t="s">
        <v>2130</v>
      </c>
      <c r="D1479" s="27" t="s">
        <v>11940</v>
      </c>
      <c r="E1479" s="27" t="s">
        <v>11941</v>
      </c>
      <c r="F1479" s="27" t="s">
        <v>11942</v>
      </c>
      <c r="G1479" s="28"/>
      <c r="H1479" s="6" t="s">
        <v>63</v>
      </c>
      <c r="I1479" s="6" t="s">
        <v>62</v>
      </c>
      <c r="J1479" s="6" t="s">
        <v>63</v>
      </c>
      <c r="K1479" s="6" t="s">
        <v>63</v>
      </c>
      <c r="L1479" s="6" t="s">
        <v>64</v>
      </c>
      <c r="M1479" s="27" t="s">
        <v>11943</v>
      </c>
      <c r="N1479" s="27" t="s">
        <v>11944</v>
      </c>
      <c r="O1479" s="6" t="s">
        <v>221</v>
      </c>
      <c r="P1479" s="28"/>
      <c r="Q1479" s="6" t="s">
        <v>67</v>
      </c>
      <c r="R1479" s="6" t="s">
        <v>181</v>
      </c>
      <c r="S1479" s="28"/>
      <c r="T1479" s="6" t="s">
        <v>6138</v>
      </c>
      <c r="U1479" s="7" t="n">
        <v>2</v>
      </c>
      <c r="V1479" s="7" t="n">
        <v>2</v>
      </c>
      <c r="W1479" s="8" t="s">
        <v>11945</v>
      </c>
      <c r="X1479" s="8" t="s">
        <v>11945</v>
      </c>
      <c r="Y1479" s="8" t="s">
        <v>4159</v>
      </c>
      <c r="Z1479" s="8" t="s">
        <v>4159</v>
      </c>
      <c r="AA1479" s="7" t="n">
        <v>584</v>
      </c>
      <c r="AB1479" s="7" t="n">
        <v>472</v>
      </c>
      <c r="AC1479" s="7" t="n">
        <v>472</v>
      </c>
      <c r="AD1479" s="7" t="n">
        <v>4</v>
      </c>
      <c r="AE1479" s="7" t="n">
        <v>4</v>
      </c>
      <c r="AF1479" s="7" t="n">
        <v>34</v>
      </c>
      <c r="AG1479" s="7" t="n">
        <v>34</v>
      </c>
      <c r="AH1479" s="7" t="n">
        <v>16</v>
      </c>
      <c r="AI1479" s="7" t="n">
        <v>16</v>
      </c>
      <c r="AJ1479" s="7" t="n">
        <v>8</v>
      </c>
      <c r="AK1479" s="7" t="n">
        <v>8</v>
      </c>
      <c r="AL1479" s="7" t="n">
        <v>19</v>
      </c>
      <c r="AM1479" s="7" t="n">
        <v>19</v>
      </c>
      <c r="AN1479" s="7" t="n">
        <v>2</v>
      </c>
      <c r="AO1479" s="7" t="n">
        <v>2</v>
      </c>
      <c r="AP1479" s="7" t="n">
        <v>0</v>
      </c>
      <c r="AQ1479" s="7" t="n">
        <v>0</v>
      </c>
      <c r="AR1479" s="6" t="s">
        <v>63</v>
      </c>
      <c r="AS1479" s="6" t="s">
        <v>63</v>
      </c>
      <c r="AT1479" s="28"/>
      <c r="AU1479" s="9" t="str">
        <f aca="false">HYPERLINK("https://creighton-primo.hosted.exlibrisgroup.com/primo-explore/search?tab=default_tab&amp;search_scope=EVERYTHING&amp;vid=01CRU&amp;lang=en_US&amp;offset=0&amp;query=any,contains,991000091839702656","Catalog Record")</f>
        <v>Catalog Record</v>
      </c>
      <c r="AV1479" s="9" t="str">
        <f aca="false">HYPERLINK("http://www.worldcat.org/oclc/8906951","WorldCat Record")</f>
        <v>WorldCat Record</v>
      </c>
      <c r="AW1479" s="6" t="s">
        <v>11946</v>
      </c>
      <c r="AX1479" s="6" t="s">
        <v>11947</v>
      </c>
      <c r="AY1479" s="6" t="s">
        <v>11948</v>
      </c>
      <c r="AZ1479" s="6" t="s">
        <v>11948</v>
      </c>
      <c r="BA1479" s="6" t="s">
        <v>11949</v>
      </c>
      <c r="BB1479" s="6" t="s">
        <v>11950</v>
      </c>
      <c r="BC1479" s="6" t="s">
        <v>11951</v>
      </c>
      <c r="BE1479" s="15" t="s">
        <v>2145</v>
      </c>
      <c r="BF1479" s="6" t="s">
        <v>11952</v>
      </c>
    </row>
    <row r="1480" customFormat="false" ht="163" hidden="false" customHeight="false" outlineLevel="0" collapsed="false">
      <c r="A1480" s="26" t="s">
        <v>63</v>
      </c>
      <c r="B1480" s="27" t="s">
        <v>2129</v>
      </c>
      <c r="C1480" s="27" t="s">
        <v>2130</v>
      </c>
      <c r="D1480" s="27" t="s">
        <v>11953</v>
      </c>
      <c r="E1480" s="27" t="s">
        <v>11954</v>
      </c>
      <c r="F1480" s="27" t="s">
        <v>11955</v>
      </c>
      <c r="G1480" s="28"/>
      <c r="H1480" s="6" t="s">
        <v>63</v>
      </c>
      <c r="I1480" s="6" t="s">
        <v>62</v>
      </c>
      <c r="J1480" s="6" t="s">
        <v>63</v>
      </c>
      <c r="K1480" s="6" t="s">
        <v>63</v>
      </c>
      <c r="L1480" s="6" t="s">
        <v>64</v>
      </c>
      <c r="M1480" s="27" t="s">
        <v>11956</v>
      </c>
      <c r="N1480" s="27" t="s">
        <v>11957</v>
      </c>
      <c r="O1480" s="6" t="s">
        <v>3340</v>
      </c>
      <c r="P1480" s="28"/>
      <c r="Q1480" s="6" t="s">
        <v>67</v>
      </c>
      <c r="R1480" s="6" t="s">
        <v>401</v>
      </c>
      <c r="S1480" s="28"/>
      <c r="T1480" s="6" t="s">
        <v>6138</v>
      </c>
      <c r="U1480" s="7" t="n">
        <v>2</v>
      </c>
      <c r="V1480" s="7" t="n">
        <v>2</v>
      </c>
      <c r="W1480" s="8" t="s">
        <v>11958</v>
      </c>
      <c r="X1480" s="8" t="s">
        <v>11958</v>
      </c>
      <c r="Y1480" s="8" t="s">
        <v>4159</v>
      </c>
      <c r="Z1480" s="8" t="s">
        <v>4159</v>
      </c>
      <c r="AA1480" s="7" t="n">
        <v>383</v>
      </c>
      <c r="AB1480" s="7" t="n">
        <v>302</v>
      </c>
      <c r="AC1480" s="7" t="n">
        <v>305</v>
      </c>
      <c r="AD1480" s="7" t="n">
        <v>4</v>
      </c>
      <c r="AE1480" s="7" t="n">
        <v>4</v>
      </c>
      <c r="AF1480" s="7" t="n">
        <v>24</v>
      </c>
      <c r="AG1480" s="7" t="n">
        <v>24</v>
      </c>
      <c r="AH1480" s="7" t="n">
        <v>8</v>
      </c>
      <c r="AI1480" s="7" t="n">
        <v>8</v>
      </c>
      <c r="AJ1480" s="7" t="n">
        <v>7</v>
      </c>
      <c r="AK1480" s="7" t="n">
        <v>7</v>
      </c>
      <c r="AL1480" s="7" t="n">
        <v>16</v>
      </c>
      <c r="AM1480" s="7" t="n">
        <v>16</v>
      </c>
      <c r="AN1480" s="7" t="n">
        <v>2</v>
      </c>
      <c r="AO1480" s="7" t="n">
        <v>2</v>
      </c>
      <c r="AP1480" s="7" t="n">
        <v>0</v>
      </c>
      <c r="AQ1480" s="7" t="n">
        <v>0</v>
      </c>
      <c r="AR1480" s="6" t="s">
        <v>63</v>
      </c>
      <c r="AS1480" s="6" t="s">
        <v>57</v>
      </c>
      <c r="AT1480" s="9" t="str">
        <f aca="false">HYPERLINK("http://catalog.hathitrust.org/Record/000737744","HathiTrust Record")</f>
        <v>HathiTrust Record</v>
      </c>
      <c r="AU1480" s="9" t="str">
        <f aca="false">HYPERLINK("https://creighton-primo.hosted.exlibrisgroup.com/primo-explore/search?tab=default_tab&amp;search_scope=EVERYTHING&amp;vid=01CRU&amp;lang=en_US&amp;offset=0&amp;query=any,contains,991004082099702656","Catalog Record")</f>
        <v>Catalog Record</v>
      </c>
      <c r="AV1480" s="9" t="str">
        <f aca="false">HYPERLINK("http://www.worldcat.org/oclc/2330897","WorldCat Record")</f>
        <v>WorldCat Record</v>
      </c>
      <c r="AW1480" s="6" t="s">
        <v>11959</v>
      </c>
      <c r="AX1480" s="6" t="s">
        <v>11960</v>
      </c>
      <c r="AY1480" s="6" t="s">
        <v>11961</v>
      </c>
      <c r="AZ1480" s="6" t="s">
        <v>11961</v>
      </c>
      <c r="BA1480" s="6" t="s">
        <v>11962</v>
      </c>
      <c r="BB1480" s="6" t="s">
        <v>11963</v>
      </c>
      <c r="BC1480" s="6" t="s">
        <v>11964</v>
      </c>
      <c r="BE1480" s="15" t="s">
        <v>2145</v>
      </c>
      <c r="BF1480" s="6" t="s">
        <v>11965</v>
      </c>
    </row>
    <row r="1481" customFormat="false" ht="105.5" hidden="false" customHeight="false" outlineLevel="0" collapsed="false">
      <c r="A1481" s="26" t="s">
        <v>63</v>
      </c>
      <c r="B1481" s="27" t="s">
        <v>2129</v>
      </c>
      <c r="C1481" s="27" t="s">
        <v>2130</v>
      </c>
      <c r="D1481" s="27" t="s">
        <v>11966</v>
      </c>
      <c r="E1481" s="27" t="s">
        <v>11967</v>
      </c>
      <c r="F1481" s="27" t="s">
        <v>11968</v>
      </c>
      <c r="G1481" s="28"/>
      <c r="H1481" s="6" t="s">
        <v>63</v>
      </c>
      <c r="I1481" s="6" t="s">
        <v>62</v>
      </c>
      <c r="J1481" s="6" t="s">
        <v>63</v>
      </c>
      <c r="K1481" s="6" t="s">
        <v>63</v>
      </c>
      <c r="L1481" s="6" t="s">
        <v>64</v>
      </c>
      <c r="M1481" s="27" t="s">
        <v>11969</v>
      </c>
      <c r="N1481" s="27" t="s">
        <v>11970</v>
      </c>
      <c r="O1481" s="6" t="s">
        <v>3340</v>
      </c>
      <c r="P1481" s="28"/>
      <c r="Q1481" s="6" t="s">
        <v>67</v>
      </c>
      <c r="R1481" s="6" t="s">
        <v>401</v>
      </c>
      <c r="S1481" s="28"/>
      <c r="T1481" s="6" t="s">
        <v>6138</v>
      </c>
      <c r="U1481" s="7" t="n">
        <v>4</v>
      </c>
      <c r="V1481" s="7" t="n">
        <v>4</v>
      </c>
      <c r="W1481" s="8" t="s">
        <v>11971</v>
      </c>
      <c r="X1481" s="8" t="s">
        <v>11971</v>
      </c>
      <c r="Y1481" s="8" t="s">
        <v>4159</v>
      </c>
      <c r="Z1481" s="8" t="s">
        <v>4159</v>
      </c>
      <c r="AA1481" s="7" t="n">
        <v>462</v>
      </c>
      <c r="AB1481" s="7" t="n">
        <v>377</v>
      </c>
      <c r="AC1481" s="7" t="n">
        <v>378</v>
      </c>
      <c r="AD1481" s="7" t="n">
        <v>4</v>
      </c>
      <c r="AE1481" s="7" t="n">
        <v>4</v>
      </c>
      <c r="AF1481" s="7" t="n">
        <v>27</v>
      </c>
      <c r="AG1481" s="7" t="n">
        <v>27</v>
      </c>
      <c r="AH1481" s="7" t="n">
        <v>10</v>
      </c>
      <c r="AI1481" s="7" t="n">
        <v>10</v>
      </c>
      <c r="AJ1481" s="7" t="n">
        <v>9</v>
      </c>
      <c r="AK1481" s="7" t="n">
        <v>9</v>
      </c>
      <c r="AL1481" s="7" t="n">
        <v>17</v>
      </c>
      <c r="AM1481" s="7" t="n">
        <v>17</v>
      </c>
      <c r="AN1481" s="7" t="n">
        <v>3</v>
      </c>
      <c r="AO1481" s="7" t="n">
        <v>3</v>
      </c>
      <c r="AP1481" s="7" t="n">
        <v>0</v>
      </c>
      <c r="AQ1481" s="7" t="n">
        <v>0</v>
      </c>
      <c r="AR1481" s="6" t="s">
        <v>63</v>
      </c>
      <c r="AS1481" s="6" t="s">
        <v>57</v>
      </c>
      <c r="AT1481" s="9" t="str">
        <f aca="false">HYPERLINK("http://catalog.hathitrust.org/Record/102694858","HathiTrust Record")</f>
        <v>HathiTrust Record</v>
      </c>
      <c r="AU1481" s="9" t="str">
        <f aca="false">HYPERLINK("https://creighton-primo.hosted.exlibrisgroup.com/primo-explore/search?tab=default_tab&amp;search_scope=EVERYTHING&amp;vid=01CRU&amp;lang=en_US&amp;offset=0&amp;query=any,contains,991004214479702656","Catalog Record")</f>
        <v>Catalog Record</v>
      </c>
      <c r="AV1481" s="9" t="str">
        <f aca="false">HYPERLINK("http://www.worldcat.org/oclc/2694842","WorldCat Record")</f>
        <v>WorldCat Record</v>
      </c>
      <c r="AW1481" s="6" t="s">
        <v>11972</v>
      </c>
      <c r="AX1481" s="6" t="s">
        <v>11973</v>
      </c>
      <c r="AY1481" s="6" t="s">
        <v>11974</v>
      </c>
      <c r="AZ1481" s="6" t="s">
        <v>11974</v>
      </c>
      <c r="BA1481" s="6" t="s">
        <v>11975</v>
      </c>
      <c r="BB1481" s="6" t="s">
        <v>11976</v>
      </c>
      <c r="BC1481" s="6" t="s">
        <v>11977</v>
      </c>
      <c r="BE1481" s="15" t="s">
        <v>2145</v>
      </c>
      <c r="BF1481" s="6" t="s">
        <v>11978</v>
      </c>
    </row>
    <row r="1482" customFormat="false" ht="266.5" hidden="false" customHeight="false" outlineLevel="0" collapsed="false">
      <c r="A1482" s="26" t="s">
        <v>63</v>
      </c>
      <c r="B1482" s="27" t="s">
        <v>2129</v>
      </c>
      <c r="C1482" s="27" t="s">
        <v>2130</v>
      </c>
      <c r="D1482" s="27" t="s">
        <v>11979</v>
      </c>
      <c r="E1482" s="27" t="s">
        <v>11980</v>
      </c>
      <c r="F1482" s="27" t="s">
        <v>11981</v>
      </c>
      <c r="G1482" s="28"/>
      <c r="H1482" s="6" t="s">
        <v>63</v>
      </c>
      <c r="I1482" s="6" t="s">
        <v>62</v>
      </c>
      <c r="J1482" s="6" t="s">
        <v>63</v>
      </c>
      <c r="K1482" s="6" t="s">
        <v>63</v>
      </c>
      <c r="L1482" s="6" t="s">
        <v>64</v>
      </c>
      <c r="M1482" s="27" t="s">
        <v>3403</v>
      </c>
      <c r="N1482" s="27" t="s">
        <v>11982</v>
      </c>
      <c r="O1482" s="6" t="s">
        <v>2426</v>
      </c>
      <c r="P1482" s="28"/>
      <c r="Q1482" s="6" t="s">
        <v>67</v>
      </c>
      <c r="R1482" s="6" t="s">
        <v>401</v>
      </c>
      <c r="S1482" s="28"/>
      <c r="T1482" s="6" t="s">
        <v>6138</v>
      </c>
      <c r="U1482" s="7" t="n">
        <v>3</v>
      </c>
      <c r="V1482" s="7" t="n">
        <v>3</v>
      </c>
      <c r="W1482" s="8" t="s">
        <v>11971</v>
      </c>
      <c r="X1482" s="8" t="s">
        <v>11971</v>
      </c>
      <c r="Y1482" s="8" t="s">
        <v>4159</v>
      </c>
      <c r="Z1482" s="8" t="s">
        <v>4159</v>
      </c>
      <c r="AA1482" s="7" t="n">
        <v>525</v>
      </c>
      <c r="AB1482" s="7" t="n">
        <v>441</v>
      </c>
      <c r="AC1482" s="7" t="n">
        <v>448</v>
      </c>
      <c r="AD1482" s="7" t="n">
        <v>3</v>
      </c>
      <c r="AE1482" s="7" t="n">
        <v>3</v>
      </c>
      <c r="AF1482" s="7" t="n">
        <v>28</v>
      </c>
      <c r="AG1482" s="7" t="n">
        <v>28</v>
      </c>
      <c r="AH1482" s="7" t="n">
        <v>10</v>
      </c>
      <c r="AI1482" s="7" t="n">
        <v>10</v>
      </c>
      <c r="AJ1482" s="7" t="n">
        <v>9</v>
      </c>
      <c r="AK1482" s="7" t="n">
        <v>9</v>
      </c>
      <c r="AL1482" s="7" t="n">
        <v>16</v>
      </c>
      <c r="AM1482" s="7" t="n">
        <v>16</v>
      </c>
      <c r="AN1482" s="7" t="n">
        <v>2</v>
      </c>
      <c r="AO1482" s="7" t="n">
        <v>2</v>
      </c>
      <c r="AP1482" s="7" t="n">
        <v>0</v>
      </c>
      <c r="AQ1482" s="7" t="n">
        <v>0</v>
      </c>
      <c r="AR1482" s="6" t="s">
        <v>63</v>
      </c>
      <c r="AS1482" s="6" t="s">
        <v>57</v>
      </c>
      <c r="AT1482" s="9" t="str">
        <f aca="false">HYPERLINK("http://catalog.hathitrust.org/Record/001385508","HathiTrust Record")</f>
        <v>HathiTrust Record</v>
      </c>
      <c r="AU1482" s="9" t="str">
        <f aca="false">HYPERLINK("https://creighton-primo.hosted.exlibrisgroup.com/primo-explore/search?tab=default_tab&amp;search_scope=EVERYTHING&amp;vid=01CRU&amp;lang=en_US&amp;offset=0&amp;query=any,contains,991003447859702656","Catalog Record")</f>
        <v>Catalog Record</v>
      </c>
      <c r="AV1482" s="9" t="str">
        <f aca="false">HYPERLINK("http://www.worldcat.org/oclc/983726","WorldCat Record")</f>
        <v>WorldCat Record</v>
      </c>
      <c r="AW1482" s="6" t="s">
        <v>11983</v>
      </c>
      <c r="AX1482" s="6" t="s">
        <v>11984</v>
      </c>
      <c r="AY1482" s="6" t="s">
        <v>11985</v>
      </c>
      <c r="AZ1482" s="6" t="s">
        <v>11985</v>
      </c>
      <c r="BA1482" s="6" t="s">
        <v>11986</v>
      </c>
      <c r="BB1482" s="6" t="s">
        <v>11987</v>
      </c>
      <c r="BC1482" s="6" t="s">
        <v>11988</v>
      </c>
      <c r="BE1482" s="15" t="s">
        <v>2145</v>
      </c>
      <c r="BF1482" s="6" t="s">
        <v>11989</v>
      </c>
    </row>
    <row r="1483" customFormat="false" ht="174.5" hidden="false" customHeight="false" outlineLevel="0" collapsed="false">
      <c r="A1483" s="26" t="s">
        <v>63</v>
      </c>
      <c r="B1483" s="27" t="s">
        <v>2129</v>
      </c>
      <c r="C1483" s="27" t="s">
        <v>2130</v>
      </c>
      <c r="D1483" s="27" t="s">
        <v>11990</v>
      </c>
      <c r="E1483" s="27" t="s">
        <v>11991</v>
      </c>
      <c r="F1483" s="27" t="s">
        <v>11992</v>
      </c>
      <c r="G1483" s="28"/>
      <c r="H1483" s="6" t="s">
        <v>63</v>
      </c>
      <c r="I1483" s="6" t="s">
        <v>62</v>
      </c>
      <c r="J1483" s="6" t="s">
        <v>63</v>
      </c>
      <c r="K1483" s="6" t="s">
        <v>63</v>
      </c>
      <c r="L1483" s="6" t="s">
        <v>64</v>
      </c>
      <c r="M1483" s="27" t="s">
        <v>11993</v>
      </c>
      <c r="N1483" s="27" t="s">
        <v>11994</v>
      </c>
      <c r="O1483" s="6" t="s">
        <v>167</v>
      </c>
      <c r="P1483" s="27" t="s">
        <v>255</v>
      </c>
      <c r="Q1483" s="6" t="s">
        <v>67</v>
      </c>
      <c r="R1483" s="6" t="s">
        <v>68</v>
      </c>
      <c r="S1483" s="28"/>
      <c r="T1483" s="6" t="s">
        <v>6138</v>
      </c>
      <c r="U1483" s="7" t="n">
        <v>2</v>
      </c>
      <c r="V1483" s="7" t="n">
        <v>2</v>
      </c>
      <c r="W1483" s="8" t="s">
        <v>11995</v>
      </c>
      <c r="X1483" s="8" t="s">
        <v>11995</v>
      </c>
      <c r="Y1483" s="8" t="s">
        <v>9720</v>
      </c>
      <c r="Z1483" s="8" t="s">
        <v>9720</v>
      </c>
      <c r="AA1483" s="7" t="n">
        <v>878</v>
      </c>
      <c r="AB1483" s="7" t="n">
        <v>816</v>
      </c>
      <c r="AC1483" s="7" t="n">
        <v>876</v>
      </c>
      <c r="AD1483" s="7" t="n">
        <v>7</v>
      </c>
      <c r="AE1483" s="7" t="n">
        <v>7</v>
      </c>
      <c r="AF1483" s="7" t="n">
        <v>37</v>
      </c>
      <c r="AG1483" s="7" t="n">
        <v>40</v>
      </c>
      <c r="AH1483" s="7" t="n">
        <v>11</v>
      </c>
      <c r="AI1483" s="7" t="n">
        <v>13</v>
      </c>
      <c r="AJ1483" s="7" t="n">
        <v>10</v>
      </c>
      <c r="AK1483" s="7" t="n">
        <v>10</v>
      </c>
      <c r="AL1483" s="7" t="n">
        <v>20</v>
      </c>
      <c r="AM1483" s="7" t="n">
        <v>23</v>
      </c>
      <c r="AN1483" s="7" t="n">
        <v>5</v>
      </c>
      <c r="AO1483" s="7" t="n">
        <v>5</v>
      </c>
      <c r="AP1483" s="7" t="n">
        <v>0</v>
      </c>
      <c r="AQ1483" s="7" t="n">
        <v>0</v>
      </c>
      <c r="AR1483" s="6" t="s">
        <v>63</v>
      </c>
      <c r="AS1483" s="6" t="s">
        <v>57</v>
      </c>
      <c r="AT1483" s="9" t="str">
        <f aca="false">HYPERLINK("http://catalog.hathitrust.org/Record/001395281","HathiTrust Record")</f>
        <v>HathiTrust Record</v>
      </c>
      <c r="AU1483" s="9" t="str">
        <f aca="false">HYPERLINK("https://creighton-primo.hosted.exlibrisgroup.com/primo-explore/search?tab=default_tab&amp;search_scope=EVERYTHING&amp;vid=01CRU&amp;lang=en_US&amp;offset=0&amp;query=any,contains,991002101649702656","Catalog Record")</f>
        <v>Catalog Record</v>
      </c>
      <c r="AV1483" s="9" t="str">
        <f aca="false">HYPERLINK("http://www.worldcat.org/oclc/266362","WorldCat Record")</f>
        <v>WorldCat Record</v>
      </c>
      <c r="AW1483" s="6" t="s">
        <v>11996</v>
      </c>
      <c r="AX1483" s="6" t="s">
        <v>11997</v>
      </c>
      <c r="AY1483" s="6" t="s">
        <v>11998</v>
      </c>
      <c r="AZ1483" s="6" t="s">
        <v>11998</v>
      </c>
      <c r="BA1483" s="6" t="s">
        <v>11999</v>
      </c>
      <c r="BB1483" s="28"/>
      <c r="BC1483" s="6" t="s">
        <v>12000</v>
      </c>
      <c r="BE1483" s="15" t="s">
        <v>2145</v>
      </c>
      <c r="BF1483" s="6" t="s">
        <v>12001</v>
      </c>
    </row>
    <row r="1484" customFormat="false" ht="71" hidden="false" customHeight="false" outlineLevel="0" collapsed="false">
      <c r="A1484" s="26" t="s">
        <v>63</v>
      </c>
      <c r="B1484" s="27" t="s">
        <v>2129</v>
      </c>
      <c r="C1484" s="27" t="s">
        <v>2130</v>
      </c>
      <c r="D1484" s="27" t="s">
        <v>12002</v>
      </c>
      <c r="E1484" s="27" t="s">
        <v>12003</v>
      </c>
      <c r="F1484" s="27" t="s">
        <v>12004</v>
      </c>
      <c r="G1484" s="28"/>
      <c r="H1484" s="6" t="s">
        <v>63</v>
      </c>
      <c r="I1484" s="6" t="s">
        <v>62</v>
      </c>
      <c r="J1484" s="6" t="s">
        <v>63</v>
      </c>
      <c r="K1484" s="6" t="s">
        <v>63</v>
      </c>
      <c r="L1484" s="6" t="s">
        <v>64</v>
      </c>
      <c r="M1484" s="27" t="s">
        <v>12005</v>
      </c>
      <c r="N1484" s="27" t="s">
        <v>12006</v>
      </c>
      <c r="O1484" s="6" t="s">
        <v>167</v>
      </c>
      <c r="P1484" s="28"/>
      <c r="Q1484" s="6" t="s">
        <v>67</v>
      </c>
      <c r="R1484" s="6" t="s">
        <v>2503</v>
      </c>
      <c r="S1484" s="28"/>
      <c r="T1484" s="6" t="s">
        <v>6138</v>
      </c>
      <c r="U1484" s="7" t="n">
        <v>3</v>
      </c>
      <c r="V1484" s="7" t="n">
        <v>3</v>
      </c>
      <c r="W1484" s="8" t="s">
        <v>12007</v>
      </c>
      <c r="X1484" s="8" t="s">
        <v>12007</v>
      </c>
      <c r="Y1484" s="8" t="s">
        <v>9720</v>
      </c>
      <c r="Z1484" s="8" t="s">
        <v>9720</v>
      </c>
      <c r="AA1484" s="7" t="n">
        <v>696</v>
      </c>
      <c r="AB1484" s="7" t="n">
        <v>607</v>
      </c>
      <c r="AC1484" s="7" t="n">
        <v>671</v>
      </c>
      <c r="AD1484" s="7" t="n">
        <v>9</v>
      </c>
      <c r="AE1484" s="7" t="n">
        <v>11</v>
      </c>
      <c r="AF1484" s="7" t="n">
        <v>28</v>
      </c>
      <c r="AG1484" s="7" t="n">
        <v>31</v>
      </c>
      <c r="AH1484" s="7" t="n">
        <v>9</v>
      </c>
      <c r="AI1484" s="7" t="n">
        <v>11</v>
      </c>
      <c r="AJ1484" s="7" t="n">
        <v>5</v>
      </c>
      <c r="AK1484" s="7" t="n">
        <v>5</v>
      </c>
      <c r="AL1484" s="7" t="n">
        <v>15</v>
      </c>
      <c r="AM1484" s="7" t="n">
        <v>17</v>
      </c>
      <c r="AN1484" s="7" t="n">
        <v>6</v>
      </c>
      <c r="AO1484" s="7" t="n">
        <v>6</v>
      </c>
      <c r="AP1484" s="7" t="n">
        <v>0</v>
      </c>
      <c r="AQ1484" s="7" t="n">
        <v>0</v>
      </c>
      <c r="AR1484" s="6" t="s">
        <v>63</v>
      </c>
      <c r="AS1484" s="6" t="s">
        <v>57</v>
      </c>
      <c r="AT1484" s="9" t="str">
        <f aca="false">HYPERLINK("http://catalog.hathitrust.org/Record/001379112","HathiTrust Record")</f>
        <v>HathiTrust Record</v>
      </c>
      <c r="AU1484" s="9" t="str">
        <f aca="false">HYPERLINK("https://creighton-primo.hosted.exlibrisgroup.com/primo-explore/search?tab=default_tab&amp;search_scope=EVERYTHING&amp;vid=01CRU&amp;lang=en_US&amp;offset=0&amp;query=any,contains,991002544539702656","Catalog Record")</f>
        <v>Catalog Record</v>
      </c>
      <c r="AV1484" s="9" t="str">
        <f aca="false">HYPERLINK("http://www.worldcat.org/oclc/368537","WorldCat Record")</f>
        <v>WorldCat Record</v>
      </c>
      <c r="AW1484" s="6" t="s">
        <v>12008</v>
      </c>
      <c r="AX1484" s="6" t="s">
        <v>12009</v>
      </c>
      <c r="AY1484" s="6" t="s">
        <v>12010</v>
      </c>
      <c r="AZ1484" s="6" t="s">
        <v>12010</v>
      </c>
      <c r="BA1484" s="6" t="s">
        <v>12011</v>
      </c>
      <c r="BB1484" s="28"/>
      <c r="BC1484" s="6" t="s">
        <v>12012</v>
      </c>
      <c r="BE1484" s="15" t="s">
        <v>2145</v>
      </c>
      <c r="BF1484" s="6" t="s">
        <v>12013</v>
      </c>
    </row>
    <row r="1485" customFormat="false" ht="82.5" hidden="false" customHeight="false" outlineLevel="0" collapsed="false">
      <c r="A1485" s="26" t="s">
        <v>63</v>
      </c>
      <c r="B1485" s="27" t="s">
        <v>2129</v>
      </c>
      <c r="C1485" s="27" t="s">
        <v>2130</v>
      </c>
      <c r="D1485" s="27" t="s">
        <v>12014</v>
      </c>
      <c r="E1485" s="27" t="s">
        <v>12015</v>
      </c>
      <c r="F1485" s="27" t="s">
        <v>12016</v>
      </c>
      <c r="G1485" s="28"/>
      <c r="H1485" s="6" t="s">
        <v>63</v>
      </c>
      <c r="I1485" s="6" t="s">
        <v>62</v>
      </c>
      <c r="J1485" s="6" t="s">
        <v>63</v>
      </c>
      <c r="K1485" s="6" t="s">
        <v>63</v>
      </c>
      <c r="L1485" s="6" t="s">
        <v>64</v>
      </c>
      <c r="M1485" s="28"/>
      <c r="N1485" s="27" t="s">
        <v>12017</v>
      </c>
      <c r="O1485" s="6" t="s">
        <v>2221</v>
      </c>
      <c r="P1485" s="28"/>
      <c r="Q1485" s="6" t="s">
        <v>67</v>
      </c>
      <c r="R1485" s="6" t="s">
        <v>68</v>
      </c>
      <c r="S1485" s="27" t="s">
        <v>12018</v>
      </c>
      <c r="T1485" s="6" t="s">
        <v>6138</v>
      </c>
      <c r="U1485" s="7" t="n">
        <v>1</v>
      </c>
      <c r="V1485" s="7" t="n">
        <v>1</v>
      </c>
      <c r="W1485" s="8" t="s">
        <v>12019</v>
      </c>
      <c r="X1485" s="8" t="s">
        <v>12019</v>
      </c>
      <c r="Y1485" s="8" t="s">
        <v>12020</v>
      </c>
      <c r="Z1485" s="8" t="s">
        <v>12020</v>
      </c>
      <c r="AA1485" s="7" t="n">
        <v>420</v>
      </c>
      <c r="AB1485" s="7" t="n">
        <v>356</v>
      </c>
      <c r="AC1485" s="7" t="n">
        <v>357</v>
      </c>
      <c r="AD1485" s="7" t="n">
        <v>2</v>
      </c>
      <c r="AE1485" s="7" t="n">
        <v>2</v>
      </c>
      <c r="AF1485" s="7" t="n">
        <v>22</v>
      </c>
      <c r="AG1485" s="7" t="n">
        <v>22</v>
      </c>
      <c r="AH1485" s="7" t="n">
        <v>6</v>
      </c>
      <c r="AI1485" s="7" t="n">
        <v>6</v>
      </c>
      <c r="AJ1485" s="7" t="n">
        <v>7</v>
      </c>
      <c r="AK1485" s="7" t="n">
        <v>7</v>
      </c>
      <c r="AL1485" s="7" t="n">
        <v>15</v>
      </c>
      <c r="AM1485" s="7" t="n">
        <v>15</v>
      </c>
      <c r="AN1485" s="7" t="n">
        <v>1</v>
      </c>
      <c r="AO1485" s="7" t="n">
        <v>1</v>
      </c>
      <c r="AP1485" s="7" t="n">
        <v>0</v>
      </c>
      <c r="AQ1485" s="7" t="n">
        <v>0</v>
      </c>
      <c r="AR1485" s="6" t="s">
        <v>63</v>
      </c>
      <c r="AS1485" s="6" t="s">
        <v>57</v>
      </c>
      <c r="AT1485" s="9" t="str">
        <f aca="false">HYPERLINK("http://catalog.hathitrust.org/Record/001292522","HathiTrust Record")</f>
        <v>HathiTrust Record</v>
      </c>
      <c r="AU1485" s="9" t="str">
        <f aca="false">HYPERLINK("https://creighton-primo.hosted.exlibrisgroup.com/primo-explore/search?tab=default_tab&amp;search_scope=EVERYTHING&amp;vid=01CRU&amp;lang=en_US&amp;offset=0&amp;query=any,contains,991001223609702656","Catalog Record")</f>
        <v>Catalog Record</v>
      </c>
      <c r="AV1485" s="9" t="str">
        <f aca="false">HYPERLINK("http://www.worldcat.org/oclc/17483908","WorldCat Record")</f>
        <v>WorldCat Record</v>
      </c>
      <c r="AW1485" s="6" t="s">
        <v>12021</v>
      </c>
      <c r="AX1485" s="6" t="s">
        <v>12022</v>
      </c>
      <c r="AY1485" s="6" t="s">
        <v>12023</v>
      </c>
      <c r="AZ1485" s="6" t="s">
        <v>12023</v>
      </c>
      <c r="BA1485" s="6" t="s">
        <v>12024</v>
      </c>
      <c r="BB1485" s="6" t="s">
        <v>12025</v>
      </c>
      <c r="BC1485" s="6" t="s">
        <v>12026</v>
      </c>
      <c r="BE1485" s="15" t="s">
        <v>2145</v>
      </c>
      <c r="BF1485" s="6" t="s">
        <v>12027</v>
      </c>
    </row>
    <row r="1486" customFormat="false" ht="197.5" hidden="false" customHeight="false" outlineLevel="0" collapsed="false">
      <c r="A1486" s="26" t="s">
        <v>63</v>
      </c>
      <c r="B1486" s="27" t="s">
        <v>2129</v>
      </c>
      <c r="C1486" s="27" t="s">
        <v>2130</v>
      </c>
      <c r="D1486" s="27" t="s">
        <v>12028</v>
      </c>
      <c r="E1486" s="27" t="s">
        <v>12029</v>
      </c>
      <c r="F1486" s="27" t="s">
        <v>12030</v>
      </c>
      <c r="G1486" s="28"/>
      <c r="H1486" s="6" t="s">
        <v>63</v>
      </c>
      <c r="I1486" s="6" t="s">
        <v>62</v>
      </c>
      <c r="J1486" s="6" t="s">
        <v>63</v>
      </c>
      <c r="K1486" s="6" t="s">
        <v>63</v>
      </c>
      <c r="L1486" s="6" t="s">
        <v>64</v>
      </c>
      <c r="M1486" s="27" t="s">
        <v>4793</v>
      </c>
      <c r="N1486" s="27" t="s">
        <v>12031</v>
      </c>
      <c r="O1486" s="6" t="s">
        <v>122</v>
      </c>
      <c r="P1486" s="28"/>
      <c r="Q1486" s="6" t="s">
        <v>67</v>
      </c>
      <c r="R1486" s="6" t="s">
        <v>384</v>
      </c>
      <c r="S1486" s="27" t="s">
        <v>12032</v>
      </c>
      <c r="T1486" s="6" t="s">
        <v>6138</v>
      </c>
      <c r="U1486" s="7" t="n">
        <v>2</v>
      </c>
      <c r="V1486" s="7" t="n">
        <v>2</v>
      </c>
      <c r="W1486" s="8" t="s">
        <v>9242</v>
      </c>
      <c r="X1486" s="8" t="s">
        <v>9242</v>
      </c>
      <c r="Y1486" s="8" t="s">
        <v>12020</v>
      </c>
      <c r="Z1486" s="8" t="s">
        <v>12020</v>
      </c>
      <c r="AA1486" s="7" t="n">
        <v>702</v>
      </c>
      <c r="AB1486" s="7" t="n">
        <v>577</v>
      </c>
      <c r="AC1486" s="7" t="n">
        <v>864</v>
      </c>
      <c r="AD1486" s="7" t="n">
        <v>4</v>
      </c>
      <c r="AE1486" s="7" t="n">
        <v>8</v>
      </c>
      <c r="AF1486" s="7" t="n">
        <v>31</v>
      </c>
      <c r="AG1486" s="7" t="n">
        <v>47</v>
      </c>
      <c r="AH1486" s="7" t="n">
        <v>9</v>
      </c>
      <c r="AI1486" s="7" t="n">
        <v>15</v>
      </c>
      <c r="AJ1486" s="7" t="n">
        <v>7</v>
      </c>
      <c r="AK1486" s="7" t="n">
        <v>11</v>
      </c>
      <c r="AL1486" s="7" t="n">
        <v>22</v>
      </c>
      <c r="AM1486" s="7" t="n">
        <v>25</v>
      </c>
      <c r="AN1486" s="7" t="n">
        <v>3</v>
      </c>
      <c r="AO1486" s="7" t="n">
        <v>7</v>
      </c>
      <c r="AP1486" s="7" t="n">
        <v>0</v>
      </c>
      <c r="AQ1486" s="7" t="n">
        <v>1</v>
      </c>
      <c r="AR1486" s="6" t="s">
        <v>63</v>
      </c>
      <c r="AS1486" s="6" t="s">
        <v>57</v>
      </c>
      <c r="AT1486" s="9" t="str">
        <f aca="false">HYPERLINK("http://catalog.hathitrust.org/Record/001379138","HathiTrust Record")</f>
        <v>HathiTrust Record</v>
      </c>
      <c r="AU1486" s="9" t="str">
        <f aca="false">HYPERLINK("https://creighton-primo.hosted.exlibrisgroup.com/primo-explore/search?tab=default_tab&amp;search_scope=EVERYTHING&amp;vid=01CRU&amp;lang=en_US&amp;offset=0&amp;query=any,contains,991002523349702656","Catalog Record")</f>
        <v>Catalog Record</v>
      </c>
      <c r="AV1486" s="9" t="str">
        <f aca="false">HYPERLINK("http://www.worldcat.org/oclc/366352","WorldCat Record")</f>
        <v>WorldCat Record</v>
      </c>
      <c r="AW1486" s="6" t="s">
        <v>12033</v>
      </c>
      <c r="AX1486" s="6" t="s">
        <v>12034</v>
      </c>
      <c r="AY1486" s="6" t="s">
        <v>12035</v>
      </c>
      <c r="AZ1486" s="6" t="s">
        <v>12035</v>
      </c>
      <c r="BA1486" s="6" t="s">
        <v>12036</v>
      </c>
      <c r="BB1486" s="28"/>
      <c r="BC1486" s="6" t="s">
        <v>12037</v>
      </c>
      <c r="BE1486" s="15" t="s">
        <v>2145</v>
      </c>
      <c r="BF1486" s="6" t="s">
        <v>12038</v>
      </c>
    </row>
    <row r="1487" customFormat="false" ht="128.5" hidden="false" customHeight="false" outlineLevel="0" collapsed="false">
      <c r="A1487" s="26" t="s">
        <v>63</v>
      </c>
      <c r="B1487" s="27" t="s">
        <v>2129</v>
      </c>
      <c r="C1487" s="27" t="s">
        <v>2130</v>
      </c>
      <c r="D1487" s="27" t="s">
        <v>12039</v>
      </c>
      <c r="E1487" s="27" t="s">
        <v>12040</v>
      </c>
      <c r="F1487" s="27" t="s">
        <v>12041</v>
      </c>
      <c r="G1487" s="28"/>
      <c r="H1487" s="6" t="s">
        <v>63</v>
      </c>
      <c r="I1487" s="6" t="s">
        <v>62</v>
      </c>
      <c r="J1487" s="6" t="s">
        <v>63</v>
      </c>
      <c r="K1487" s="6" t="s">
        <v>63</v>
      </c>
      <c r="L1487" s="6" t="s">
        <v>64</v>
      </c>
      <c r="M1487" s="27" t="s">
        <v>4793</v>
      </c>
      <c r="N1487" s="27" t="s">
        <v>12042</v>
      </c>
      <c r="O1487" s="6" t="s">
        <v>2467</v>
      </c>
      <c r="P1487" s="28"/>
      <c r="Q1487" s="6" t="s">
        <v>67</v>
      </c>
      <c r="R1487" s="6" t="s">
        <v>384</v>
      </c>
      <c r="S1487" s="27" t="s">
        <v>12043</v>
      </c>
      <c r="T1487" s="6" t="s">
        <v>6138</v>
      </c>
      <c r="U1487" s="7" t="n">
        <v>3</v>
      </c>
      <c r="V1487" s="7" t="n">
        <v>3</v>
      </c>
      <c r="W1487" s="8" t="s">
        <v>12044</v>
      </c>
      <c r="X1487" s="8" t="s">
        <v>12044</v>
      </c>
      <c r="Y1487" s="8" t="s">
        <v>12020</v>
      </c>
      <c r="Z1487" s="8" t="s">
        <v>12020</v>
      </c>
      <c r="AA1487" s="7" t="n">
        <v>570</v>
      </c>
      <c r="AB1487" s="7" t="n">
        <v>473</v>
      </c>
      <c r="AC1487" s="7" t="n">
        <v>503</v>
      </c>
      <c r="AD1487" s="7" t="n">
        <v>3</v>
      </c>
      <c r="AE1487" s="7" t="n">
        <v>3</v>
      </c>
      <c r="AF1487" s="7" t="n">
        <v>30</v>
      </c>
      <c r="AG1487" s="7" t="n">
        <v>30</v>
      </c>
      <c r="AH1487" s="7" t="n">
        <v>10</v>
      </c>
      <c r="AI1487" s="7" t="n">
        <v>10</v>
      </c>
      <c r="AJ1487" s="7" t="n">
        <v>9</v>
      </c>
      <c r="AK1487" s="7" t="n">
        <v>9</v>
      </c>
      <c r="AL1487" s="7" t="n">
        <v>21</v>
      </c>
      <c r="AM1487" s="7" t="n">
        <v>21</v>
      </c>
      <c r="AN1487" s="7" t="n">
        <v>2</v>
      </c>
      <c r="AO1487" s="7" t="n">
        <v>2</v>
      </c>
      <c r="AP1487" s="7" t="n">
        <v>0</v>
      </c>
      <c r="AQ1487" s="7" t="n">
        <v>0</v>
      </c>
      <c r="AR1487" s="6" t="s">
        <v>63</v>
      </c>
      <c r="AS1487" s="6" t="s">
        <v>57</v>
      </c>
      <c r="AT1487" s="9" t="str">
        <f aca="false">HYPERLINK("http://catalog.hathitrust.org/Record/001379140","HathiTrust Record")</f>
        <v>HathiTrust Record</v>
      </c>
      <c r="AU1487" s="9" t="str">
        <f aca="false">HYPERLINK("https://creighton-primo.hosted.exlibrisgroup.com/primo-explore/search?tab=default_tab&amp;search_scope=EVERYTHING&amp;vid=01CRU&amp;lang=en_US&amp;offset=0&amp;query=any,contains,991002523719702656","Catalog Record")</f>
        <v>Catalog Record</v>
      </c>
      <c r="AV1487" s="9" t="str">
        <f aca="false">HYPERLINK("http://www.worldcat.org/oclc/366427","WorldCat Record")</f>
        <v>WorldCat Record</v>
      </c>
      <c r="AW1487" s="6" t="s">
        <v>12045</v>
      </c>
      <c r="AX1487" s="6" t="s">
        <v>12046</v>
      </c>
      <c r="AY1487" s="6" t="s">
        <v>12047</v>
      </c>
      <c r="AZ1487" s="6" t="s">
        <v>12047</v>
      </c>
      <c r="BA1487" s="6" t="s">
        <v>12048</v>
      </c>
      <c r="BB1487" s="28"/>
      <c r="BC1487" s="6" t="s">
        <v>12049</v>
      </c>
      <c r="BE1487" s="15" t="s">
        <v>2145</v>
      </c>
      <c r="BF1487" s="6" t="s">
        <v>12050</v>
      </c>
    </row>
    <row r="1488" customFormat="false" ht="151.5" hidden="false" customHeight="false" outlineLevel="0" collapsed="false">
      <c r="A1488" s="26" t="s">
        <v>63</v>
      </c>
      <c r="B1488" s="27" t="s">
        <v>2129</v>
      </c>
      <c r="C1488" s="27" t="s">
        <v>2130</v>
      </c>
      <c r="D1488" s="27" t="s">
        <v>12051</v>
      </c>
      <c r="E1488" s="27" t="s">
        <v>12052</v>
      </c>
      <c r="F1488" s="27" t="s">
        <v>12053</v>
      </c>
      <c r="G1488" s="28"/>
      <c r="H1488" s="6" t="s">
        <v>63</v>
      </c>
      <c r="I1488" s="6" t="s">
        <v>62</v>
      </c>
      <c r="J1488" s="6" t="s">
        <v>63</v>
      </c>
      <c r="K1488" s="6" t="s">
        <v>63</v>
      </c>
      <c r="L1488" s="6" t="s">
        <v>64</v>
      </c>
      <c r="M1488" s="28"/>
      <c r="N1488" s="27" t="s">
        <v>12054</v>
      </c>
      <c r="O1488" s="6" t="s">
        <v>2665</v>
      </c>
      <c r="P1488" s="28"/>
      <c r="Q1488" s="6" t="s">
        <v>67</v>
      </c>
      <c r="R1488" s="6" t="s">
        <v>500</v>
      </c>
      <c r="S1488" s="28"/>
      <c r="T1488" s="6" t="s">
        <v>6138</v>
      </c>
      <c r="U1488" s="7" t="n">
        <v>5</v>
      </c>
      <c r="V1488" s="7" t="n">
        <v>5</v>
      </c>
      <c r="W1488" s="8" t="s">
        <v>6377</v>
      </c>
      <c r="X1488" s="8" t="s">
        <v>6377</v>
      </c>
      <c r="Y1488" s="8" t="s">
        <v>12020</v>
      </c>
      <c r="Z1488" s="8" t="s">
        <v>12020</v>
      </c>
      <c r="AA1488" s="7" t="n">
        <v>644</v>
      </c>
      <c r="AB1488" s="7" t="n">
        <v>532</v>
      </c>
      <c r="AC1488" s="7" t="n">
        <v>541</v>
      </c>
      <c r="AD1488" s="7" t="n">
        <v>6</v>
      </c>
      <c r="AE1488" s="7" t="n">
        <v>6</v>
      </c>
      <c r="AF1488" s="7" t="n">
        <v>26</v>
      </c>
      <c r="AG1488" s="7" t="n">
        <v>26</v>
      </c>
      <c r="AH1488" s="7" t="n">
        <v>9</v>
      </c>
      <c r="AI1488" s="7" t="n">
        <v>9</v>
      </c>
      <c r="AJ1488" s="7" t="n">
        <v>5</v>
      </c>
      <c r="AK1488" s="7" t="n">
        <v>5</v>
      </c>
      <c r="AL1488" s="7" t="n">
        <v>12</v>
      </c>
      <c r="AM1488" s="7" t="n">
        <v>12</v>
      </c>
      <c r="AN1488" s="7" t="n">
        <v>5</v>
      </c>
      <c r="AO1488" s="7" t="n">
        <v>5</v>
      </c>
      <c r="AP1488" s="7" t="n">
        <v>0</v>
      </c>
      <c r="AQ1488" s="7" t="n">
        <v>0</v>
      </c>
      <c r="AR1488" s="6" t="s">
        <v>63</v>
      </c>
      <c r="AS1488" s="6" t="s">
        <v>57</v>
      </c>
      <c r="AT1488" s="9" t="str">
        <f aca="false">HYPERLINK("http://catalog.hathitrust.org/Record/001379185","HathiTrust Record")</f>
        <v>HathiTrust Record</v>
      </c>
      <c r="AU1488" s="9" t="str">
        <f aca="false">HYPERLINK("https://creighton-primo.hosted.exlibrisgroup.com/primo-explore/search?tab=default_tab&amp;search_scope=EVERYTHING&amp;vid=01CRU&amp;lang=en_US&amp;offset=0&amp;query=any,contains,991001950379702656","Catalog Record")</f>
        <v>Catalog Record</v>
      </c>
      <c r="AV1488" s="9" t="str">
        <f aca="false">HYPERLINK("http://www.worldcat.org/oclc/251885","WorldCat Record")</f>
        <v>WorldCat Record</v>
      </c>
      <c r="AW1488" s="6" t="s">
        <v>12055</v>
      </c>
      <c r="AX1488" s="6" t="s">
        <v>12056</v>
      </c>
      <c r="AY1488" s="6" t="s">
        <v>12057</v>
      </c>
      <c r="AZ1488" s="6" t="s">
        <v>12057</v>
      </c>
      <c r="BA1488" s="6" t="s">
        <v>12058</v>
      </c>
      <c r="BB1488" s="28"/>
      <c r="BC1488" s="6" t="s">
        <v>12059</v>
      </c>
      <c r="BE1488" s="15" t="s">
        <v>2145</v>
      </c>
      <c r="BF1488" s="6" t="s">
        <v>12060</v>
      </c>
    </row>
    <row r="1489" customFormat="false" ht="128.5" hidden="false" customHeight="false" outlineLevel="0" collapsed="false">
      <c r="A1489" s="26" t="s">
        <v>63</v>
      </c>
      <c r="B1489" s="27" t="s">
        <v>2129</v>
      </c>
      <c r="C1489" s="27" t="s">
        <v>2130</v>
      </c>
      <c r="D1489" s="27" t="s">
        <v>12061</v>
      </c>
      <c r="E1489" s="27" t="s">
        <v>12062</v>
      </c>
      <c r="F1489" s="27" t="s">
        <v>12063</v>
      </c>
      <c r="G1489" s="28"/>
      <c r="H1489" s="6" t="s">
        <v>63</v>
      </c>
      <c r="I1489" s="6" t="s">
        <v>62</v>
      </c>
      <c r="J1489" s="6" t="s">
        <v>63</v>
      </c>
      <c r="K1489" s="6" t="s">
        <v>63</v>
      </c>
      <c r="L1489" s="6" t="s">
        <v>64</v>
      </c>
      <c r="M1489" s="28"/>
      <c r="N1489" s="27" t="s">
        <v>6404</v>
      </c>
      <c r="O1489" s="6" t="s">
        <v>221</v>
      </c>
      <c r="P1489" s="28"/>
      <c r="Q1489" s="6" t="s">
        <v>67</v>
      </c>
      <c r="R1489" s="6" t="s">
        <v>384</v>
      </c>
      <c r="S1489" s="28"/>
      <c r="T1489" s="6" t="s">
        <v>6138</v>
      </c>
      <c r="U1489" s="7" t="n">
        <v>1</v>
      </c>
      <c r="V1489" s="7" t="n">
        <v>1</v>
      </c>
      <c r="W1489" s="8" t="s">
        <v>12064</v>
      </c>
      <c r="X1489" s="8" t="s">
        <v>12064</v>
      </c>
      <c r="Y1489" s="8" t="s">
        <v>12020</v>
      </c>
      <c r="Z1489" s="8" t="s">
        <v>12020</v>
      </c>
      <c r="AA1489" s="7" t="n">
        <v>612</v>
      </c>
      <c r="AB1489" s="7" t="n">
        <v>431</v>
      </c>
      <c r="AC1489" s="7" t="n">
        <v>436</v>
      </c>
      <c r="AD1489" s="7" t="n">
        <v>4</v>
      </c>
      <c r="AE1489" s="7" t="n">
        <v>4</v>
      </c>
      <c r="AF1489" s="7" t="n">
        <v>26</v>
      </c>
      <c r="AG1489" s="7" t="n">
        <v>26</v>
      </c>
      <c r="AH1489" s="7" t="n">
        <v>8</v>
      </c>
      <c r="AI1489" s="7" t="n">
        <v>8</v>
      </c>
      <c r="AJ1489" s="7" t="n">
        <v>8</v>
      </c>
      <c r="AK1489" s="7" t="n">
        <v>8</v>
      </c>
      <c r="AL1489" s="7" t="n">
        <v>17</v>
      </c>
      <c r="AM1489" s="7" t="n">
        <v>17</v>
      </c>
      <c r="AN1489" s="7" t="n">
        <v>3</v>
      </c>
      <c r="AO1489" s="7" t="n">
        <v>3</v>
      </c>
      <c r="AP1489" s="7" t="n">
        <v>0</v>
      </c>
      <c r="AQ1489" s="7" t="n">
        <v>0</v>
      </c>
      <c r="AR1489" s="6" t="s">
        <v>63</v>
      </c>
      <c r="AS1489" s="6" t="s">
        <v>63</v>
      </c>
      <c r="AT1489" s="28"/>
      <c r="AU1489" s="9" t="str">
        <f aca="false">HYPERLINK("https://creighton-primo.hosted.exlibrisgroup.com/primo-explore/search?tab=default_tab&amp;search_scope=EVERYTHING&amp;vid=01CRU&amp;lang=en_US&amp;offset=0&amp;query=any,contains,991000025029702656","Catalog Record")</f>
        <v>Catalog Record</v>
      </c>
      <c r="AV1489" s="9" t="str">
        <f aca="false">HYPERLINK("http://www.worldcat.org/oclc/8588289","WorldCat Record")</f>
        <v>WorldCat Record</v>
      </c>
      <c r="AW1489" s="6" t="s">
        <v>12065</v>
      </c>
      <c r="AX1489" s="6" t="s">
        <v>12066</v>
      </c>
      <c r="AY1489" s="6" t="s">
        <v>12067</v>
      </c>
      <c r="AZ1489" s="6" t="s">
        <v>12067</v>
      </c>
      <c r="BA1489" s="6" t="s">
        <v>12068</v>
      </c>
      <c r="BB1489" s="6" t="s">
        <v>12069</v>
      </c>
      <c r="BC1489" s="6" t="s">
        <v>12070</v>
      </c>
      <c r="BE1489" s="15" t="s">
        <v>2145</v>
      </c>
      <c r="BF1489" s="6" t="s">
        <v>12071</v>
      </c>
    </row>
    <row r="1490" customFormat="false" ht="174.5" hidden="false" customHeight="false" outlineLevel="0" collapsed="false">
      <c r="A1490" s="26" t="s">
        <v>63</v>
      </c>
      <c r="B1490" s="27" t="s">
        <v>2129</v>
      </c>
      <c r="C1490" s="27" t="s">
        <v>2130</v>
      </c>
      <c r="D1490" s="27" t="s">
        <v>12072</v>
      </c>
      <c r="E1490" s="27" t="s">
        <v>12073</v>
      </c>
      <c r="F1490" s="27" t="s">
        <v>12074</v>
      </c>
      <c r="G1490" s="6" t="s">
        <v>1586</v>
      </c>
      <c r="H1490" s="6" t="s">
        <v>57</v>
      </c>
      <c r="I1490" s="6" t="s">
        <v>62</v>
      </c>
      <c r="J1490" s="6" t="s">
        <v>63</v>
      </c>
      <c r="K1490" s="6" t="s">
        <v>63</v>
      </c>
      <c r="L1490" s="6" t="s">
        <v>64</v>
      </c>
      <c r="M1490" s="27" t="s">
        <v>12075</v>
      </c>
      <c r="N1490" s="27" t="s">
        <v>12076</v>
      </c>
      <c r="O1490" s="6" t="s">
        <v>3340</v>
      </c>
      <c r="P1490" s="28"/>
      <c r="Q1490" s="6" t="s">
        <v>67</v>
      </c>
      <c r="R1490" s="6" t="s">
        <v>802</v>
      </c>
      <c r="S1490" s="27" t="s">
        <v>12077</v>
      </c>
      <c r="T1490" s="6" t="s">
        <v>6138</v>
      </c>
      <c r="U1490" s="7" t="n">
        <v>0</v>
      </c>
      <c r="V1490" s="7" t="n">
        <v>1</v>
      </c>
      <c r="W1490" s="28"/>
      <c r="X1490" s="8" t="s">
        <v>12078</v>
      </c>
      <c r="Y1490" s="8" t="s">
        <v>12020</v>
      </c>
      <c r="Z1490" s="8" t="s">
        <v>12020</v>
      </c>
      <c r="AA1490" s="7" t="n">
        <v>254</v>
      </c>
      <c r="AB1490" s="7" t="n">
        <v>165</v>
      </c>
      <c r="AC1490" s="7" t="n">
        <v>175</v>
      </c>
      <c r="AD1490" s="7" t="n">
        <v>3</v>
      </c>
      <c r="AE1490" s="7" t="n">
        <v>3</v>
      </c>
      <c r="AF1490" s="7" t="n">
        <v>10</v>
      </c>
      <c r="AG1490" s="7" t="n">
        <v>10</v>
      </c>
      <c r="AH1490" s="7" t="n">
        <v>1</v>
      </c>
      <c r="AI1490" s="7" t="n">
        <v>1</v>
      </c>
      <c r="AJ1490" s="7" t="n">
        <v>3</v>
      </c>
      <c r="AK1490" s="7" t="n">
        <v>3</v>
      </c>
      <c r="AL1490" s="7" t="n">
        <v>8</v>
      </c>
      <c r="AM1490" s="7" t="n">
        <v>8</v>
      </c>
      <c r="AN1490" s="7" t="n">
        <v>2</v>
      </c>
      <c r="AO1490" s="7" t="n">
        <v>2</v>
      </c>
      <c r="AP1490" s="7" t="n">
        <v>0</v>
      </c>
      <c r="AQ1490" s="7" t="n">
        <v>0</v>
      </c>
      <c r="AR1490" s="6" t="s">
        <v>63</v>
      </c>
      <c r="AS1490" s="6" t="s">
        <v>57</v>
      </c>
      <c r="AT1490" s="9" t="str">
        <f aca="false">HYPERLINK("http://catalog.hathitrust.org/Record/000129709","HathiTrust Record")</f>
        <v>HathiTrust Record</v>
      </c>
      <c r="AU1490" s="9" t="str">
        <f aca="false">HYPERLINK("https://creighton-primo.hosted.exlibrisgroup.com/primo-explore/search?tab=default_tab&amp;search_scope=EVERYTHING&amp;vid=01CRU&amp;lang=en_US&amp;offset=0&amp;query=any,contains,991004195729702656","Catalog Record")</f>
        <v>Catalog Record</v>
      </c>
      <c r="AV1490" s="9" t="str">
        <f aca="false">HYPERLINK("http://www.worldcat.org/oclc/2644450","WorldCat Record")</f>
        <v>WorldCat Record</v>
      </c>
      <c r="AW1490" s="6" t="s">
        <v>12079</v>
      </c>
      <c r="AX1490" s="6" t="s">
        <v>12080</v>
      </c>
      <c r="AY1490" s="6" t="s">
        <v>12081</v>
      </c>
      <c r="AZ1490" s="6" t="s">
        <v>12081</v>
      </c>
      <c r="BA1490" s="6" t="s">
        <v>12082</v>
      </c>
      <c r="BB1490" s="6" t="s">
        <v>12083</v>
      </c>
      <c r="BC1490" s="6" t="s">
        <v>12084</v>
      </c>
      <c r="BE1490" s="15" t="s">
        <v>2145</v>
      </c>
      <c r="BF1490" s="6" t="s">
        <v>12085</v>
      </c>
    </row>
    <row r="1491" customFormat="false" ht="174.5" hidden="false" customHeight="false" outlineLevel="0" collapsed="false">
      <c r="A1491" s="26" t="s">
        <v>63</v>
      </c>
      <c r="B1491" s="27" t="s">
        <v>2129</v>
      </c>
      <c r="C1491" s="27" t="s">
        <v>2130</v>
      </c>
      <c r="D1491" s="27" t="s">
        <v>12072</v>
      </c>
      <c r="E1491" s="27" t="s">
        <v>12073</v>
      </c>
      <c r="F1491" s="27" t="s">
        <v>12074</v>
      </c>
      <c r="G1491" s="6" t="s">
        <v>517</v>
      </c>
      <c r="H1491" s="6" t="s">
        <v>57</v>
      </c>
      <c r="I1491" s="6" t="s">
        <v>62</v>
      </c>
      <c r="J1491" s="6" t="s">
        <v>63</v>
      </c>
      <c r="K1491" s="6" t="s">
        <v>63</v>
      </c>
      <c r="L1491" s="6" t="s">
        <v>64</v>
      </c>
      <c r="M1491" s="27" t="s">
        <v>12075</v>
      </c>
      <c r="N1491" s="27" t="s">
        <v>12076</v>
      </c>
      <c r="O1491" s="6" t="s">
        <v>3340</v>
      </c>
      <c r="P1491" s="28"/>
      <c r="Q1491" s="6" t="s">
        <v>67</v>
      </c>
      <c r="R1491" s="6" t="s">
        <v>802</v>
      </c>
      <c r="S1491" s="27" t="s">
        <v>12077</v>
      </c>
      <c r="T1491" s="6" t="s">
        <v>6138</v>
      </c>
      <c r="U1491" s="7" t="n">
        <v>1</v>
      </c>
      <c r="V1491" s="7" t="n">
        <v>1</v>
      </c>
      <c r="W1491" s="8" t="s">
        <v>12078</v>
      </c>
      <c r="X1491" s="8" t="s">
        <v>12078</v>
      </c>
      <c r="Y1491" s="8" t="s">
        <v>12020</v>
      </c>
      <c r="Z1491" s="8" t="s">
        <v>12020</v>
      </c>
      <c r="AA1491" s="7" t="n">
        <v>254</v>
      </c>
      <c r="AB1491" s="7" t="n">
        <v>165</v>
      </c>
      <c r="AC1491" s="7" t="n">
        <v>175</v>
      </c>
      <c r="AD1491" s="7" t="n">
        <v>3</v>
      </c>
      <c r="AE1491" s="7" t="n">
        <v>3</v>
      </c>
      <c r="AF1491" s="7" t="n">
        <v>10</v>
      </c>
      <c r="AG1491" s="7" t="n">
        <v>10</v>
      </c>
      <c r="AH1491" s="7" t="n">
        <v>1</v>
      </c>
      <c r="AI1491" s="7" t="n">
        <v>1</v>
      </c>
      <c r="AJ1491" s="7" t="n">
        <v>3</v>
      </c>
      <c r="AK1491" s="7" t="n">
        <v>3</v>
      </c>
      <c r="AL1491" s="7" t="n">
        <v>8</v>
      </c>
      <c r="AM1491" s="7" t="n">
        <v>8</v>
      </c>
      <c r="AN1491" s="7" t="n">
        <v>2</v>
      </c>
      <c r="AO1491" s="7" t="n">
        <v>2</v>
      </c>
      <c r="AP1491" s="7" t="n">
        <v>0</v>
      </c>
      <c r="AQ1491" s="7" t="n">
        <v>0</v>
      </c>
      <c r="AR1491" s="6" t="s">
        <v>63</v>
      </c>
      <c r="AS1491" s="6" t="s">
        <v>57</v>
      </c>
      <c r="AT1491" s="9" t="str">
        <f aca="false">HYPERLINK("http://catalog.hathitrust.org/Record/000129709","HathiTrust Record")</f>
        <v>HathiTrust Record</v>
      </c>
      <c r="AU1491" s="9" t="str">
        <f aca="false">HYPERLINK("https://creighton-primo.hosted.exlibrisgroup.com/primo-explore/search?tab=default_tab&amp;search_scope=EVERYTHING&amp;vid=01CRU&amp;lang=en_US&amp;offset=0&amp;query=any,contains,991004195729702656","Catalog Record")</f>
        <v>Catalog Record</v>
      </c>
      <c r="AV1491" s="9" t="str">
        <f aca="false">HYPERLINK("http://www.worldcat.org/oclc/2644450","WorldCat Record")</f>
        <v>WorldCat Record</v>
      </c>
      <c r="AW1491" s="6" t="s">
        <v>12079</v>
      </c>
      <c r="AX1491" s="6" t="s">
        <v>12080</v>
      </c>
      <c r="AY1491" s="6" t="s">
        <v>12081</v>
      </c>
      <c r="AZ1491" s="6" t="s">
        <v>12081</v>
      </c>
      <c r="BA1491" s="6" t="s">
        <v>12082</v>
      </c>
      <c r="BB1491" s="6" t="s">
        <v>12083</v>
      </c>
      <c r="BC1491" s="6" t="s">
        <v>12086</v>
      </c>
      <c r="BE1491" s="15" t="s">
        <v>2145</v>
      </c>
      <c r="BF1491" s="6" t="s">
        <v>12087</v>
      </c>
    </row>
    <row r="1492" customFormat="false" ht="105.5" hidden="false" customHeight="false" outlineLevel="0" collapsed="false">
      <c r="A1492" s="26" t="s">
        <v>63</v>
      </c>
      <c r="B1492" s="27" t="s">
        <v>2129</v>
      </c>
      <c r="C1492" s="27" t="s">
        <v>2130</v>
      </c>
      <c r="D1492" s="27" t="s">
        <v>12088</v>
      </c>
      <c r="E1492" s="27" t="s">
        <v>12089</v>
      </c>
      <c r="F1492" s="27" t="s">
        <v>12090</v>
      </c>
      <c r="G1492" s="28"/>
      <c r="H1492" s="6" t="s">
        <v>63</v>
      </c>
      <c r="I1492" s="6" t="s">
        <v>62</v>
      </c>
      <c r="J1492" s="6" t="s">
        <v>63</v>
      </c>
      <c r="K1492" s="6" t="s">
        <v>63</v>
      </c>
      <c r="L1492" s="6" t="s">
        <v>64</v>
      </c>
      <c r="M1492" s="27" t="s">
        <v>12091</v>
      </c>
      <c r="N1492" s="27" t="s">
        <v>12092</v>
      </c>
      <c r="O1492" s="6" t="s">
        <v>195</v>
      </c>
      <c r="P1492" s="28"/>
      <c r="Q1492" s="6" t="s">
        <v>67</v>
      </c>
      <c r="R1492" s="6" t="s">
        <v>68</v>
      </c>
      <c r="S1492" s="27" t="s">
        <v>12093</v>
      </c>
      <c r="T1492" s="6" t="s">
        <v>6138</v>
      </c>
      <c r="U1492" s="7" t="n">
        <v>2</v>
      </c>
      <c r="V1492" s="7" t="n">
        <v>2</v>
      </c>
      <c r="W1492" s="8" t="s">
        <v>12094</v>
      </c>
      <c r="X1492" s="8" t="s">
        <v>12094</v>
      </c>
      <c r="Y1492" s="8" t="s">
        <v>12095</v>
      </c>
      <c r="Z1492" s="8" t="s">
        <v>12095</v>
      </c>
      <c r="AA1492" s="7" t="n">
        <v>1529</v>
      </c>
      <c r="AB1492" s="7" t="n">
        <v>1377</v>
      </c>
      <c r="AC1492" s="7" t="n">
        <v>1573</v>
      </c>
      <c r="AD1492" s="7" t="n">
        <v>5</v>
      </c>
      <c r="AE1492" s="7" t="n">
        <v>6</v>
      </c>
      <c r="AF1492" s="7" t="n">
        <v>42</v>
      </c>
      <c r="AG1492" s="7" t="n">
        <v>47</v>
      </c>
      <c r="AH1492" s="7" t="n">
        <v>19</v>
      </c>
      <c r="AI1492" s="7" t="n">
        <v>22</v>
      </c>
      <c r="AJ1492" s="7" t="n">
        <v>8</v>
      </c>
      <c r="AK1492" s="7" t="n">
        <v>8</v>
      </c>
      <c r="AL1492" s="7" t="n">
        <v>23</v>
      </c>
      <c r="AM1492" s="7" t="n">
        <v>26</v>
      </c>
      <c r="AN1492" s="7" t="n">
        <v>4</v>
      </c>
      <c r="AO1492" s="7" t="n">
        <v>4</v>
      </c>
      <c r="AP1492" s="7" t="n">
        <v>0</v>
      </c>
      <c r="AQ1492" s="7" t="n">
        <v>0</v>
      </c>
      <c r="AR1492" s="6" t="s">
        <v>63</v>
      </c>
      <c r="AS1492" s="6" t="s">
        <v>63</v>
      </c>
      <c r="AT1492" s="9" t="str">
        <f aca="false">HYPERLINK("http://catalog.hathitrust.org/Record/001385511","HathiTrust Record")</f>
        <v>HathiTrust Record</v>
      </c>
      <c r="AU1492" s="9" t="str">
        <f aca="false">HYPERLINK("https://creighton-primo.hosted.exlibrisgroup.com/primo-explore/search?tab=default_tab&amp;search_scope=EVERYTHING&amp;vid=01CRU&amp;lang=en_US&amp;offset=0&amp;query=any,contains,991002288839702656","Catalog Record")</f>
        <v>Catalog Record</v>
      </c>
      <c r="AV1492" s="9" t="str">
        <f aca="false">HYPERLINK("http://www.worldcat.org/oclc/312406","WorldCat Record")</f>
        <v>WorldCat Record</v>
      </c>
      <c r="AW1492" s="6" t="s">
        <v>12096</v>
      </c>
      <c r="AX1492" s="6" t="s">
        <v>12097</v>
      </c>
      <c r="AY1492" s="6" t="s">
        <v>12098</v>
      </c>
      <c r="AZ1492" s="6" t="s">
        <v>12098</v>
      </c>
      <c r="BA1492" s="6" t="s">
        <v>12099</v>
      </c>
      <c r="BB1492" s="28"/>
      <c r="BC1492" s="6" t="s">
        <v>12100</v>
      </c>
      <c r="BE1492" s="15" t="s">
        <v>2145</v>
      </c>
      <c r="BF1492" s="6" t="s">
        <v>12101</v>
      </c>
    </row>
    <row r="1493" customFormat="false" ht="197.5" hidden="false" customHeight="false" outlineLevel="0" collapsed="false">
      <c r="A1493" s="26" t="s">
        <v>63</v>
      </c>
      <c r="B1493" s="27" t="s">
        <v>2129</v>
      </c>
      <c r="C1493" s="27" t="s">
        <v>2130</v>
      </c>
      <c r="D1493" s="27" t="s">
        <v>12102</v>
      </c>
      <c r="E1493" s="27" t="s">
        <v>12103</v>
      </c>
      <c r="F1493" s="27" t="s">
        <v>12104</v>
      </c>
      <c r="G1493" s="28"/>
      <c r="H1493" s="6" t="s">
        <v>63</v>
      </c>
      <c r="I1493" s="6" t="s">
        <v>62</v>
      </c>
      <c r="J1493" s="6" t="s">
        <v>63</v>
      </c>
      <c r="K1493" s="6" t="s">
        <v>63</v>
      </c>
      <c r="L1493" s="6" t="s">
        <v>64</v>
      </c>
      <c r="M1493" s="27" t="s">
        <v>12091</v>
      </c>
      <c r="N1493" s="27" t="s">
        <v>12105</v>
      </c>
      <c r="O1493" s="6" t="s">
        <v>264</v>
      </c>
      <c r="P1493" s="27" t="s">
        <v>255</v>
      </c>
      <c r="Q1493" s="6" t="s">
        <v>67</v>
      </c>
      <c r="R1493" s="6" t="s">
        <v>68</v>
      </c>
      <c r="S1493" s="27" t="s">
        <v>12106</v>
      </c>
      <c r="T1493" s="6" t="s">
        <v>6138</v>
      </c>
      <c r="U1493" s="7" t="n">
        <v>9</v>
      </c>
      <c r="V1493" s="7" t="n">
        <v>9</v>
      </c>
      <c r="W1493" s="8" t="s">
        <v>12107</v>
      </c>
      <c r="X1493" s="8" t="s">
        <v>12107</v>
      </c>
      <c r="Y1493" s="8" t="s">
        <v>12095</v>
      </c>
      <c r="Z1493" s="8" t="s">
        <v>12095</v>
      </c>
      <c r="AA1493" s="7" t="n">
        <v>568</v>
      </c>
      <c r="AB1493" s="7" t="n">
        <v>482</v>
      </c>
      <c r="AC1493" s="7" t="n">
        <v>490</v>
      </c>
      <c r="AD1493" s="7" t="n">
        <v>4</v>
      </c>
      <c r="AE1493" s="7" t="n">
        <v>4</v>
      </c>
      <c r="AF1493" s="7" t="n">
        <v>29</v>
      </c>
      <c r="AG1493" s="7" t="n">
        <v>29</v>
      </c>
      <c r="AH1493" s="7" t="n">
        <v>11</v>
      </c>
      <c r="AI1493" s="7" t="n">
        <v>11</v>
      </c>
      <c r="AJ1493" s="7" t="n">
        <v>6</v>
      </c>
      <c r="AK1493" s="7" t="n">
        <v>6</v>
      </c>
      <c r="AL1493" s="7" t="n">
        <v>19</v>
      </c>
      <c r="AM1493" s="7" t="n">
        <v>19</v>
      </c>
      <c r="AN1493" s="7" t="n">
        <v>2</v>
      </c>
      <c r="AO1493" s="7" t="n">
        <v>2</v>
      </c>
      <c r="AP1493" s="7" t="n">
        <v>0</v>
      </c>
      <c r="AQ1493" s="7" t="n">
        <v>0</v>
      </c>
      <c r="AR1493" s="6" t="s">
        <v>63</v>
      </c>
      <c r="AS1493" s="6" t="s">
        <v>63</v>
      </c>
      <c r="AT1493" s="28"/>
      <c r="AU1493" s="9" t="str">
        <f aca="false">HYPERLINK("https://creighton-primo.hosted.exlibrisgroup.com/primo-explore/search?tab=default_tab&amp;search_scope=EVERYTHING&amp;vid=01CRU&amp;lang=en_US&amp;offset=0&amp;query=any,contains,991000147999702656","Catalog Record")</f>
        <v>Catalog Record</v>
      </c>
      <c r="AV1493" s="9" t="str">
        <f aca="false">HYPERLINK("http://www.worldcat.org/oclc/59347","WorldCat Record")</f>
        <v>WorldCat Record</v>
      </c>
      <c r="AW1493" s="6" t="s">
        <v>12108</v>
      </c>
      <c r="AX1493" s="6" t="s">
        <v>12109</v>
      </c>
      <c r="AY1493" s="6" t="s">
        <v>12110</v>
      </c>
      <c r="AZ1493" s="6" t="s">
        <v>12110</v>
      </c>
      <c r="BA1493" s="6" t="s">
        <v>12111</v>
      </c>
      <c r="BB1493" s="28"/>
      <c r="BC1493" s="6" t="s">
        <v>12112</v>
      </c>
      <c r="BE1493" s="15" t="s">
        <v>2145</v>
      </c>
      <c r="BF1493" s="6" t="s">
        <v>12113</v>
      </c>
    </row>
    <row r="1494" customFormat="false" ht="105.5" hidden="false" customHeight="false" outlineLevel="0" collapsed="false">
      <c r="A1494" s="26" t="s">
        <v>63</v>
      </c>
      <c r="B1494" s="27" t="s">
        <v>2129</v>
      </c>
      <c r="C1494" s="27" t="s">
        <v>2130</v>
      </c>
      <c r="D1494" s="27" t="s">
        <v>12114</v>
      </c>
      <c r="E1494" s="27" t="s">
        <v>12115</v>
      </c>
      <c r="F1494" s="27" t="s">
        <v>12116</v>
      </c>
      <c r="G1494" s="28"/>
      <c r="H1494" s="6" t="s">
        <v>63</v>
      </c>
      <c r="I1494" s="6" t="s">
        <v>62</v>
      </c>
      <c r="J1494" s="6" t="s">
        <v>63</v>
      </c>
      <c r="K1494" s="6" t="s">
        <v>63</v>
      </c>
      <c r="L1494" s="6" t="s">
        <v>64</v>
      </c>
      <c r="M1494" s="27" t="s">
        <v>12091</v>
      </c>
      <c r="N1494" s="27" t="s">
        <v>12117</v>
      </c>
      <c r="O1494" s="6" t="s">
        <v>233</v>
      </c>
      <c r="P1494" s="28"/>
      <c r="Q1494" s="6" t="s">
        <v>67</v>
      </c>
      <c r="R1494" s="6" t="s">
        <v>68</v>
      </c>
      <c r="S1494" s="28"/>
      <c r="T1494" s="6" t="s">
        <v>6138</v>
      </c>
      <c r="U1494" s="7" t="n">
        <v>2</v>
      </c>
      <c r="V1494" s="7" t="n">
        <v>2</v>
      </c>
      <c r="W1494" s="8" t="s">
        <v>12094</v>
      </c>
      <c r="X1494" s="8" t="s">
        <v>12094</v>
      </c>
      <c r="Y1494" s="8" t="s">
        <v>12095</v>
      </c>
      <c r="Z1494" s="8" t="s">
        <v>12095</v>
      </c>
      <c r="AA1494" s="7" t="n">
        <v>341</v>
      </c>
      <c r="AB1494" s="7" t="n">
        <v>318</v>
      </c>
      <c r="AC1494" s="7" t="n">
        <v>326</v>
      </c>
      <c r="AD1494" s="7" t="n">
        <v>5</v>
      </c>
      <c r="AE1494" s="7" t="n">
        <v>6</v>
      </c>
      <c r="AF1494" s="7" t="n">
        <v>22</v>
      </c>
      <c r="AG1494" s="7" t="n">
        <v>22</v>
      </c>
      <c r="AH1494" s="7" t="n">
        <v>7</v>
      </c>
      <c r="AI1494" s="7" t="n">
        <v>7</v>
      </c>
      <c r="AJ1494" s="7" t="n">
        <v>2</v>
      </c>
      <c r="AK1494" s="7" t="n">
        <v>2</v>
      </c>
      <c r="AL1494" s="7" t="n">
        <v>11</v>
      </c>
      <c r="AM1494" s="7" t="n">
        <v>11</v>
      </c>
      <c r="AN1494" s="7" t="n">
        <v>3</v>
      </c>
      <c r="AO1494" s="7" t="n">
        <v>3</v>
      </c>
      <c r="AP1494" s="7" t="n">
        <v>1</v>
      </c>
      <c r="AQ1494" s="7" t="n">
        <v>1</v>
      </c>
      <c r="AR1494" s="6" t="s">
        <v>57</v>
      </c>
      <c r="AS1494" s="6" t="s">
        <v>63</v>
      </c>
      <c r="AT1494" s="9" t="str">
        <f aca="false">HYPERLINK("http://catalog.hathitrust.org/Record/001396228","HathiTrust Record")</f>
        <v>HathiTrust Record</v>
      </c>
      <c r="AU1494" s="9" t="str">
        <f aca="false">HYPERLINK("https://creighton-primo.hosted.exlibrisgroup.com/primo-explore/search?tab=default_tab&amp;search_scope=EVERYTHING&amp;vid=01CRU&amp;lang=en_US&amp;offset=0&amp;query=any,contains,991003186579702656","Catalog Record")</f>
        <v>Catalog Record</v>
      </c>
      <c r="AV1494" s="9" t="str">
        <f aca="false">HYPERLINK("http://www.worldcat.org/oclc/713046","WorldCat Record")</f>
        <v>WorldCat Record</v>
      </c>
      <c r="AW1494" s="6" t="s">
        <v>12118</v>
      </c>
      <c r="AX1494" s="6" t="s">
        <v>12119</v>
      </c>
      <c r="AY1494" s="6" t="s">
        <v>12120</v>
      </c>
      <c r="AZ1494" s="6" t="s">
        <v>12120</v>
      </c>
      <c r="BA1494" s="6" t="s">
        <v>12121</v>
      </c>
      <c r="BB1494" s="28"/>
      <c r="BC1494" s="6" t="s">
        <v>12122</v>
      </c>
      <c r="BE1494" s="15" t="s">
        <v>2145</v>
      </c>
      <c r="BF1494" s="6" t="s">
        <v>12123</v>
      </c>
    </row>
    <row r="1495" customFormat="false" ht="163" hidden="false" customHeight="false" outlineLevel="0" collapsed="false">
      <c r="A1495" s="26" t="s">
        <v>63</v>
      </c>
      <c r="B1495" s="27" t="s">
        <v>2129</v>
      </c>
      <c r="C1495" s="27" t="s">
        <v>2130</v>
      </c>
      <c r="D1495" s="27" t="s">
        <v>12124</v>
      </c>
      <c r="E1495" s="27" t="s">
        <v>12125</v>
      </c>
      <c r="F1495" s="27" t="s">
        <v>12126</v>
      </c>
      <c r="G1495" s="28"/>
      <c r="H1495" s="6" t="s">
        <v>63</v>
      </c>
      <c r="I1495" s="6" t="s">
        <v>62</v>
      </c>
      <c r="J1495" s="6" t="s">
        <v>63</v>
      </c>
      <c r="K1495" s="6" t="s">
        <v>63</v>
      </c>
      <c r="L1495" s="6" t="s">
        <v>64</v>
      </c>
      <c r="M1495" s="27" t="s">
        <v>12091</v>
      </c>
      <c r="N1495" s="27" t="s">
        <v>12127</v>
      </c>
      <c r="O1495" s="6" t="s">
        <v>12128</v>
      </c>
      <c r="P1495" s="27" t="s">
        <v>12129</v>
      </c>
      <c r="Q1495" s="6" t="s">
        <v>67</v>
      </c>
      <c r="R1495" s="6" t="s">
        <v>384</v>
      </c>
      <c r="S1495" s="28"/>
      <c r="T1495" s="6" t="s">
        <v>6138</v>
      </c>
      <c r="U1495" s="7" t="n">
        <v>4</v>
      </c>
      <c r="V1495" s="7" t="n">
        <v>4</v>
      </c>
      <c r="W1495" s="8" t="s">
        <v>12130</v>
      </c>
      <c r="X1495" s="8" t="s">
        <v>12130</v>
      </c>
      <c r="Y1495" s="8" t="s">
        <v>12095</v>
      </c>
      <c r="Z1495" s="8" t="s">
        <v>12095</v>
      </c>
      <c r="AA1495" s="7" t="n">
        <v>32</v>
      </c>
      <c r="AB1495" s="7" t="n">
        <v>32</v>
      </c>
      <c r="AC1495" s="7" t="n">
        <v>1446</v>
      </c>
      <c r="AD1495" s="7" t="n">
        <v>1</v>
      </c>
      <c r="AE1495" s="7" t="n">
        <v>24</v>
      </c>
      <c r="AF1495" s="7" t="n">
        <v>1</v>
      </c>
      <c r="AG1495" s="7" t="n">
        <v>65</v>
      </c>
      <c r="AH1495" s="7" t="n">
        <v>0</v>
      </c>
      <c r="AI1495" s="7" t="n">
        <v>24</v>
      </c>
      <c r="AJ1495" s="7" t="n">
        <v>1</v>
      </c>
      <c r="AK1495" s="7" t="n">
        <v>11</v>
      </c>
      <c r="AL1495" s="7" t="n">
        <v>1</v>
      </c>
      <c r="AM1495" s="7" t="n">
        <v>27</v>
      </c>
      <c r="AN1495" s="7" t="n">
        <v>0</v>
      </c>
      <c r="AO1495" s="7" t="n">
        <v>15</v>
      </c>
      <c r="AP1495" s="7" t="n">
        <v>0</v>
      </c>
      <c r="AQ1495" s="7" t="n">
        <v>2</v>
      </c>
      <c r="AR1495" s="6" t="s">
        <v>63</v>
      </c>
      <c r="AS1495" s="6" t="s">
        <v>63</v>
      </c>
      <c r="AT1495" s="28"/>
      <c r="AU1495" s="9" t="str">
        <f aca="false">HYPERLINK("https://creighton-primo.hosted.exlibrisgroup.com/primo-explore/search?tab=default_tab&amp;search_scope=EVERYTHING&amp;vid=01CRU&amp;lang=en_US&amp;offset=0&amp;query=any,contains,991004570519702656","Catalog Record")</f>
        <v>Catalog Record</v>
      </c>
      <c r="AV1495" s="9" t="str">
        <f aca="false">HYPERLINK("http://www.worldcat.org/oclc/4023677","WorldCat Record")</f>
        <v>WorldCat Record</v>
      </c>
      <c r="AW1495" s="6" t="s">
        <v>12131</v>
      </c>
      <c r="AX1495" s="6" t="s">
        <v>12132</v>
      </c>
      <c r="AY1495" s="6" t="s">
        <v>12133</v>
      </c>
      <c r="AZ1495" s="6" t="s">
        <v>12133</v>
      </c>
      <c r="BA1495" s="6" t="s">
        <v>12134</v>
      </c>
      <c r="BB1495" s="28"/>
      <c r="BC1495" s="6" t="s">
        <v>12135</v>
      </c>
      <c r="BE1495" s="15" t="s">
        <v>2145</v>
      </c>
      <c r="BF1495" s="6" t="s">
        <v>12136</v>
      </c>
    </row>
    <row r="1496" customFormat="false" ht="243.5" hidden="false" customHeight="false" outlineLevel="0" collapsed="false">
      <c r="A1496" s="26" t="s">
        <v>63</v>
      </c>
      <c r="B1496" s="27" t="s">
        <v>2129</v>
      </c>
      <c r="C1496" s="27" t="s">
        <v>2130</v>
      </c>
      <c r="D1496" s="27" t="s">
        <v>12137</v>
      </c>
      <c r="E1496" s="27" t="s">
        <v>12138</v>
      </c>
      <c r="F1496" s="27" t="s">
        <v>12139</v>
      </c>
      <c r="G1496" s="28"/>
      <c r="H1496" s="6" t="s">
        <v>63</v>
      </c>
      <c r="I1496" s="6" t="s">
        <v>62</v>
      </c>
      <c r="J1496" s="6" t="s">
        <v>57</v>
      </c>
      <c r="K1496" s="6" t="s">
        <v>63</v>
      </c>
      <c r="L1496" s="6" t="s">
        <v>64</v>
      </c>
      <c r="M1496" s="27" t="s">
        <v>12140</v>
      </c>
      <c r="N1496" s="27" t="s">
        <v>12141</v>
      </c>
      <c r="O1496" s="6" t="s">
        <v>264</v>
      </c>
      <c r="P1496" s="28"/>
      <c r="Q1496" s="6" t="s">
        <v>67</v>
      </c>
      <c r="R1496" s="6" t="s">
        <v>384</v>
      </c>
      <c r="S1496" s="27" t="s">
        <v>12142</v>
      </c>
      <c r="T1496" s="6" t="s">
        <v>6138</v>
      </c>
      <c r="U1496" s="7" t="n">
        <v>0</v>
      </c>
      <c r="V1496" s="7" t="n">
        <v>0</v>
      </c>
      <c r="W1496" s="8" t="s">
        <v>12143</v>
      </c>
      <c r="X1496" s="8" t="s">
        <v>12143</v>
      </c>
      <c r="Y1496" s="8" t="s">
        <v>12095</v>
      </c>
      <c r="Z1496" s="8" t="s">
        <v>12144</v>
      </c>
      <c r="AA1496" s="7" t="n">
        <v>847</v>
      </c>
      <c r="AB1496" s="7" t="n">
        <v>677</v>
      </c>
      <c r="AC1496" s="7" t="n">
        <v>743</v>
      </c>
      <c r="AD1496" s="7" t="n">
        <v>6</v>
      </c>
      <c r="AE1496" s="7" t="n">
        <v>6</v>
      </c>
      <c r="AF1496" s="7" t="n">
        <v>38</v>
      </c>
      <c r="AG1496" s="7" t="n">
        <v>40</v>
      </c>
      <c r="AH1496" s="7" t="n">
        <v>17</v>
      </c>
      <c r="AI1496" s="7" t="n">
        <v>17</v>
      </c>
      <c r="AJ1496" s="7" t="n">
        <v>8</v>
      </c>
      <c r="AK1496" s="7" t="n">
        <v>9</v>
      </c>
      <c r="AL1496" s="7" t="n">
        <v>21</v>
      </c>
      <c r="AM1496" s="7" t="n">
        <v>21</v>
      </c>
      <c r="AN1496" s="7" t="n">
        <v>2</v>
      </c>
      <c r="AO1496" s="7" t="n">
        <v>2</v>
      </c>
      <c r="AP1496" s="7" t="n">
        <v>1</v>
      </c>
      <c r="AQ1496" s="7" t="n">
        <v>2</v>
      </c>
      <c r="AR1496" s="6" t="s">
        <v>63</v>
      </c>
      <c r="AS1496" s="6" t="s">
        <v>63</v>
      </c>
      <c r="AT1496" s="28"/>
      <c r="AU1496" s="9" t="str">
        <f aca="false">HYPERLINK("https://creighton-primo.hosted.exlibrisgroup.com/primo-explore/search?tab=default_tab&amp;search_scope=EVERYTHING&amp;vid=01CRU&amp;lang=en_US&amp;offset=0&amp;query=any,contains,991001714609702656","Catalog Record")</f>
        <v>Catalog Record</v>
      </c>
      <c r="AV1496" s="9" t="str">
        <f aca="false">HYPERLINK("http://www.worldcat.org/oclc/105683","WorldCat Record")</f>
        <v>WorldCat Record</v>
      </c>
      <c r="AW1496" s="6" t="s">
        <v>12145</v>
      </c>
      <c r="AX1496" s="6" t="s">
        <v>12146</v>
      </c>
      <c r="AY1496" s="6" t="s">
        <v>12147</v>
      </c>
      <c r="AZ1496" s="6" t="s">
        <v>12147</v>
      </c>
      <c r="BA1496" s="6" t="s">
        <v>12148</v>
      </c>
      <c r="BB1496" s="6" t="s">
        <v>12149</v>
      </c>
      <c r="BC1496" s="6" t="s">
        <v>12150</v>
      </c>
      <c r="BE1496" s="15" t="s">
        <v>2145</v>
      </c>
      <c r="BF1496" s="6" t="s">
        <v>12151</v>
      </c>
    </row>
    <row r="1497" customFormat="false" ht="209" hidden="false" customHeight="false" outlineLevel="0" collapsed="false">
      <c r="A1497" s="26" t="s">
        <v>63</v>
      </c>
      <c r="B1497" s="27" t="s">
        <v>2129</v>
      </c>
      <c r="C1497" s="27" t="s">
        <v>2130</v>
      </c>
      <c r="D1497" s="27" t="s">
        <v>12152</v>
      </c>
      <c r="E1497" s="27" t="s">
        <v>12153</v>
      </c>
      <c r="F1497" s="27" t="s">
        <v>12154</v>
      </c>
      <c r="G1497" s="28"/>
      <c r="H1497" s="6" t="s">
        <v>63</v>
      </c>
      <c r="I1497" s="6" t="s">
        <v>62</v>
      </c>
      <c r="J1497" s="6" t="s">
        <v>63</v>
      </c>
      <c r="K1497" s="6" t="s">
        <v>63</v>
      </c>
      <c r="L1497" s="6" t="s">
        <v>64</v>
      </c>
      <c r="M1497" s="27" t="s">
        <v>12155</v>
      </c>
      <c r="N1497" s="27" t="s">
        <v>12156</v>
      </c>
      <c r="O1497" s="6" t="s">
        <v>2893</v>
      </c>
      <c r="P1497" s="27" t="s">
        <v>255</v>
      </c>
      <c r="Q1497" s="6" t="s">
        <v>67</v>
      </c>
      <c r="R1497" s="6" t="s">
        <v>68</v>
      </c>
      <c r="S1497" s="28"/>
      <c r="T1497" s="6" t="s">
        <v>6138</v>
      </c>
      <c r="U1497" s="7" t="n">
        <v>4</v>
      </c>
      <c r="V1497" s="7" t="n">
        <v>4</v>
      </c>
      <c r="W1497" s="8" t="s">
        <v>12157</v>
      </c>
      <c r="X1497" s="8" t="s">
        <v>12157</v>
      </c>
      <c r="Y1497" s="8" t="s">
        <v>12095</v>
      </c>
      <c r="Z1497" s="8" t="s">
        <v>12095</v>
      </c>
      <c r="AA1497" s="7" t="n">
        <v>464</v>
      </c>
      <c r="AB1497" s="7" t="n">
        <v>377</v>
      </c>
      <c r="AC1497" s="7" t="n">
        <v>429</v>
      </c>
      <c r="AD1497" s="7" t="n">
        <v>3</v>
      </c>
      <c r="AE1497" s="7" t="n">
        <v>3</v>
      </c>
      <c r="AF1497" s="7" t="n">
        <v>20</v>
      </c>
      <c r="AG1497" s="7" t="n">
        <v>23</v>
      </c>
      <c r="AH1497" s="7" t="n">
        <v>4</v>
      </c>
      <c r="AI1497" s="7" t="n">
        <v>6</v>
      </c>
      <c r="AJ1497" s="7" t="n">
        <v>4</v>
      </c>
      <c r="AK1497" s="7" t="n">
        <v>5</v>
      </c>
      <c r="AL1497" s="7" t="n">
        <v>14</v>
      </c>
      <c r="AM1497" s="7" t="n">
        <v>14</v>
      </c>
      <c r="AN1497" s="7" t="n">
        <v>2</v>
      </c>
      <c r="AO1497" s="7" t="n">
        <v>2</v>
      </c>
      <c r="AP1497" s="7" t="n">
        <v>0</v>
      </c>
      <c r="AQ1497" s="7" t="n">
        <v>0</v>
      </c>
      <c r="AR1497" s="6" t="s">
        <v>63</v>
      </c>
      <c r="AS1497" s="6" t="s">
        <v>57</v>
      </c>
      <c r="AT1497" s="9" t="str">
        <f aca="false">HYPERLINK("http://catalog.hathitrust.org/Record/001396233","HathiTrust Record")</f>
        <v>HathiTrust Record</v>
      </c>
      <c r="AU1497" s="9" t="str">
        <f aca="false">HYPERLINK("https://creighton-primo.hosted.exlibrisgroup.com/primo-explore/search?tab=default_tab&amp;search_scope=EVERYTHING&amp;vid=01CRU&amp;lang=en_US&amp;offset=0&amp;query=any,contains,991003496459702656","Catalog Record")</f>
        <v>Catalog Record</v>
      </c>
      <c r="AV1497" s="9" t="str">
        <f aca="false">HYPERLINK("http://www.worldcat.org/oclc/1046780","WorldCat Record")</f>
        <v>WorldCat Record</v>
      </c>
      <c r="AW1497" s="6" t="s">
        <v>12158</v>
      </c>
      <c r="AX1497" s="6" t="s">
        <v>12159</v>
      </c>
      <c r="AY1497" s="6" t="s">
        <v>12160</v>
      </c>
      <c r="AZ1497" s="6" t="s">
        <v>12160</v>
      </c>
      <c r="BA1497" s="6" t="s">
        <v>12161</v>
      </c>
      <c r="BB1497" s="6" t="s">
        <v>12162</v>
      </c>
      <c r="BC1497" s="6" t="s">
        <v>12163</v>
      </c>
      <c r="BE1497" s="15" t="s">
        <v>2145</v>
      </c>
      <c r="BF1497" s="6" t="s">
        <v>12164</v>
      </c>
    </row>
    <row r="1498" customFormat="false" ht="128.5" hidden="false" customHeight="false" outlineLevel="0" collapsed="false">
      <c r="A1498" s="26" t="s">
        <v>63</v>
      </c>
      <c r="B1498" s="27" t="s">
        <v>2129</v>
      </c>
      <c r="C1498" s="27" t="s">
        <v>2130</v>
      </c>
      <c r="D1498" s="27" t="s">
        <v>12165</v>
      </c>
      <c r="E1498" s="27" t="s">
        <v>12166</v>
      </c>
      <c r="F1498" s="27" t="s">
        <v>12167</v>
      </c>
      <c r="G1498" s="28"/>
      <c r="H1498" s="6" t="s">
        <v>63</v>
      </c>
      <c r="I1498" s="6" t="s">
        <v>62</v>
      </c>
      <c r="J1498" s="6" t="s">
        <v>63</v>
      </c>
      <c r="K1498" s="6" t="s">
        <v>63</v>
      </c>
      <c r="L1498" s="6" t="s">
        <v>64</v>
      </c>
      <c r="M1498" s="27" t="s">
        <v>12168</v>
      </c>
      <c r="N1498" s="27" t="s">
        <v>12169</v>
      </c>
      <c r="O1498" s="6" t="s">
        <v>7428</v>
      </c>
      <c r="P1498" s="28"/>
      <c r="Q1498" s="6" t="s">
        <v>67</v>
      </c>
      <c r="R1498" s="6" t="s">
        <v>802</v>
      </c>
      <c r="S1498" s="28"/>
      <c r="T1498" s="6" t="s">
        <v>6138</v>
      </c>
      <c r="U1498" s="7" t="n">
        <v>2</v>
      </c>
      <c r="V1498" s="7" t="n">
        <v>2</v>
      </c>
      <c r="W1498" s="8" t="s">
        <v>3662</v>
      </c>
      <c r="X1498" s="8" t="s">
        <v>3662</v>
      </c>
      <c r="Y1498" s="8" t="s">
        <v>12095</v>
      </c>
      <c r="Z1498" s="8" t="s">
        <v>12095</v>
      </c>
      <c r="AA1498" s="7" t="n">
        <v>274</v>
      </c>
      <c r="AB1498" s="7" t="n">
        <v>185</v>
      </c>
      <c r="AC1498" s="7" t="n">
        <v>192</v>
      </c>
      <c r="AD1498" s="7" t="n">
        <v>2</v>
      </c>
      <c r="AE1498" s="7" t="n">
        <v>2</v>
      </c>
      <c r="AF1498" s="7" t="n">
        <v>15</v>
      </c>
      <c r="AG1498" s="7" t="n">
        <v>16</v>
      </c>
      <c r="AH1498" s="7" t="n">
        <v>2</v>
      </c>
      <c r="AI1498" s="7" t="n">
        <v>3</v>
      </c>
      <c r="AJ1498" s="7" t="n">
        <v>5</v>
      </c>
      <c r="AK1498" s="7" t="n">
        <v>5</v>
      </c>
      <c r="AL1498" s="7" t="n">
        <v>10</v>
      </c>
      <c r="AM1498" s="7" t="n">
        <v>11</v>
      </c>
      <c r="AN1498" s="7" t="n">
        <v>1</v>
      </c>
      <c r="AO1498" s="7" t="n">
        <v>1</v>
      </c>
      <c r="AP1498" s="7" t="n">
        <v>0</v>
      </c>
      <c r="AQ1498" s="7" t="n">
        <v>0</v>
      </c>
      <c r="AR1498" s="6" t="s">
        <v>63</v>
      </c>
      <c r="AS1498" s="6" t="s">
        <v>63</v>
      </c>
      <c r="AT1498" s="28"/>
      <c r="AU1498" s="9" t="str">
        <f aca="false">HYPERLINK("https://creighton-primo.hosted.exlibrisgroup.com/primo-explore/search?tab=default_tab&amp;search_scope=EVERYTHING&amp;vid=01CRU&amp;lang=en_US&amp;offset=0&amp;query=any,contains,991004175339702656","Catalog Record")</f>
        <v>Catalog Record</v>
      </c>
      <c r="AV1498" s="9" t="str">
        <f aca="false">HYPERLINK("http://www.worldcat.org/oclc/2595790","WorldCat Record")</f>
        <v>WorldCat Record</v>
      </c>
      <c r="AW1498" s="6" t="s">
        <v>12170</v>
      </c>
      <c r="AX1498" s="6" t="s">
        <v>12171</v>
      </c>
      <c r="AY1498" s="6" t="s">
        <v>12172</v>
      </c>
      <c r="AZ1498" s="6" t="s">
        <v>12172</v>
      </c>
      <c r="BA1498" s="6" t="s">
        <v>12173</v>
      </c>
      <c r="BB1498" s="6" t="s">
        <v>12174</v>
      </c>
      <c r="BC1498" s="6" t="s">
        <v>12175</v>
      </c>
      <c r="BE1498" s="15" t="s">
        <v>2145</v>
      </c>
      <c r="BF1498" s="6" t="s">
        <v>12176</v>
      </c>
    </row>
    <row r="1499" customFormat="false" ht="163" hidden="false" customHeight="false" outlineLevel="0" collapsed="false">
      <c r="A1499" s="26" t="s">
        <v>63</v>
      </c>
      <c r="B1499" s="27" t="s">
        <v>2129</v>
      </c>
      <c r="C1499" s="27" t="s">
        <v>2130</v>
      </c>
      <c r="D1499" s="27" t="s">
        <v>12177</v>
      </c>
      <c r="E1499" s="27" t="s">
        <v>12178</v>
      </c>
      <c r="F1499" s="27" t="s">
        <v>12179</v>
      </c>
      <c r="G1499" s="28"/>
      <c r="H1499" s="6" t="s">
        <v>63</v>
      </c>
      <c r="I1499" s="6" t="s">
        <v>62</v>
      </c>
      <c r="J1499" s="6" t="s">
        <v>63</v>
      </c>
      <c r="K1499" s="6" t="s">
        <v>63</v>
      </c>
      <c r="L1499" s="6" t="s">
        <v>64</v>
      </c>
      <c r="M1499" s="27" t="s">
        <v>12180</v>
      </c>
      <c r="N1499" s="27" t="s">
        <v>12181</v>
      </c>
      <c r="O1499" s="6" t="s">
        <v>2811</v>
      </c>
      <c r="P1499" s="28"/>
      <c r="Q1499" s="6" t="s">
        <v>67</v>
      </c>
      <c r="R1499" s="6" t="s">
        <v>68</v>
      </c>
      <c r="S1499" s="28"/>
      <c r="T1499" s="6" t="s">
        <v>6138</v>
      </c>
      <c r="U1499" s="7" t="n">
        <v>6</v>
      </c>
      <c r="V1499" s="7" t="n">
        <v>6</v>
      </c>
      <c r="W1499" s="8" t="s">
        <v>3727</v>
      </c>
      <c r="X1499" s="8" t="s">
        <v>3727</v>
      </c>
      <c r="Y1499" s="8" t="s">
        <v>12095</v>
      </c>
      <c r="Z1499" s="8" t="s">
        <v>12095</v>
      </c>
      <c r="AA1499" s="7" t="n">
        <v>789</v>
      </c>
      <c r="AB1499" s="7" t="n">
        <v>694</v>
      </c>
      <c r="AC1499" s="7" t="n">
        <v>950</v>
      </c>
      <c r="AD1499" s="7" t="n">
        <v>9</v>
      </c>
      <c r="AE1499" s="7" t="n">
        <v>11</v>
      </c>
      <c r="AF1499" s="7" t="n">
        <v>38</v>
      </c>
      <c r="AG1499" s="7" t="n">
        <v>49</v>
      </c>
      <c r="AH1499" s="7" t="n">
        <v>13</v>
      </c>
      <c r="AI1499" s="7" t="n">
        <v>19</v>
      </c>
      <c r="AJ1499" s="7" t="n">
        <v>9</v>
      </c>
      <c r="AK1499" s="7" t="n">
        <v>9</v>
      </c>
      <c r="AL1499" s="7" t="n">
        <v>20</v>
      </c>
      <c r="AM1499" s="7" t="n">
        <v>26</v>
      </c>
      <c r="AN1499" s="7" t="n">
        <v>6</v>
      </c>
      <c r="AO1499" s="7" t="n">
        <v>8</v>
      </c>
      <c r="AP1499" s="7" t="n">
        <v>0</v>
      </c>
      <c r="AQ1499" s="7" t="n">
        <v>0</v>
      </c>
      <c r="AR1499" s="6" t="s">
        <v>63</v>
      </c>
      <c r="AS1499" s="6" t="s">
        <v>63</v>
      </c>
      <c r="AT1499" s="28"/>
      <c r="AU1499" s="9" t="str">
        <f aca="false">HYPERLINK("https://creighton-primo.hosted.exlibrisgroup.com/primo-explore/search?tab=default_tab&amp;search_scope=EVERYTHING&amp;vid=01CRU&amp;lang=en_US&amp;offset=0&amp;query=any,contains,991000910529702656","Catalog Record")</f>
        <v>Catalog Record</v>
      </c>
      <c r="AV1499" s="9" t="str">
        <f aca="false">HYPERLINK("http://www.worldcat.org/oclc/159568","WorldCat Record")</f>
        <v>WorldCat Record</v>
      </c>
      <c r="AW1499" s="6" t="s">
        <v>12182</v>
      </c>
      <c r="AX1499" s="6" t="s">
        <v>12183</v>
      </c>
      <c r="AY1499" s="6" t="s">
        <v>12184</v>
      </c>
      <c r="AZ1499" s="6" t="s">
        <v>12184</v>
      </c>
      <c r="BA1499" s="6" t="s">
        <v>12185</v>
      </c>
      <c r="BB1499" s="6" t="s">
        <v>12186</v>
      </c>
      <c r="BC1499" s="6" t="s">
        <v>12187</v>
      </c>
      <c r="BE1499" s="15" t="s">
        <v>2145</v>
      </c>
      <c r="BF1499" s="6" t="s">
        <v>12188</v>
      </c>
    </row>
    <row r="1500" customFormat="false" ht="82.5" hidden="false" customHeight="false" outlineLevel="0" collapsed="false">
      <c r="A1500" s="26" t="s">
        <v>63</v>
      </c>
      <c r="B1500" s="27" t="s">
        <v>2129</v>
      </c>
      <c r="C1500" s="27" t="s">
        <v>2130</v>
      </c>
      <c r="D1500" s="27" t="s">
        <v>12189</v>
      </c>
      <c r="E1500" s="27" t="s">
        <v>12190</v>
      </c>
      <c r="F1500" s="27" t="s">
        <v>12191</v>
      </c>
      <c r="G1500" s="28"/>
      <c r="H1500" s="6" t="s">
        <v>63</v>
      </c>
      <c r="I1500" s="6" t="s">
        <v>62</v>
      </c>
      <c r="J1500" s="6" t="s">
        <v>63</v>
      </c>
      <c r="K1500" s="6" t="s">
        <v>63</v>
      </c>
      <c r="L1500" s="6" t="s">
        <v>64</v>
      </c>
      <c r="M1500" s="27" t="s">
        <v>12192</v>
      </c>
      <c r="N1500" s="27" t="s">
        <v>12193</v>
      </c>
      <c r="O1500" s="6" t="s">
        <v>2693</v>
      </c>
      <c r="P1500" s="27" t="s">
        <v>255</v>
      </c>
      <c r="Q1500" s="6" t="s">
        <v>67</v>
      </c>
      <c r="R1500" s="6" t="s">
        <v>68</v>
      </c>
      <c r="S1500" s="28"/>
      <c r="T1500" s="6" t="s">
        <v>6138</v>
      </c>
      <c r="U1500" s="7" t="n">
        <v>4</v>
      </c>
      <c r="V1500" s="7" t="n">
        <v>4</v>
      </c>
      <c r="W1500" s="8" t="s">
        <v>12194</v>
      </c>
      <c r="X1500" s="8" t="s">
        <v>12194</v>
      </c>
      <c r="Y1500" s="8" t="s">
        <v>12195</v>
      </c>
      <c r="Z1500" s="8" t="s">
        <v>12195</v>
      </c>
      <c r="AA1500" s="7" t="n">
        <v>115</v>
      </c>
      <c r="AB1500" s="7" t="n">
        <v>87</v>
      </c>
      <c r="AC1500" s="7" t="n">
        <v>88</v>
      </c>
      <c r="AD1500" s="7" t="n">
        <v>1</v>
      </c>
      <c r="AE1500" s="7" t="n">
        <v>1</v>
      </c>
      <c r="AF1500" s="7" t="n">
        <v>6</v>
      </c>
      <c r="AG1500" s="7" t="n">
        <v>6</v>
      </c>
      <c r="AH1500" s="7" t="n">
        <v>1</v>
      </c>
      <c r="AI1500" s="7" t="n">
        <v>1</v>
      </c>
      <c r="AJ1500" s="7" t="n">
        <v>3</v>
      </c>
      <c r="AK1500" s="7" t="n">
        <v>3</v>
      </c>
      <c r="AL1500" s="7" t="n">
        <v>5</v>
      </c>
      <c r="AM1500" s="7" t="n">
        <v>5</v>
      </c>
      <c r="AN1500" s="7" t="n">
        <v>0</v>
      </c>
      <c r="AO1500" s="7" t="n">
        <v>0</v>
      </c>
      <c r="AP1500" s="7" t="n">
        <v>0</v>
      </c>
      <c r="AQ1500" s="7" t="n">
        <v>0</v>
      </c>
      <c r="AR1500" s="6" t="s">
        <v>63</v>
      </c>
      <c r="AS1500" s="6" t="s">
        <v>63</v>
      </c>
      <c r="AT1500" s="28"/>
      <c r="AU1500" s="9" t="str">
        <f aca="false">HYPERLINK("https://creighton-primo.hosted.exlibrisgroup.com/primo-explore/search?tab=default_tab&amp;search_scope=EVERYTHING&amp;vid=01CRU&amp;lang=en_US&amp;offset=0&amp;query=any,contains,991000378019702656","Catalog Record")</f>
        <v>Catalog Record</v>
      </c>
      <c r="AV1500" s="9" t="str">
        <f aca="false">HYPERLINK("http://www.worldcat.org/oclc/72292","WorldCat Record")</f>
        <v>WorldCat Record</v>
      </c>
      <c r="AW1500" s="6" t="s">
        <v>12196</v>
      </c>
      <c r="AX1500" s="6" t="s">
        <v>12197</v>
      </c>
      <c r="AY1500" s="6" t="s">
        <v>12198</v>
      </c>
      <c r="AZ1500" s="6" t="s">
        <v>12198</v>
      </c>
      <c r="BA1500" s="6" t="s">
        <v>12199</v>
      </c>
      <c r="BB1500" s="28"/>
      <c r="BC1500" s="6" t="s">
        <v>12200</v>
      </c>
      <c r="BE1500" s="15" t="s">
        <v>2145</v>
      </c>
      <c r="BF1500" s="6" t="s">
        <v>12201</v>
      </c>
    </row>
    <row r="1501" customFormat="false" ht="163" hidden="false" customHeight="false" outlineLevel="0" collapsed="false">
      <c r="A1501" s="26" t="s">
        <v>63</v>
      </c>
      <c r="B1501" s="27" t="s">
        <v>2129</v>
      </c>
      <c r="C1501" s="27" t="s">
        <v>2130</v>
      </c>
      <c r="D1501" s="27" t="s">
        <v>12202</v>
      </c>
      <c r="E1501" s="27" t="s">
        <v>12203</v>
      </c>
      <c r="F1501" s="27" t="s">
        <v>12204</v>
      </c>
      <c r="G1501" s="28"/>
      <c r="H1501" s="6" t="s">
        <v>63</v>
      </c>
      <c r="I1501" s="6" t="s">
        <v>62</v>
      </c>
      <c r="J1501" s="6" t="s">
        <v>63</v>
      </c>
      <c r="K1501" s="6" t="s">
        <v>63</v>
      </c>
      <c r="L1501" s="6" t="s">
        <v>64</v>
      </c>
      <c r="M1501" s="27" t="s">
        <v>12205</v>
      </c>
      <c r="N1501" s="27" t="s">
        <v>12206</v>
      </c>
      <c r="O1501" s="6" t="s">
        <v>2693</v>
      </c>
      <c r="P1501" s="28"/>
      <c r="Q1501" s="6" t="s">
        <v>67</v>
      </c>
      <c r="R1501" s="6" t="s">
        <v>68</v>
      </c>
      <c r="S1501" s="28"/>
      <c r="T1501" s="6" t="s">
        <v>6138</v>
      </c>
      <c r="U1501" s="7" t="n">
        <v>1</v>
      </c>
      <c r="V1501" s="7" t="n">
        <v>1</v>
      </c>
      <c r="W1501" s="8" t="s">
        <v>12207</v>
      </c>
      <c r="X1501" s="8" t="s">
        <v>12207</v>
      </c>
      <c r="Y1501" s="8" t="s">
        <v>12208</v>
      </c>
      <c r="Z1501" s="8" t="s">
        <v>12208</v>
      </c>
      <c r="AA1501" s="7" t="n">
        <v>594</v>
      </c>
      <c r="AB1501" s="7" t="n">
        <v>525</v>
      </c>
      <c r="AC1501" s="7" t="n">
        <v>527</v>
      </c>
      <c r="AD1501" s="7" t="n">
        <v>3</v>
      </c>
      <c r="AE1501" s="7" t="n">
        <v>3</v>
      </c>
      <c r="AF1501" s="7" t="n">
        <v>28</v>
      </c>
      <c r="AG1501" s="7" t="n">
        <v>28</v>
      </c>
      <c r="AH1501" s="7" t="n">
        <v>12</v>
      </c>
      <c r="AI1501" s="7" t="n">
        <v>12</v>
      </c>
      <c r="AJ1501" s="7" t="n">
        <v>9</v>
      </c>
      <c r="AK1501" s="7" t="n">
        <v>9</v>
      </c>
      <c r="AL1501" s="7" t="n">
        <v>15</v>
      </c>
      <c r="AM1501" s="7" t="n">
        <v>15</v>
      </c>
      <c r="AN1501" s="7" t="n">
        <v>2</v>
      </c>
      <c r="AO1501" s="7" t="n">
        <v>2</v>
      </c>
      <c r="AP1501" s="7" t="n">
        <v>0</v>
      </c>
      <c r="AQ1501" s="7" t="n">
        <v>0</v>
      </c>
      <c r="AR1501" s="6" t="s">
        <v>63</v>
      </c>
      <c r="AS1501" s="6" t="s">
        <v>57</v>
      </c>
      <c r="AT1501" s="9" t="str">
        <f aca="false">HYPERLINK("http://catalog.hathitrust.org/Record/001385565","HathiTrust Record")</f>
        <v>HathiTrust Record</v>
      </c>
      <c r="AU1501" s="9" t="str">
        <f aca="false">HYPERLINK("https://creighton-primo.hosted.exlibrisgroup.com/primo-explore/search?tab=default_tab&amp;search_scope=EVERYTHING&amp;vid=01CRU&amp;lang=en_US&amp;offset=0&amp;query=any,contains,991002562919702656","Catalog Record")</f>
        <v>Catalog Record</v>
      </c>
      <c r="AV1501" s="9" t="str">
        <f aca="false">HYPERLINK("http://www.worldcat.org/oclc/372058","WorldCat Record")</f>
        <v>WorldCat Record</v>
      </c>
      <c r="AW1501" s="6" t="s">
        <v>12209</v>
      </c>
      <c r="AX1501" s="6" t="s">
        <v>12210</v>
      </c>
      <c r="AY1501" s="6" t="s">
        <v>12211</v>
      </c>
      <c r="AZ1501" s="6" t="s">
        <v>12211</v>
      </c>
      <c r="BA1501" s="6" t="s">
        <v>12212</v>
      </c>
      <c r="BB1501" s="28"/>
      <c r="BC1501" s="6" t="s">
        <v>12213</v>
      </c>
      <c r="BE1501" s="15" t="s">
        <v>2145</v>
      </c>
      <c r="BF1501" s="6" t="s">
        <v>12214</v>
      </c>
    </row>
    <row r="1502" customFormat="false" ht="82.5" hidden="false" customHeight="false" outlineLevel="0" collapsed="false">
      <c r="A1502" s="26" t="s">
        <v>63</v>
      </c>
      <c r="B1502" s="27" t="s">
        <v>2129</v>
      </c>
      <c r="C1502" s="27" t="s">
        <v>2130</v>
      </c>
      <c r="D1502" s="27" t="s">
        <v>12215</v>
      </c>
      <c r="E1502" s="27" t="s">
        <v>12216</v>
      </c>
      <c r="F1502" s="27" t="s">
        <v>12217</v>
      </c>
      <c r="G1502" s="28"/>
      <c r="H1502" s="6" t="s">
        <v>63</v>
      </c>
      <c r="I1502" s="6" t="s">
        <v>62</v>
      </c>
      <c r="J1502" s="6" t="s">
        <v>63</v>
      </c>
      <c r="K1502" s="6" t="s">
        <v>63</v>
      </c>
      <c r="L1502" s="6" t="s">
        <v>64</v>
      </c>
      <c r="M1502" s="27" t="s">
        <v>12218</v>
      </c>
      <c r="N1502" s="27" t="s">
        <v>12219</v>
      </c>
      <c r="O1502" s="6" t="s">
        <v>3340</v>
      </c>
      <c r="P1502" s="28"/>
      <c r="Q1502" s="6" t="s">
        <v>67</v>
      </c>
      <c r="R1502" s="6" t="s">
        <v>222</v>
      </c>
      <c r="S1502" s="27" t="s">
        <v>12220</v>
      </c>
      <c r="T1502" s="6" t="s">
        <v>6138</v>
      </c>
      <c r="U1502" s="7" t="n">
        <v>2</v>
      </c>
      <c r="V1502" s="7" t="n">
        <v>2</v>
      </c>
      <c r="W1502" s="8" t="s">
        <v>12194</v>
      </c>
      <c r="X1502" s="8" t="s">
        <v>12194</v>
      </c>
      <c r="Y1502" s="8" t="s">
        <v>12208</v>
      </c>
      <c r="Z1502" s="8" t="s">
        <v>12208</v>
      </c>
      <c r="AA1502" s="7" t="n">
        <v>665</v>
      </c>
      <c r="AB1502" s="7" t="n">
        <v>595</v>
      </c>
      <c r="AC1502" s="7" t="n">
        <v>602</v>
      </c>
      <c r="AD1502" s="7" t="n">
        <v>5</v>
      </c>
      <c r="AE1502" s="7" t="n">
        <v>5</v>
      </c>
      <c r="AF1502" s="7" t="n">
        <v>27</v>
      </c>
      <c r="AG1502" s="7" t="n">
        <v>27</v>
      </c>
      <c r="AH1502" s="7" t="n">
        <v>11</v>
      </c>
      <c r="AI1502" s="7" t="n">
        <v>11</v>
      </c>
      <c r="AJ1502" s="7" t="n">
        <v>6</v>
      </c>
      <c r="AK1502" s="7" t="n">
        <v>6</v>
      </c>
      <c r="AL1502" s="7" t="n">
        <v>16</v>
      </c>
      <c r="AM1502" s="7" t="n">
        <v>16</v>
      </c>
      <c r="AN1502" s="7" t="n">
        <v>3</v>
      </c>
      <c r="AO1502" s="7" t="n">
        <v>3</v>
      </c>
      <c r="AP1502" s="7" t="n">
        <v>0</v>
      </c>
      <c r="AQ1502" s="7" t="n">
        <v>0</v>
      </c>
      <c r="AR1502" s="6" t="s">
        <v>63</v>
      </c>
      <c r="AS1502" s="6" t="s">
        <v>57</v>
      </c>
      <c r="AT1502" s="9" t="str">
        <f aca="false">HYPERLINK("http://catalog.hathitrust.org/Record/000213700","HathiTrust Record")</f>
        <v>HathiTrust Record</v>
      </c>
      <c r="AU1502" s="9" t="str">
        <f aca="false">HYPERLINK("https://creighton-primo.hosted.exlibrisgroup.com/primo-explore/search?tab=default_tab&amp;search_scope=EVERYTHING&amp;vid=01CRU&amp;lang=en_US&amp;offset=0&amp;query=any,contains,991004296809702656","Catalog Record")</f>
        <v>Catalog Record</v>
      </c>
      <c r="AV1502" s="9" t="str">
        <f aca="false">HYPERLINK("http://www.worldcat.org/oclc/2965608","WorldCat Record")</f>
        <v>WorldCat Record</v>
      </c>
      <c r="AW1502" s="6" t="s">
        <v>12221</v>
      </c>
      <c r="AX1502" s="6" t="s">
        <v>12222</v>
      </c>
      <c r="AY1502" s="6" t="s">
        <v>12223</v>
      </c>
      <c r="AZ1502" s="6" t="s">
        <v>12223</v>
      </c>
      <c r="BA1502" s="6" t="s">
        <v>12224</v>
      </c>
      <c r="BB1502" s="6" t="s">
        <v>12225</v>
      </c>
      <c r="BC1502" s="6" t="s">
        <v>12226</v>
      </c>
      <c r="BE1502" s="15" t="s">
        <v>2145</v>
      </c>
      <c r="BF1502" s="6" t="s">
        <v>12227</v>
      </c>
    </row>
    <row r="1503" customFormat="false" ht="82.5" hidden="false" customHeight="false" outlineLevel="0" collapsed="false">
      <c r="A1503" s="26" t="s">
        <v>63</v>
      </c>
      <c r="B1503" s="27" t="s">
        <v>2129</v>
      </c>
      <c r="C1503" s="27" t="s">
        <v>2130</v>
      </c>
      <c r="D1503" s="27" t="s">
        <v>12228</v>
      </c>
      <c r="E1503" s="27" t="s">
        <v>12229</v>
      </c>
      <c r="F1503" s="27" t="s">
        <v>12230</v>
      </c>
      <c r="G1503" s="28"/>
      <c r="H1503" s="6" t="s">
        <v>63</v>
      </c>
      <c r="I1503" s="6" t="s">
        <v>62</v>
      </c>
      <c r="J1503" s="6" t="s">
        <v>63</v>
      </c>
      <c r="K1503" s="6" t="s">
        <v>63</v>
      </c>
      <c r="L1503" s="6" t="s">
        <v>64</v>
      </c>
      <c r="M1503" s="27" t="s">
        <v>12231</v>
      </c>
      <c r="N1503" s="27" t="s">
        <v>12232</v>
      </c>
      <c r="O1503" s="6" t="s">
        <v>2343</v>
      </c>
      <c r="P1503" s="28"/>
      <c r="Q1503" s="6" t="s">
        <v>67</v>
      </c>
      <c r="R1503" s="6" t="s">
        <v>384</v>
      </c>
      <c r="S1503" s="27" t="s">
        <v>12233</v>
      </c>
      <c r="T1503" s="6" t="s">
        <v>6138</v>
      </c>
      <c r="U1503" s="7" t="n">
        <v>2</v>
      </c>
      <c r="V1503" s="7" t="n">
        <v>2</v>
      </c>
      <c r="W1503" s="8" t="s">
        <v>12234</v>
      </c>
      <c r="X1503" s="8" t="s">
        <v>12234</v>
      </c>
      <c r="Y1503" s="8" t="s">
        <v>9449</v>
      </c>
      <c r="Z1503" s="8" t="s">
        <v>9449</v>
      </c>
      <c r="AA1503" s="7" t="n">
        <v>112</v>
      </c>
      <c r="AB1503" s="7" t="n">
        <v>97</v>
      </c>
      <c r="AC1503" s="7" t="n">
        <v>266</v>
      </c>
      <c r="AD1503" s="7" t="n">
        <v>2</v>
      </c>
      <c r="AE1503" s="7" t="n">
        <v>2</v>
      </c>
      <c r="AF1503" s="7" t="n">
        <v>6</v>
      </c>
      <c r="AG1503" s="7" t="n">
        <v>18</v>
      </c>
      <c r="AH1503" s="7" t="n">
        <v>3</v>
      </c>
      <c r="AI1503" s="7" t="n">
        <v>5</v>
      </c>
      <c r="AJ1503" s="7" t="n">
        <v>0</v>
      </c>
      <c r="AK1503" s="7" t="n">
        <v>7</v>
      </c>
      <c r="AL1503" s="7" t="n">
        <v>4</v>
      </c>
      <c r="AM1503" s="7" t="n">
        <v>12</v>
      </c>
      <c r="AN1503" s="7" t="n">
        <v>1</v>
      </c>
      <c r="AO1503" s="7" t="n">
        <v>1</v>
      </c>
      <c r="AP1503" s="7" t="n">
        <v>0</v>
      </c>
      <c r="AQ1503" s="7" t="n">
        <v>0</v>
      </c>
      <c r="AR1503" s="6" t="s">
        <v>63</v>
      </c>
      <c r="AS1503" s="6" t="s">
        <v>63</v>
      </c>
      <c r="AT1503" s="28"/>
      <c r="AU1503" s="9" t="str">
        <f aca="false">HYPERLINK("https://creighton-primo.hosted.exlibrisgroup.com/primo-explore/search?tab=default_tab&amp;search_scope=EVERYTHING&amp;vid=01CRU&amp;lang=en_US&amp;offset=0&amp;query=any,contains,991005120569702656","Catalog Record")</f>
        <v>Catalog Record</v>
      </c>
      <c r="AV1503" s="9" t="str">
        <f aca="false">HYPERLINK("http://www.worldcat.org/oclc/7507173","WorldCat Record")</f>
        <v>WorldCat Record</v>
      </c>
      <c r="AW1503" s="6" t="s">
        <v>12235</v>
      </c>
      <c r="AX1503" s="6" t="s">
        <v>12236</v>
      </c>
      <c r="AY1503" s="6" t="s">
        <v>12237</v>
      </c>
      <c r="AZ1503" s="6" t="s">
        <v>12237</v>
      </c>
      <c r="BA1503" s="6" t="s">
        <v>12238</v>
      </c>
      <c r="BB1503" s="6" t="s">
        <v>12239</v>
      </c>
      <c r="BC1503" s="6" t="s">
        <v>12240</v>
      </c>
      <c r="BE1503" s="15" t="s">
        <v>2145</v>
      </c>
      <c r="BF1503" s="6" t="s">
        <v>12241</v>
      </c>
    </row>
    <row r="1504" customFormat="false" ht="82.5" hidden="false" customHeight="false" outlineLevel="0" collapsed="false">
      <c r="A1504" s="26" t="s">
        <v>63</v>
      </c>
      <c r="B1504" s="27" t="s">
        <v>2129</v>
      </c>
      <c r="C1504" s="27" t="s">
        <v>2130</v>
      </c>
      <c r="D1504" s="27" t="s">
        <v>12242</v>
      </c>
      <c r="E1504" s="27" t="s">
        <v>12243</v>
      </c>
      <c r="F1504" s="27" t="s">
        <v>12244</v>
      </c>
      <c r="G1504" s="28"/>
      <c r="H1504" s="6" t="s">
        <v>63</v>
      </c>
      <c r="I1504" s="6" t="s">
        <v>62</v>
      </c>
      <c r="J1504" s="6" t="s">
        <v>63</v>
      </c>
      <c r="K1504" s="6" t="s">
        <v>63</v>
      </c>
      <c r="L1504" s="6" t="s">
        <v>64</v>
      </c>
      <c r="M1504" s="27" t="s">
        <v>12245</v>
      </c>
      <c r="N1504" s="27" t="s">
        <v>12246</v>
      </c>
      <c r="O1504" s="6" t="s">
        <v>2693</v>
      </c>
      <c r="P1504" s="28"/>
      <c r="Q1504" s="6" t="s">
        <v>67</v>
      </c>
      <c r="R1504" s="6" t="s">
        <v>68</v>
      </c>
      <c r="S1504" s="27" t="s">
        <v>12247</v>
      </c>
      <c r="T1504" s="6" t="s">
        <v>6138</v>
      </c>
      <c r="U1504" s="7" t="n">
        <v>1</v>
      </c>
      <c r="V1504" s="7" t="n">
        <v>1</v>
      </c>
      <c r="W1504" s="8" t="s">
        <v>12248</v>
      </c>
      <c r="X1504" s="8" t="s">
        <v>12248</v>
      </c>
      <c r="Y1504" s="8" t="s">
        <v>12208</v>
      </c>
      <c r="Z1504" s="8" t="s">
        <v>12208</v>
      </c>
      <c r="AA1504" s="7" t="n">
        <v>258</v>
      </c>
      <c r="AB1504" s="7" t="n">
        <v>206</v>
      </c>
      <c r="AC1504" s="7" t="n">
        <v>211</v>
      </c>
      <c r="AD1504" s="7" t="n">
        <v>1</v>
      </c>
      <c r="AE1504" s="7" t="n">
        <v>1</v>
      </c>
      <c r="AF1504" s="7" t="n">
        <v>14</v>
      </c>
      <c r="AG1504" s="7" t="n">
        <v>14</v>
      </c>
      <c r="AH1504" s="7" t="n">
        <v>8</v>
      </c>
      <c r="AI1504" s="7" t="n">
        <v>8</v>
      </c>
      <c r="AJ1504" s="7" t="n">
        <v>2</v>
      </c>
      <c r="AK1504" s="7" t="n">
        <v>2</v>
      </c>
      <c r="AL1504" s="7" t="n">
        <v>10</v>
      </c>
      <c r="AM1504" s="7" t="n">
        <v>10</v>
      </c>
      <c r="AN1504" s="7" t="n">
        <v>0</v>
      </c>
      <c r="AO1504" s="7" t="n">
        <v>0</v>
      </c>
      <c r="AP1504" s="7" t="n">
        <v>0</v>
      </c>
      <c r="AQ1504" s="7" t="n">
        <v>0</v>
      </c>
      <c r="AR1504" s="6" t="s">
        <v>63</v>
      </c>
      <c r="AS1504" s="6" t="s">
        <v>57</v>
      </c>
      <c r="AT1504" s="9" t="str">
        <f aca="false">HYPERLINK("http://catalog.hathitrust.org/Record/009810257","HathiTrust Record")</f>
        <v>HathiTrust Record</v>
      </c>
      <c r="AU1504" s="9" t="str">
        <f aca="false">HYPERLINK("https://creighton-primo.hosted.exlibrisgroup.com/primo-explore/search?tab=default_tab&amp;search_scope=EVERYTHING&amp;vid=01CRU&amp;lang=en_US&amp;offset=0&amp;query=any,contains,991000093909702656","Catalog Record")</f>
        <v>Catalog Record</v>
      </c>
      <c r="AV1504" s="9" t="str">
        <f aca="false">HYPERLINK("http://www.worldcat.org/oclc/39909","WorldCat Record")</f>
        <v>WorldCat Record</v>
      </c>
      <c r="AW1504" s="6" t="s">
        <v>12249</v>
      </c>
      <c r="AX1504" s="6" t="s">
        <v>12250</v>
      </c>
      <c r="AY1504" s="6" t="s">
        <v>12251</v>
      </c>
      <c r="AZ1504" s="6" t="s">
        <v>12251</v>
      </c>
      <c r="BA1504" s="6" t="s">
        <v>12252</v>
      </c>
      <c r="BB1504" s="28"/>
      <c r="BC1504" s="6" t="s">
        <v>12253</v>
      </c>
      <c r="BE1504" s="15" t="s">
        <v>2145</v>
      </c>
      <c r="BF1504" s="6" t="s">
        <v>12254</v>
      </c>
    </row>
    <row r="1505" customFormat="false" ht="232" hidden="false" customHeight="false" outlineLevel="0" collapsed="false">
      <c r="A1505" s="26" t="s">
        <v>63</v>
      </c>
      <c r="B1505" s="27" t="s">
        <v>2129</v>
      </c>
      <c r="C1505" s="27" t="s">
        <v>2130</v>
      </c>
      <c r="D1505" s="27" t="s">
        <v>12255</v>
      </c>
      <c r="E1505" s="27" t="s">
        <v>12256</v>
      </c>
      <c r="F1505" s="27" t="s">
        <v>12257</v>
      </c>
      <c r="G1505" s="28"/>
      <c r="H1505" s="6" t="s">
        <v>63</v>
      </c>
      <c r="I1505" s="6" t="s">
        <v>62</v>
      </c>
      <c r="J1505" s="6" t="s">
        <v>63</v>
      </c>
      <c r="K1505" s="6" t="s">
        <v>63</v>
      </c>
      <c r="L1505" s="6" t="s">
        <v>64</v>
      </c>
      <c r="M1505" s="27" t="s">
        <v>12258</v>
      </c>
      <c r="N1505" s="27" t="s">
        <v>8024</v>
      </c>
      <c r="O1505" s="6" t="s">
        <v>2426</v>
      </c>
      <c r="P1505" s="28"/>
      <c r="Q1505" s="6" t="s">
        <v>67</v>
      </c>
      <c r="R1505" s="6" t="s">
        <v>802</v>
      </c>
      <c r="S1505" s="28"/>
      <c r="T1505" s="6" t="s">
        <v>6138</v>
      </c>
      <c r="U1505" s="7" t="n">
        <v>3</v>
      </c>
      <c r="V1505" s="7" t="n">
        <v>3</v>
      </c>
      <c r="W1505" s="8" t="s">
        <v>8180</v>
      </c>
      <c r="X1505" s="8" t="s">
        <v>8180</v>
      </c>
      <c r="Y1505" s="8" t="s">
        <v>12208</v>
      </c>
      <c r="Z1505" s="8" t="s">
        <v>12208</v>
      </c>
      <c r="AA1505" s="7" t="n">
        <v>316</v>
      </c>
      <c r="AB1505" s="7" t="n">
        <v>216</v>
      </c>
      <c r="AC1505" s="7" t="n">
        <v>231</v>
      </c>
      <c r="AD1505" s="7" t="n">
        <v>2</v>
      </c>
      <c r="AE1505" s="7" t="n">
        <v>2</v>
      </c>
      <c r="AF1505" s="7" t="n">
        <v>18</v>
      </c>
      <c r="AG1505" s="7" t="n">
        <v>19</v>
      </c>
      <c r="AH1505" s="7" t="n">
        <v>4</v>
      </c>
      <c r="AI1505" s="7" t="n">
        <v>5</v>
      </c>
      <c r="AJ1505" s="7" t="n">
        <v>5</v>
      </c>
      <c r="AK1505" s="7" t="n">
        <v>6</v>
      </c>
      <c r="AL1505" s="7" t="n">
        <v>15</v>
      </c>
      <c r="AM1505" s="7" t="n">
        <v>15</v>
      </c>
      <c r="AN1505" s="7" t="n">
        <v>1</v>
      </c>
      <c r="AO1505" s="7" t="n">
        <v>1</v>
      </c>
      <c r="AP1505" s="7" t="n">
        <v>0</v>
      </c>
      <c r="AQ1505" s="7" t="n">
        <v>0</v>
      </c>
      <c r="AR1505" s="6" t="s">
        <v>63</v>
      </c>
      <c r="AS1505" s="6" t="s">
        <v>63</v>
      </c>
      <c r="AT1505" s="28"/>
      <c r="AU1505" s="9" t="str">
        <f aca="false">HYPERLINK("https://creighton-primo.hosted.exlibrisgroup.com/primo-explore/search?tab=default_tab&amp;search_scope=EVERYTHING&amp;vid=01CRU&amp;lang=en_US&amp;offset=0&amp;query=any,contains,991003718679702656","Catalog Record")</f>
        <v>Catalog Record</v>
      </c>
      <c r="AV1505" s="9" t="str">
        <f aca="false">HYPERLINK("http://www.worldcat.org/oclc/1364250","WorldCat Record")</f>
        <v>WorldCat Record</v>
      </c>
      <c r="AW1505" s="6" t="s">
        <v>12259</v>
      </c>
      <c r="AX1505" s="6" t="s">
        <v>12260</v>
      </c>
      <c r="AY1505" s="6" t="s">
        <v>12261</v>
      </c>
      <c r="AZ1505" s="6" t="s">
        <v>12261</v>
      </c>
      <c r="BA1505" s="6" t="s">
        <v>12262</v>
      </c>
      <c r="BB1505" s="6" t="s">
        <v>12263</v>
      </c>
      <c r="BC1505" s="6" t="s">
        <v>12264</v>
      </c>
      <c r="BE1505" s="15" t="s">
        <v>2145</v>
      </c>
      <c r="BF1505" s="6" t="s">
        <v>12265</v>
      </c>
    </row>
    <row r="1506" customFormat="false" ht="128.5" hidden="false" customHeight="false" outlineLevel="0" collapsed="false">
      <c r="A1506" s="26" t="s">
        <v>63</v>
      </c>
      <c r="B1506" s="27" t="s">
        <v>2129</v>
      </c>
      <c r="C1506" s="27" t="s">
        <v>2130</v>
      </c>
      <c r="D1506" s="27" t="s">
        <v>12266</v>
      </c>
      <c r="E1506" s="27" t="s">
        <v>12267</v>
      </c>
      <c r="F1506" s="27" t="s">
        <v>12268</v>
      </c>
      <c r="G1506" s="28"/>
      <c r="H1506" s="6" t="s">
        <v>63</v>
      </c>
      <c r="I1506" s="6" t="s">
        <v>62</v>
      </c>
      <c r="J1506" s="6" t="s">
        <v>63</v>
      </c>
      <c r="K1506" s="6" t="s">
        <v>63</v>
      </c>
      <c r="L1506" s="6" t="s">
        <v>64</v>
      </c>
      <c r="M1506" s="27" t="s">
        <v>12269</v>
      </c>
      <c r="N1506" s="27" t="s">
        <v>553</v>
      </c>
      <c r="O1506" s="6" t="s">
        <v>208</v>
      </c>
      <c r="P1506" s="28"/>
      <c r="Q1506" s="6" t="s">
        <v>67</v>
      </c>
      <c r="R1506" s="6" t="s">
        <v>384</v>
      </c>
      <c r="S1506" s="28"/>
      <c r="T1506" s="6" t="s">
        <v>6138</v>
      </c>
      <c r="U1506" s="7" t="n">
        <v>1</v>
      </c>
      <c r="V1506" s="7" t="n">
        <v>1</v>
      </c>
      <c r="W1506" s="8" t="s">
        <v>4870</v>
      </c>
      <c r="X1506" s="8" t="s">
        <v>4870</v>
      </c>
      <c r="Y1506" s="8" t="s">
        <v>9498</v>
      </c>
      <c r="Z1506" s="8" t="s">
        <v>9498</v>
      </c>
      <c r="AA1506" s="7" t="n">
        <v>506</v>
      </c>
      <c r="AB1506" s="7" t="n">
        <v>361</v>
      </c>
      <c r="AC1506" s="7" t="n">
        <v>389</v>
      </c>
      <c r="AD1506" s="7" t="n">
        <v>3</v>
      </c>
      <c r="AE1506" s="7" t="n">
        <v>3</v>
      </c>
      <c r="AF1506" s="7" t="n">
        <v>28</v>
      </c>
      <c r="AG1506" s="7" t="n">
        <v>29</v>
      </c>
      <c r="AH1506" s="7" t="n">
        <v>13</v>
      </c>
      <c r="AI1506" s="7" t="n">
        <v>14</v>
      </c>
      <c r="AJ1506" s="7" t="n">
        <v>7</v>
      </c>
      <c r="AK1506" s="7" t="n">
        <v>7</v>
      </c>
      <c r="AL1506" s="7" t="n">
        <v>17</v>
      </c>
      <c r="AM1506" s="7" t="n">
        <v>17</v>
      </c>
      <c r="AN1506" s="7" t="n">
        <v>2</v>
      </c>
      <c r="AO1506" s="7" t="n">
        <v>2</v>
      </c>
      <c r="AP1506" s="7" t="n">
        <v>0</v>
      </c>
      <c r="AQ1506" s="7" t="n">
        <v>0</v>
      </c>
      <c r="AR1506" s="6" t="s">
        <v>63</v>
      </c>
      <c r="AS1506" s="6" t="s">
        <v>63</v>
      </c>
      <c r="AT1506" s="28"/>
      <c r="AU1506" s="9" t="str">
        <f aca="false">HYPERLINK("https://creighton-primo.hosted.exlibrisgroup.com/primo-explore/search?tab=default_tab&amp;search_scope=EVERYTHING&amp;vid=01CRU&amp;lang=en_US&amp;offset=0&amp;query=any,contains,991000815699702656","Catalog Record")</f>
        <v>Catalog Record</v>
      </c>
      <c r="AV1506" s="9" t="str">
        <f aca="false">HYPERLINK("http://www.worldcat.org/oclc/13358067","WorldCat Record")</f>
        <v>WorldCat Record</v>
      </c>
      <c r="AW1506" s="6" t="s">
        <v>12270</v>
      </c>
      <c r="AX1506" s="6" t="s">
        <v>12271</v>
      </c>
      <c r="AY1506" s="6" t="s">
        <v>12272</v>
      </c>
      <c r="AZ1506" s="6" t="s">
        <v>12272</v>
      </c>
      <c r="BA1506" s="6" t="s">
        <v>12273</v>
      </c>
      <c r="BB1506" s="6" t="s">
        <v>12274</v>
      </c>
      <c r="BC1506" s="6" t="s">
        <v>12275</v>
      </c>
      <c r="BE1506" s="15" t="s">
        <v>2145</v>
      </c>
      <c r="BF1506" s="6" t="s">
        <v>12276</v>
      </c>
    </row>
    <row r="1507" customFormat="false" ht="117" hidden="false" customHeight="false" outlineLevel="0" collapsed="false">
      <c r="A1507" s="26" t="s">
        <v>63</v>
      </c>
      <c r="B1507" s="27" t="s">
        <v>2129</v>
      </c>
      <c r="C1507" s="27" t="s">
        <v>2130</v>
      </c>
      <c r="D1507" s="27" t="s">
        <v>12277</v>
      </c>
      <c r="E1507" s="27" t="s">
        <v>12278</v>
      </c>
      <c r="F1507" s="27" t="s">
        <v>12279</v>
      </c>
      <c r="G1507" s="28"/>
      <c r="H1507" s="6" t="s">
        <v>63</v>
      </c>
      <c r="I1507" s="6" t="s">
        <v>62</v>
      </c>
      <c r="J1507" s="6" t="s">
        <v>63</v>
      </c>
      <c r="K1507" s="6" t="s">
        <v>63</v>
      </c>
      <c r="L1507" s="6" t="s">
        <v>64</v>
      </c>
      <c r="M1507" s="27" t="s">
        <v>12280</v>
      </c>
      <c r="N1507" s="27" t="s">
        <v>12281</v>
      </c>
      <c r="O1507" s="6" t="s">
        <v>108</v>
      </c>
      <c r="P1507" s="28"/>
      <c r="Q1507" s="6" t="s">
        <v>67</v>
      </c>
      <c r="R1507" s="6" t="s">
        <v>500</v>
      </c>
      <c r="S1507" s="28"/>
      <c r="T1507" s="6" t="s">
        <v>6138</v>
      </c>
      <c r="U1507" s="7" t="n">
        <v>3</v>
      </c>
      <c r="V1507" s="7" t="n">
        <v>3</v>
      </c>
      <c r="W1507" s="8" t="s">
        <v>12282</v>
      </c>
      <c r="X1507" s="8" t="s">
        <v>12282</v>
      </c>
      <c r="Y1507" s="8" t="s">
        <v>3824</v>
      </c>
      <c r="Z1507" s="8" t="s">
        <v>3824</v>
      </c>
      <c r="AA1507" s="7" t="n">
        <v>288</v>
      </c>
      <c r="AB1507" s="7" t="n">
        <v>250</v>
      </c>
      <c r="AC1507" s="7" t="n">
        <v>551</v>
      </c>
      <c r="AD1507" s="7" t="n">
        <v>2</v>
      </c>
      <c r="AE1507" s="7" t="n">
        <v>4</v>
      </c>
      <c r="AF1507" s="7" t="n">
        <v>8</v>
      </c>
      <c r="AG1507" s="7" t="n">
        <v>25</v>
      </c>
      <c r="AH1507" s="7" t="n">
        <v>3</v>
      </c>
      <c r="AI1507" s="7" t="n">
        <v>10</v>
      </c>
      <c r="AJ1507" s="7" t="n">
        <v>1</v>
      </c>
      <c r="AK1507" s="7" t="n">
        <v>6</v>
      </c>
      <c r="AL1507" s="7" t="n">
        <v>5</v>
      </c>
      <c r="AM1507" s="7" t="n">
        <v>12</v>
      </c>
      <c r="AN1507" s="7" t="n">
        <v>1</v>
      </c>
      <c r="AO1507" s="7" t="n">
        <v>3</v>
      </c>
      <c r="AP1507" s="7" t="n">
        <v>0</v>
      </c>
      <c r="AQ1507" s="7" t="n">
        <v>0</v>
      </c>
      <c r="AR1507" s="6" t="s">
        <v>63</v>
      </c>
      <c r="AS1507" s="6" t="s">
        <v>57</v>
      </c>
      <c r="AT1507" s="9" t="str">
        <f aca="false">HYPERLINK("http://catalog.hathitrust.org/Record/007116484","HathiTrust Record")</f>
        <v>HathiTrust Record</v>
      </c>
      <c r="AU1507" s="9" t="str">
        <f aca="false">HYPERLINK("https://creighton-primo.hosted.exlibrisgroup.com/primo-explore/search?tab=default_tab&amp;search_scope=EVERYTHING&amp;vid=01CRU&amp;lang=en_US&amp;offset=0&amp;query=any,contains,991004362079702656","Catalog Record")</f>
        <v>Catalog Record</v>
      </c>
      <c r="AV1507" s="9" t="str">
        <f aca="false">HYPERLINK("http://www.worldcat.org/oclc/3168016","WorldCat Record")</f>
        <v>WorldCat Record</v>
      </c>
      <c r="AW1507" s="6" t="s">
        <v>12283</v>
      </c>
      <c r="AX1507" s="6" t="s">
        <v>12284</v>
      </c>
      <c r="AY1507" s="6" t="s">
        <v>12285</v>
      </c>
      <c r="AZ1507" s="6" t="s">
        <v>12285</v>
      </c>
      <c r="BA1507" s="6" t="s">
        <v>12286</v>
      </c>
      <c r="BB1507" s="6" t="s">
        <v>12287</v>
      </c>
      <c r="BC1507" s="6" t="s">
        <v>12288</v>
      </c>
      <c r="BE1507" s="15" t="s">
        <v>2145</v>
      </c>
      <c r="BF1507" s="6" t="s">
        <v>12289</v>
      </c>
    </row>
    <row r="1508" customFormat="false" ht="117" hidden="false" customHeight="false" outlineLevel="0" collapsed="false">
      <c r="A1508" s="26" t="s">
        <v>63</v>
      </c>
      <c r="B1508" s="27" t="s">
        <v>2129</v>
      </c>
      <c r="C1508" s="27" t="s">
        <v>2130</v>
      </c>
      <c r="D1508" s="27" t="s">
        <v>12290</v>
      </c>
      <c r="E1508" s="27" t="s">
        <v>12291</v>
      </c>
      <c r="F1508" s="27" t="s">
        <v>12292</v>
      </c>
      <c r="G1508" s="28"/>
      <c r="H1508" s="6" t="s">
        <v>63</v>
      </c>
      <c r="I1508" s="6" t="s">
        <v>62</v>
      </c>
      <c r="J1508" s="6" t="s">
        <v>63</v>
      </c>
      <c r="K1508" s="6" t="s">
        <v>63</v>
      </c>
      <c r="L1508" s="6" t="s">
        <v>64</v>
      </c>
      <c r="M1508" s="27" t="s">
        <v>12293</v>
      </c>
      <c r="N1508" s="27" t="s">
        <v>12294</v>
      </c>
      <c r="O1508" s="6" t="s">
        <v>2262</v>
      </c>
      <c r="P1508" s="28"/>
      <c r="Q1508" s="6" t="s">
        <v>67</v>
      </c>
      <c r="R1508" s="6" t="s">
        <v>1059</v>
      </c>
      <c r="S1508" s="28"/>
      <c r="T1508" s="6" t="s">
        <v>6138</v>
      </c>
      <c r="U1508" s="7" t="n">
        <v>2</v>
      </c>
      <c r="V1508" s="7" t="n">
        <v>2</v>
      </c>
      <c r="W1508" s="8" t="s">
        <v>12295</v>
      </c>
      <c r="X1508" s="8" t="s">
        <v>12295</v>
      </c>
      <c r="Y1508" s="8" t="s">
        <v>5611</v>
      </c>
      <c r="Z1508" s="8" t="s">
        <v>5611</v>
      </c>
      <c r="AA1508" s="7" t="n">
        <v>519</v>
      </c>
      <c r="AB1508" s="7" t="n">
        <v>384</v>
      </c>
      <c r="AC1508" s="7" t="n">
        <v>395</v>
      </c>
      <c r="AD1508" s="7" t="n">
        <v>4</v>
      </c>
      <c r="AE1508" s="7" t="n">
        <v>4</v>
      </c>
      <c r="AF1508" s="7" t="n">
        <v>34</v>
      </c>
      <c r="AG1508" s="7" t="n">
        <v>34</v>
      </c>
      <c r="AH1508" s="7" t="n">
        <v>11</v>
      </c>
      <c r="AI1508" s="7" t="n">
        <v>11</v>
      </c>
      <c r="AJ1508" s="7" t="n">
        <v>10</v>
      </c>
      <c r="AK1508" s="7" t="n">
        <v>10</v>
      </c>
      <c r="AL1508" s="7" t="n">
        <v>21</v>
      </c>
      <c r="AM1508" s="7" t="n">
        <v>21</v>
      </c>
      <c r="AN1508" s="7" t="n">
        <v>3</v>
      </c>
      <c r="AO1508" s="7" t="n">
        <v>3</v>
      </c>
      <c r="AP1508" s="7" t="n">
        <v>0</v>
      </c>
      <c r="AQ1508" s="7" t="n">
        <v>0</v>
      </c>
      <c r="AR1508" s="6" t="s">
        <v>63</v>
      </c>
      <c r="AS1508" s="6" t="s">
        <v>63</v>
      </c>
      <c r="AT1508" s="28"/>
      <c r="AU1508" s="9" t="str">
        <f aca="false">HYPERLINK("https://creighton-primo.hosted.exlibrisgroup.com/primo-explore/search?tab=default_tab&amp;search_scope=EVERYTHING&amp;vid=01CRU&amp;lang=en_US&amp;offset=0&amp;query=any,contains,991000846179702656","Catalog Record")</f>
        <v>Catalog Record</v>
      </c>
      <c r="AV1508" s="9" t="str">
        <f aca="false">HYPERLINK("http://www.worldcat.org/oclc/13560656","WorldCat Record")</f>
        <v>WorldCat Record</v>
      </c>
      <c r="AW1508" s="6" t="s">
        <v>12296</v>
      </c>
      <c r="AX1508" s="6" t="s">
        <v>12297</v>
      </c>
      <c r="AY1508" s="6" t="s">
        <v>12298</v>
      </c>
      <c r="AZ1508" s="6" t="s">
        <v>12298</v>
      </c>
      <c r="BA1508" s="6" t="s">
        <v>12299</v>
      </c>
      <c r="BB1508" s="6" t="s">
        <v>12300</v>
      </c>
      <c r="BC1508" s="6" t="s">
        <v>12301</v>
      </c>
      <c r="BE1508" s="15" t="s">
        <v>2145</v>
      </c>
      <c r="BF1508" s="6" t="s">
        <v>12302</v>
      </c>
    </row>
    <row r="1509" customFormat="false" ht="94" hidden="false" customHeight="false" outlineLevel="0" collapsed="false">
      <c r="A1509" s="26" t="s">
        <v>63</v>
      </c>
      <c r="B1509" s="27" t="s">
        <v>2129</v>
      </c>
      <c r="C1509" s="27" t="s">
        <v>2130</v>
      </c>
      <c r="D1509" s="27" t="s">
        <v>12303</v>
      </c>
      <c r="E1509" s="27" t="s">
        <v>12304</v>
      </c>
      <c r="F1509" s="27" t="s">
        <v>12305</v>
      </c>
      <c r="G1509" s="28"/>
      <c r="H1509" s="6" t="s">
        <v>63</v>
      </c>
      <c r="I1509" s="6" t="s">
        <v>62</v>
      </c>
      <c r="J1509" s="6" t="s">
        <v>63</v>
      </c>
      <c r="K1509" s="6" t="s">
        <v>63</v>
      </c>
      <c r="L1509" s="6" t="s">
        <v>64</v>
      </c>
      <c r="M1509" s="27" t="s">
        <v>12306</v>
      </c>
      <c r="N1509" s="27" t="s">
        <v>12307</v>
      </c>
      <c r="O1509" s="6" t="s">
        <v>152</v>
      </c>
      <c r="P1509" s="28"/>
      <c r="Q1509" s="6" t="s">
        <v>67</v>
      </c>
      <c r="R1509" s="6" t="s">
        <v>5017</v>
      </c>
      <c r="S1509" s="28"/>
      <c r="T1509" s="6" t="s">
        <v>6138</v>
      </c>
      <c r="U1509" s="7" t="n">
        <v>5</v>
      </c>
      <c r="V1509" s="7" t="n">
        <v>5</v>
      </c>
      <c r="W1509" s="8" t="s">
        <v>12308</v>
      </c>
      <c r="X1509" s="8" t="s">
        <v>12308</v>
      </c>
      <c r="Y1509" s="8" t="s">
        <v>10069</v>
      </c>
      <c r="Z1509" s="8" t="s">
        <v>10069</v>
      </c>
      <c r="AA1509" s="7" t="n">
        <v>424</v>
      </c>
      <c r="AB1509" s="7" t="n">
        <v>327</v>
      </c>
      <c r="AC1509" s="7" t="n">
        <v>379</v>
      </c>
      <c r="AD1509" s="7" t="n">
        <v>3</v>
      </c>
      <c r="AE1509" s="7" t="n">
        <v>3</v>
      </c>
      <c r="AF1509" s="7" t="n">
        <v>25</v>
      </c>
      <c r="AG1509" s="7" t="n">
        <v>25</v>
      </c>
      <c r="AH1509" s="7" t="n">
        <v>9</v>
      </c>
      <c r="AI1509" s="7" t="n">
        <v>9</v>
      </c>
      <c r="AJ1509" s="7" t="n">
        <v>6</v>
      </c>
      <c r="AK1509" s="7" t="n">
        <v>6</v>
      </c>
      <c r="AL1509" s="7" t="n">
        <v>18</v>
      </c>
      <c r="AM1509" s="7" t="n">
        <v>18</v>
      </c>
      <c r="AN1509" s="7" t="n">
        <v>2</v>
      </c>
      <c r="AO1509" s="7" t="n">
        <v>2</v>
      </c>
      <c r="AP1509" s="7" t="n">
        <v>0</v>
      </c>
      <c r="AQ1509" s="7" t="n">
        <v>0</v>
      </c>
      <c r="AR1509" s="6" t="s">
        <v>63</v>
      </c>
      <c r="AS1509" s="6" t="s">
        <v>63</v>
      </c>
      <c r="AT1509" s="28"/>
      <c r="AU1509" s="9" t="str">
        <f aca="false">HYPERLINK("https://creighton-primo.hosted.exlibrisgroup.com/primo-explore/search?tab=default_tab&amp;search_scope=EVERYTHING&amp;vid=01CRU&amp;lang=en_US&amp;offset=0&amp;query=any,contains,991000458129702656","Catalog Record")</f>
        <v>Catalog Record</v>
      </c>
      <c r="AV1509" s="9" t="str">
        <f aca="false">HYPERLINK("http://www.worldcat.org/oclc/10922234","WorldCat Record")</f>
        <v>WorldCat Record</v>
      </c>
      <c r="AW1509" s="6" t="s">
        <v>12309</v>
      </c>
      <c r="AX1509" s="6" t="s">
        <v>12310</v>
      </c>
      <c r="AY1509" s="6" t="s">
        <v>12311</v>
      </c>
      <c r="AZ1509" s="6" t="s">
        <v>12311</v>
      </c>
      <c r="BA1509" s="6" t="s">
        <v>12312</v>
      </c>
      <c r="BB1509" s="28"/>
      <c r="BC1509" s="6" t="s">
        <v>12313</v>
      </c>
      <c r="BE1509" s="15" t="s">
        <v>2145</v>
      </c>
      <c r="BF1509" s="6" t="s">
        <v>12314</v>
      </c>
    </row>
    <row r="1510" customFormat="false" ht="71" hidden="false" customHeight="false" outlineLevel="0" collapsed="false">
      <c r="A1510" s="26" t="s">
        <v>63</v>
      </c>
      <c r="B1510" s="27" t="s">
        <v>2129</v>
      </c>
      <c r="C1510" s="27" t="s">
        <v>2130</v>
      </c>
      <c r="D1510" s="27" t="s">
        <v>12315</v>
      </c>
      <c r="E1510" s="27" t="s">
        <v>12316</v>
      </c>
      <c r="F1510" s="27" t="s">
        <v>12317</v>
      </c>
      <c r="G1510" s="28"/>
      <c r="H1510" s="6" t="s">
        <v>63</v>
      </c>
      <c r="I1510" s="6" t="s">
        <v>62</v>
      </c>
      <c r="J1510" s="6" t="s">
        <v>63</v>
      </c>
      <c r="K1510" s="6" t="s">
        <v>63</v>
      </c>
      <c r="L1510" s="6" t="s">
        <v>64</v>
      </c>
      <c r="M1510" s="27" t="s">
        <v>8534</v>
      </c>
      <c r="N1510" s="27" t="s">
        <v>8012</v>
      </c>
      <c r="O1510" s="6" t="s">
        <v>2369</v>
      </c>
      <c r="P1510" s="27" t="s">
        <v>4146</v>
      </c>
      <c r="Q1510" s="6" t="s">
        <v>67</v>
      </c>
      <c r="R1510" s="6" t="s">
        <v>123</v>
      </c>
      <c r="S1510" s="28"/>
      <c r="T1510" s="6" t="s">
        <v>6138</v>
      </c>
      <c r="U1510" s="7" t="n">
        <v>2</v>
      </c>
      <c r="V1510" s="7" t="n">
        <v>2</v>
      </c>
      <c r="W1510" s="8" t="s">
        <v>12318</v>
      </c>
      <c r="X1510" s="8" t="s">
        <v>12318</v>
      </c>
      <c r="Y1510" s="8" t="s">
        <v>12208</v>
      </c>
      <c r="Z1510" s="8" t="s">
        <v>12208</v>
      </c>
      <c r="AA1510" s="7" t="n">
        <v>320</v>
      </c>
      <c r="AB1510" s="7" t="n">
        <v>310</v>
      </c>
      <c r="AC1510" s="7" t="n">
        <v>804</v>
      </c>
      <c r="AD1510" s="7" t="n">
        <v>1</v>
      </c>
      <c r="AE1510" s="7" t="n">
        <v>6</v>
      </c>
      <c r="AF1510" s="7" t="n">
        <v>18</v>
      </c>
      <c r="AG1510" s="7" t="n">
        <v>37</v>
      </c>
      <c r="AH1510" s="7" t="n">
        <v>7</v>
      </c>
      <c r="AI1510" s="7" t="n">
        <v>15</v>
      </c>
      <c r="AJ1510" s="7" t="n">
        <v>6</v>
      </c>
      <c r="AK1510" s="7" t="n">
        <v>9</v>
      </c>
      <c r="AL1510" s="7" t="n">
        <v>11</v>
      </c>
      <c r="AM1510" s="7" t="n">
        <v>17</v>
      </c>
      <c r="AN1510" s="7" t="n">
        <v>0</v>
      </c>
      <c r="AO1510" s="7" t="n">
        <v>5</v>
      </c>
      <c r="AP1510" s="7" t="n">
        <v>0</v>
      </c>
      <c r="AQ1510" s="7" t="n">
        <v>1</v>
      </c>
      <c r="AR1510" s="6" t="s">
        <v>63</v>
      </c>
      <c r="AS1510" s="6" t="s">
        <v>57</v>
      </c>
      <c r="AT1510" s="9" t="str">
        <f aca="false">HYPERLINK("http://catalog.hathitrust.org/Record/001385629","HathiTrust Record")</f>
        <v>HathiTrust Record</v>
      </c>
      <c r="AU1510" s="9" t="str">
        <f aca="false">HYPERLINK("https://creighton-primo.hosted.exlibrisgroup.com/primo-explore/search?tab=default_tab&amp;search_scope=EVERYTHING&amp;vid=01CRU&amp;lang=en_US&amp;offset=0&amp;query=any,contains,991004337919702656","Catalog Record")</f>
        <v>Catalog Record</v>
      </c>
      <c r="AV1510" s="9" t="str">
        <f aca="false">HYPERLINK("http://www.worldcat.org/oclc/1313467","WorldCat Record")</f>
        <v>WorldCat Record</v>
      </c>
      <c r="AW1510" s="6" t="s">
        <v>12319</v>
      </c>
      <c r="AX1510" s="6" t="s">
        <v>12320</v>
      </c>
      <c r="AY1510" s="6" t="s">
        <v>12321</v>
      </c>
      <c r="AZ1510" s="6" t="s">
        <v>12321</v>
      </c>
      <c r="BA1510" s="6" t="s">
        <v>12322</v>
      </c>
      <c r="BB1510" s="28"/>
      <c r="BC1510" s="6" t="s">
        <v>12323</v>
      </c>
      <c r="BE1510" s="15" t="s">
        <v>2145</v>
      </c>
      <c r="BF1510" s="6" t="s">
        <v>12324</v>
      </c>
    </row>
    <row r="1511" customFormat="false" ht="59.5" hidden="false" customHeight="false" outlineLevel="0" collapsed="false">
      <c r="A1511" s="26" t="s">
        <v>63</v>
      </c>
      <c r="B1511" s="27" t="s">
        <v>2129</v>
      </c>
      <c r="C1511" s="27" t="s">
        <v>2130</v>
      </c>
      <c r="D1511" s="27" t="s">
        <v>12325</v>
      </c>
      <c r="E1511" s="27" t="s">
        <v>12326</v>
      </c>
      <c r="F1511" s="27" t="s">
        <v>12327</v>
      </c>
      <c r="G1511" s="28"/>
      <c r="H1511" s="6" t="s">
        <v>63</v>
      </c>
      <c r="I1511" s="6" t="s">
        <v>62</v>
      </c>
      <c r="J1511" s="6" t="s">
        <v>63</v>
      </c>
      <c r="K1511" s="6" t="s">
        <v>63</v>
      </c>
      <c r="L1511" s="6" t="s">
        <v>64</v>
      </c>
      <c r="M1511" s="27" t="s">
        <v>12328</v>
      </c>
      <c r="N1511" s="27" t="s">
        <v>12329</v>
      </c>
      <c r="O1511" s="6" t="s">
        <v>122</v>
      </c>
      <c r="P1511" s="28"/>
      <c r="Q1511" s="6" t="s">
        <v>67</v>
      </c>
      <c r="R1511" s="6" t="s">
        <v>123</v>
      </c>
      <c r="S1511" s="28"/>
      <c r="T1511" s="6" t="s">
        <v>6138</v>
      </c>
      <c r="U1511" s="7" t="n">
        <v>3</v>
      </c>
      <c r="V1511" s="7" t="n">
        <v>3</v>
      </c>
      <c r="W1511" s="8" t="s">
        <v>11454</v>
      </c>
      <c r="X1511" s="8" t="s">
        <v>11454</v>
      </c>
      <c r="Y1511" s="8" t="s">
        <v>12208</v>
      </c>
      <c r="Z1511" s="8" t="s">
        <v>12208</v>
      </c>
      <c r="AA1511" s="7" t="n">
        <v>118</v>
      </c>
      <c r="AB1511" s="7" t="n">
        <v>105</v>
      </c>
      <c r="AC1511" s="7" t="n">
        <v>201</v>
      </c>
      <c r="AD1511" s="7" t="n">
        <v>1</v>
      </c>
      <c r="AE1511" s="7" t="n">
        <v>2</v>
      </c>
      <c r="AF1511" s="7" t="n">
        <v>11</v>
      </c>
      <c r="AG1511" s="7" t="n">
        <v>16</v>
      </c>
      <c r="AH1511" s="7" t="n">
        <v>1</v>
      </c>
      <c r="AI1511" s="7" t="n">
        <v>3</v>
      </c>
      <c r="AJ1511" s="7" t="n">
        <v>3</v>
      </c>
      <c r="AK1511" s="7" t="n">
        <v>4</v>
      </c>
      <c r="AL1511" s="7" t="n">
        <v>9</v>
      </c>
      <c r="AM1511" s="7" t="n">
        <v>13</v>
      </c>
      <c r="AN1511" s="7" t="n">
        <v>0</v>
      </c>
      <c r="AO1511" s="7" t="n">
        <v>1</v>
      </c>
      <c r="AP1511" s="7" t="n">
        <v>0</v>
      </c>
      <c r="AQ1511" s="7" t="n">
        <v>0</v>
      </c>
      <c r="AR1511" s="6" t="s">
        <v>63</v>
      </c>
      <c r="AS1511" s="6" t="s">
        <v>63</v>
      </c>
      <c r="AT1511" s="28"/>
      <c r="AU1511" s="9" t="str">
        <f aca="false">HYPERLINK("https://creighton-primo.hosted.exlibrisgroup.com/primo-explore/search?tab=default_tab&amp;search_scope=EVERYTHING&amp;vid=01CRU&amp;lang=en_US&amp;offset=0&amp;query=any,contains,991002914219702656","Catalog Record")</f>
        <v>Catalog Record</v>
      </c>
      <c r="AV1511" s="9" t="str">
        <f aca="false">HYPERLINK("http://www.worldcat.org/oclc/523608","WorldCat Record")</f>
        <v>WorldCat Record</v>
      </c>
      <c r="AW1511" s="6" t="s">
        <v>12330</v>
      </c>
      <c r="AX1511" s="6" t="s">
        <v>12331</v>
      </c>
      <c r="AY1511" s="6" t="s">
        <v>12332</v>
      </c>
      <c r="AZ1511" s="6" t="s">
        <v>12332</v>
      </c>
      <c r="BA1511" s="6" t="s">
        <v>12333</v>
      </c>
      <c r="BB1511" s="28"/>
      <c r="BC1511" s="6" t="s">
        <v>12334</v>
      </c>
      <c r="BE1511" s="15" t="s">
        <v>2145</v>
      </c>
      <c r="BF1511" s="6" t="s">
        <v>12335</v>
      </c>
    </row>
    <row r="1512" customFormat="false" ht="94" hidden="false" customHeight="false" outlineLevel="0" collapsed="false">
      <c r="A1512" s="26" t="s">
        <v>63</v>
      </c>
      <c r="B1512" s="27" t="s">
        <v>2129</v>
      </c>
      <c r="C1512" s="27" t="s">
        <v>2130</v>
      </c>
      <c r="D1512" s="27" t="s">
        <v>12336</v>
      </c>
      <c r="E1512" s="27" t="s">
        <v>12337</v>
      </c>
      <c r="F1512" s="27" t="s">
        <v>12338</v>
      </c>
      <c r="G1512" s="28"/>
      <c r="H1512" s="6" t="s">
        <v>63</v>
      </c>
      <c r="I1512" s="6" t="s">
        <v>62</v>
      </c>
      <c r="J1512" s="6" t="s">
        <v>63</v>
      </c>
      <c r="K1512" s="6" t="s">
        <v>63</v>
      </c>
      <c r="L1512" s="6" t="s">
        <v>64</v>
      </c>
      <c r="M1512" s="27" t="s">
        <v>8534</v>
      </c>
      <c r="N1512" s="27" t="s">
        <v>12339</v>
      </c>
      <c r="O1512" s="6" t="s">
        <v>152</v>
      </c>
      <c r="P1512" s="28"/>
      <c r="Q1512" s="6" t="s">
        <v>67</v>
      </c>
      <c r="R1512" s="6" t="s">
        <v>68</v>
      </c>
      <c r="S1512" s="27" t="s">
        <v>12340</v>
      </c>
      <c r="T1512" s="6" t="s">
        <v>6138</v>
      </c>
      <c r="U1512" s="7" t="n">
        <v>2</v>
      </c>
      <c r="V1512" s="7" t="n">
        <v>2</v>
      </c>
      <c r="W1512" s="8" t="s">
        <v>12318</v>
      </c>
      <c r="X1512" s="8" t="s">
        <v>12318</v>
      </c>
      <c r="Y1512" s="8" t="s">
        <v>9498</v>
      </c>
      <c r="Z1512" s="8" t="s">
        <v>9498</v>
      </c>
      <c r="AA1512" s="7" t="n">
        <v>78</v>
      </c>
      <c r="AB1512" s="7" t="n">
        <v>60</v>
      </c>
      <c r="AC1512" s="7" t="n">
        <v>625</v>
      </c>
      <c r="AD1512" s="7" t="n">
        <v>1</v>
      </c>
      <c r="AE1512" s="7" t="n">
        <v>7</v>
      </c>
      <c r="AF1512" s="7" t="n">
        <v>5</v>
      </c>
      <c r="AG1512" s="7" t="n">
        <v>36</v>
      </c>
      <c r="AH1512" s="7" t="n">
        <v>2</v>
      </c>
      <c r="AI1512" s="7" t="n">
        <v>11</v>
      </c>
      <c r="AJ1512" s="7" t="n">
        <v>1</v>
      </c>
      <c r="AK1512" s="7" t="n">
        <v>9</v>
      </c>
      <c r="AL1512" s="7" t="n">
        <v>5</v>
      </c>
      <c r="AM1512" s="7" t="n">
        <v>19</v>
      </c>
      <c r="AN1512" s="7" t="n">
        <v>0</v>
      </c>
      <c r="AO1512" s="7" t="n">
        <v>5</v>
      </c>
      <c r="AP1512" s="7" t="n">
        <v>0</v>
      </c>
      <c r="AQ1512" s="7" t="n">
        <v>1</v>
      </c>
      <c r="AR1512" s="6" t="s">
        <v>63</v>
      </c>
      <c r="AS1512" s="6" t="s">
        <v>57</v>
      </c>
      <c r="AT1512" s="9" t="str">
        <f aca="false">HYPERLINK("http://catalog.hathitrust.org/Record/006753249","HathiTrust Record")</f>
        <v>HathiTrust Record</v>
      </c>
      <c r="AU1512" s="9" t="str">
        <f aca="false">HYPERLINK("https://creighton-primo.hosted.exlibrisgroup.com/primo-explore/search?tab=default_tab&amp;search_scope=EVERYTHING&amp;vid=01CRU&amp;lang=en_US&amp;offset=0&amp;query=any,contains,991000438559702656","Catalog Record")</f>
        <v>Catalog Record</v>
      </c>
      <c r="AV1512" s="9" t="str">
        <f aca="false">HYPERLINK("http://www.worldcat.org/oclc/10800865","WorldCat Record")</f>
        <v>WorldCat Record</v>
      </c>
      <c r="AW1512" s="6" t="s">
        <v>12341</v>
      </c>
      <c r="AX1512" s="6" t="s">
        <v>12342</v>
      </c>
      <c r="AY1512" s="6" t="s">
        <v>12343</v>
      </c>
      <c r="AZ1512" s="6" t="s">
        <v>12343</v>
      </c>
      <c r="BA1512" s="6" t="s">
        <v>12344</v>
      </c>
      <c r="BB1512" s="6" t="s">
        <v>12345</v>
      </c>
      <c r="BC1512" s="6" t="s">
        <v>12346</v>
      </c>
      <c r="BE1512" s="15" t="s">
        <v>2145</v>
      </c>
      <c r="BF1512" s="6" t="s">
        <v>12347</v>
      </c>
    </row>
    <row r="1513" customFormat="false" ht="82.5" hidden="false" customHeight="false" outlineLevel="0" collapsed="false">
      <c r="A1513" s="26" t="s">
        <v>63</v>
      </c>
      <c r="B1513" s="27" t="s">
        <v>2129</v>
      </c>
      <c r="C1513" s="27" t="s">
        <v>2130</v>
      </c>
      <c r="D1513" s="27" t="s">
        <v>12348</v>
      </c>
      <c r="E1513" s="27" t="s">
        <v>12349</v>
      </c>
      <c r="F1513" s="27" t="s">
        <v>12350</v>
      </c>
      <c r="G1513" s="28"/>
      <c r="H1513" s="6" t="s">
        <v>63</v>
      </c>
      <c r="I1513" s="6" t="s">
        <v>62</v>
      </c>
      <c r="J1513" s="6" t="s">
        <v>63</v>
      </c>
      <c r="K1513" s="6" t="s">
        <v>63</v>
      </c>
      <c r="L1513" s="6" t="s">
        <v>64</v>
      </c>
      <c r="M1513" s="27" t="s">
        <v>12351</v>
      </c>
      <c r="N1513" s="27" t="s">
        <v>12352</v>
      </c>
      <c r="O1513" s="6" t="s">
        <v>122</v>
      </c>
      <c r="P1513" s="28"/>
      <c r="Q1513" s="6" t="s">
        <v>67</v>
      </c>
      <c r="R1513" s="6" t="s">
        <v>384</v>
      </c>
      <c r="S1513" s="28"/>
      <c r="T1513" s="6" t="s">
        <v>6138</v>
      </c>
      <c r="U1513" s="7" t="n">
        <v>1</v>
      </c>
      <c r="V1513" s="7" t="n">
        <v>1</v>
      </c>
      <c r="W1513" s="8" t="s">
        <v>12353</v>
      </c>
      <c r="X1513" s="8" t="s">
        <v>12353</v>
      </c>
      <c r="Y1513" s="8" t="s">
        <v>12208</v>
      </c>
      <c r="Z1513" s="8" t="s">
        <v>12208</v>
      </c>
      <c r="AA1513" s="7" t="n">
        <v>60</v>
      </c>
      <c r="AB1513" s="7" t="n">
        <v>51</v>
      </c>
      <c r="AC1513" s="7" t="n">
        <v>679</v>
      </c>
      <c r="AD1513" s="7" t="n">
        <v>1</v>
      </c>
      <c r="AE1513" s="7" t="n">
        <v>5</v>
      </c>
      <c r="AF1513" s="7" t="n">
        <v>2</v>
      </c>
      <c r="AG1513" s="7" t="n">
        <v>39</v>
      </c>
      <c r="AH1513" s="7" t="n">
        <v>1</v>
      </c>
      <c r="AI1513" s="7" t="n">
        <v>17</v>
      </c>
      <c r="AJ1513" s="7" t="n">
        <v>0</v>
      </c>
      <c r="AK1513" s="7" t="n">
        <v>7</v>
      </c>
      <c r="AL1513" s="7" t="n">
        <v>1</v>
      </c>
      <c r="AM1513" s="7" t="n">
        <v>20</v>
      </c>
      <c r="AN1513" s="7" t="n">
        <v>0</v>
      </c>
      <c r="AO1513" s="7" t="n">
        <v>4</v>
      </c>
      <c r="AP1513" s="7" t="n">
        <v>0</v>
      </c>
      <c r="AQ1513" s="7" t="n">
        <v>0</v>
      </c>
      <c r="AR1513" s="6" t="s">
        <v>63</v>
      </c>
      <c r="AS1513" s="6" t="s">
        <v>63</v>
      </c>
      <c r="AT1513" s="28"/>
      <c r="AU1513" s="9" t="str">
        <f aca="false">HYPERLINK("https://creighton-primo.hosted.exlibrisgroup.com/primo-explore/search?tab=default_tab&amp;search_scope=EVERYTHING&amp;vid=01CRU&amp;lang=en_US&amp;offset=0&amp;query=any,contains,991005071849702656","Catalog Record")</f>
        <v>Catalog Record</v>
      </c>
      <c r="AV1513" s="9" t="str">
        <f aca="false">HYPERLINK("http://www.worldcat.org/oclc/7037845","WorldCat Record")</f>
        <v>WorldCat Record</v>
      </c>
      <c r="AW1513" s="6" t="s">
        <v>12354</v>
      </c>
      <c r="AX1513" s="6" t="s">
        <v>12355</v>
      </c>
      <c r="AY1513" s="6" t="s">
        <v>12356</v>
      </c>
      <c r="AZ1513" s="6" t="s">
        <v>12356</v>
      </c>
      <c r="BA1513" s="6" t="s">
        <v>12357</v>
      </c>
      <c r="BB1513" s="28"/>
      <c r="BC1513" s="6" t="s">
        <v>12358</v>
      </c>
      <c r="BE1513" s="15" t="s">
        <v>2145</v>
      </c>
      <c r="BF1513" s="6" t="s">
        <v>12359</v>
      </c>
    </row>
    <row r="1514" customFormat="false" ht="266.5" hidden="false" customHeight="false" outlineLevel="0" collapsed="false">
      <c r="A1514" s="26" t="s">
        <v>63</v>
      </c>
      <c r="B1514" s="27" t="s">
        <v>2129</v>
      </c>
      <c r="C1514" s="27" t="s">
        <v>2130</v>
      </c>
      <c r="D1514" s="27" t="s">
        <v>12360</v>
      </c>
      <c r="E1514" s="27" t="s">
        <v>12361</v>
      </c>
      <c r="F1514" s="27" t="s">
        <v>12362</v>
      </c>
      <c r="G1514" s="28"/>
      <c r="H1514" s="6" t="s">
        <v>63</v>
      </c>
      <c r="I1514" s="6" t="s">
        <v>62</v>
      </c>
      <c r="J1514" s="6" t="s">
        <v>63</v>
      </c>
      <c r="K1514" s="6" t="s">
        <v>63</v>
      </c>
      <c r="L1514" s="6" t="s">
        <v>64</v>
      </c>
      <c r="M1514" s="27" t="s">
        <v>12363</v>
      </c>
      <c r="N1514" s="27" t="s">
        <v>12364</v>
      </c>
      <c r="O1514" s="6" t="s">
        <v>3340</v>
      </c>
      <c r="P1514" s="28"/>
      <c r="Q1514" s="6" t="s">
        <v>67</v>
      </c>
      <c r="R1514" s="6" t="s">
        <v>802</v>
      </c>
      <c r="S1514" s="27" t="s">
        <v>12365</v>
      </c>
      <c r="T1514" s="6" t="s">
        <v>6138</v>
      </c>
      <c r="U1514" s="7" t="n">
        <v>3</v>
      </c>
      <c r="V1514" s="7" t="n">
        <v>3</v>
      </c>
      <c r="W1514" s="8" t="s">
        <v>12366</v>
      </c>
      <c r="X1514" s="8" t="s">
        <v>12366</v>
      </c>
      <c r="Y1514" s="8" t="s">
        <v>12208</v>
      </c>
      <c r="Z1514" s="8" t="s">
        <v>12208</v>
      </c>
      <c r="AA1514" s="7" t="n">
        <v>223</v>
      </c>
      <c r="AB1514" s="7" t="n">
        <v>158</v>
      </c>
      <c r="AC1514" s="7" t="n">
        <v>160</v>
      </c>
      <c r="AD1514" s="7" t="n">
        <v>1</v>
      </c>
      <c r="AE1514" s="7" t="n">
        <v>1</v>
      </c>
      <c r="AF1514" s="7" t="n">
        <v>13</v>
      </c>
      <c r="AG1514" s="7" t="n">
        <v>13</v>
      </c>
      <c r="AH1514" s="7" t="n">
        <v>2</v>
      </c>
      <c r="AI1514" s="7" t="n">
        <v>2</v>
      </c>
      <c r="AJ1514" s="7" t="n">
        <v>5</v>
      </c>
      <c r="AK1514" s="7" t="n">
        <v>5</v>
      </c>
      <c r="AL1514" s="7" t="n">
        <v>11</v>
      </c>
      <c r="AM1514" s="7" t="n">
        <v>11</v>
      </c>
      <c r="AN1514" s="7" t="n">
        <v>0</v>
      </c>
      <c r="AO1514" s="7" t="n">
        <v>0</v>
      </c>
      <c r="AP1514" s="7" t="n">
        <v>0</v>
      </c>
      <c r="AQ1514" s="7" t="n">
        <v>0</v>
      </c>
      <c r="AR1514" s="6" t="s">
        <v>63</v>
      </c>
      <c r="AS1514" s="6" t="s">
        <v>57</v>
      </c>
      <c r="AT1514" s="9" t="str">
        <f aca="false">HYPERLINK("http://catalog.hathitrust.org/Record/009513160","HathiTrust Record")</f>
        <v>HathiTrust Record</v>
      </c>
      <c r="AU1514" s="9" t="str">
        <f aca="false">HYPERLINK("https://creighton-primo.hosted.exlibrisgroup.com/primo-explore/search?tab=default_tab&amp;search_scope=EVERYTHING&amp;vid=01CRU&amp;lang=en_US&amp;offset=0&amp;query=any,contains,991004519879702656","Catalog Record")</f>
        <v>Catalog Record</v>
      </c>
      <c r="AV1514" s="9" t="str">
        <f aca="false">HYPERLINK("http://www.worldcat.org/oclc/3809020","WorldCat Record")</f>
        <v>WorldCat Record</v>
      </c>
      <c r="AW1514" s="6" t="s">
        <v>12367</v>
      </c>
      <c r="AX1514" s="6" t="s">
        <v>12368</v>
      </c>
      <c r="AY1514" s="6" t="s">
        <v>12369</v>
      </c>
      <c r="AZ1514" s="6" t="s">
        <v>12369</v>
      </c>
      <c r="BA1514" s="6" t="s">
        <v>12370</v>
      </c>
      <c r="BB1514" s="6" t="s">
        <v>12371</v>
      </c>
      <c r="BC1514" s="6" t="s">
        <v>12372</v>
      </c>
      <c r="BE1514" s="15" t="s">
        <v>2145</v>
      </c>
      <c r="BF1514" s="6" t="s">
        <v>12373</v>
      </c>
    </row>
    <row r="1515" customFormat="false" ht="209" hidden="false" customHeight="false" outlineLevel="0" collapsed="false">
      <c r="A1515" s="26" t="s">
        <v>63</v>
      </c>
      <c r="B1515" s="27" t="s">
        <v>2129</v>
      </c>
      <c r="C1515" s="27" t="s">
        <v>2130</v>
      </c>
      <c r="D1515" s="27" t="s">
        <v>12374</v>
      </c>
      <c r="E1515" s="27" t="s">
        <v>12375</v>
      </c>
      <c r="F1515" s="27" t="s">
        <v>12376</v>
      </c>
      <c r="G1515" s="28"/>
      <c r="H1515" s="6" t="s">
        <v>63</v>
      </c>
      <c r="I1515" s="6" t="s">
        <v>62</v>
      </c>
      <c r="J1515" s="6" t="s">
        <v>63</v>
      </c>
      <c r="K1515" s="6" t="s">
        <v>63</v>
      </c>
      <c r="L1515" s="6" t="s">
        <v>64</v>
      </c>
      <c r="M1515" s="27" t="s">
        <v>12377</v>
      </c>
      <c r="N1515" s="27" t="s">
        <v>12378</v>
      </c>
      <c r="O1515" s="6" t="s">
        <v>3301</v>
      </c>
      <c r="P1515" s="28"/>
      <c r="Q1515" s="6" t="s">
        <v>67</v>
      </c>
      <c r="R1515" s="6" t="s">
        <v>222</v>
      </c>
      <c r="S1515" s="27" t="s">
        <v>12379</v>
      </c>
      <c r="T1515" s="6" t="s">
        <v>6138</v>
      </c>
      <c r="U1515" s="7" t="n">
        <v>3</v>
      </c>
      <c r="V1515" s="7" t="n">
        <v>3</v>
      </c>
      <c r="W1515" s="8" t="s">
        <v>12366</v>
      </c>
      <c r="X1515" s="8" t="s">
        <v>12366</v>
      </c>
      <c r="Y1515" s="8" t="s">
        <v>9498</v>
      </c>
      <c r="Z1515" s="8" t="s">
        <v>9498</v>
      </c>
      <c r="AA1515" s="7" t="n">
        <v>470</v>
      </c>
      <c r="AB1515" s="7" t="n">
        <v>341</v>
      </c>
      <c r="AC1515" s="7" t="n">
        <v>349</v>
      </c>
      <c r="AD1515" s="7" t="n">
        <v>4</v>
      </c>
      <c r="AE1515" s="7" t="n">
        <v>4</v>
      </c>
      <c r="AF1515" s="7" t="n">
        <v>22</v>
      </c>
      <c r="AG1515" s="7" t="n">
        <v>22</v>
      </c>
      <c r="AH1515" s="7" t="n">
        <v>7</v>
      </c>
      <c r="AI1515" s="7" t="n">
        <v>7</v>
      </c>
      <c r="AJ1515" s="7" t="n">
        <v>7</v>
      </c>
      <c r="AK1515" s="7" t="n">
        <v>7</v>
      </c>
      <c r="AL1515" s="7" t="n">
        <v>16</v>
      </c>
      <c r="AM1515" s="7" t="n">
        <v>16</v>
      </c>
      <c r="AN1515" s="7" t="n">
        <v>2</v>
      </c>
      <c r="AO1515" s="7" t="n">
        <v>2</v>
      </c>
      <c r="AP1515" s="7" t="n">
        <v>0</v>
      </c>
      <c r="AQ1515" s="7" t="n">
        <v>0</v>
      </c>
      <c r="AR1515" s="6" t="s">
        <v>63</v>
      </c>
      <c r="AS1515" s="6" t="s">
        <v>63</v>
      </c>
      <c r="AT1515" s="28"/>
      <c r="AU1515" s="9" t="str">
        <f aca="false">HYPERLINK("https://creighton-primo.hosted.exlibrisgroup.com/primo-explore/search?tab=default_tab&amp;search_scope=EVERYTHING&amp;vid=01CRU&amp;lang=en_US&amp;offset=0&amp;query=any,contains,991005213239702656","Catalog Record")</f>
        <v>Catalog Record</v>
      </c>
      <c r="AV1515" s="9" t="str">
        <f aca="false">HYPERLINK("http://www.worldcat.org/oclc/8171086","WorldCat Record")</f>
        <v>WorldCat Record</v>
      </c>
      <c r="AW1515" s="6" t="s">
        <v>12380</v>
      </c>
      <c r="AX1515" s="6" t="s">
        <v>12381</v>
      </c>
      <c r="AY1515" s="6" t="s">
        <v>12382</v>
      </c>
      <c r="AZ1515" s="6" t="s">
        <v>12382</v>
      </c>
      <c r="BA1515" s="6" t="s">
        <v>12383</v>
      </c>
      <c r="BB1515" s="6" t="s">
        <v>12384</v>
      </c>
      <c r="BC1515" s="6" t="s">
        <v>12385</v>
      </c>
      <c r="BE1515" s="15" t="s">
        <v>2145</v>
      </c>
      <c r="BF1515" s="6" t="s">
        <v>12386</v>
      </c>
    </row>
    <row r="1516" customFormat="false" ht="128.5" hidden="false" customHeight="false" outlineLevel="0" collapsed="false">
      <c r="A1516" s="26" t="s">
        <v>63</v>
      </c>
      <c r="B1516" s="27" t="s">
        <v>2129</v>
      </c>
      <c r="C1516" s="27" t="s">
        <v>2130</v>
      </c>
      <c r="D1516" s="27" t="s">
        <v>12387</v>
      </c>
      <c r="E1516" s="27" t="s">
        <v>12388</v>
      </c>
      <c r="F1516" s="27" t="s">
        <v>12389</v>
      </c>
      <c r="G1516" s="28"/>
      <c r="H1516" s="6" t="s">
        <v>63</v>
      </c>
      <c r="I1516" s="6" t="s">
        <v>62</v>
      </c>
      <c r="J1516" s="6" t="s">
        <v>63</v>
      </c>
      <c r="K1516" s="6" t="s">
        <v>63</v>
      </c>
      <c r="L1516" s="6" t="s">
        <v>64</v>
      </c>
      <c r="M1516" s="27" t="s">
        <v>12390</v>
      </c>
      <c r="N1516" s="27" t="s">
        <v>10407</v>
      </c>
      <c r="O1516" s="6" t="s">
        <v>3301</v>
      </c>
      <c r="P1516" s="28"/>
      <c r="Q1516" s="6" t="s">
        <v>67</v>
      </c>
      <c r="R1516" s="6" t="s">
        <v>384</v>
      </c>
      <c r="S1516" s="28"/>
      <c r="T1516" s="6" t="s">
        <v>6138</v>
      </c>
      <c r="U1516" s="7" t="n">
        <v>2</v>
      </c>
      <c r="V1516" s="7" t="n">
        <v>2</v>
      </c>
      <c r="W1516" s="8" t="s">
        <v>12391</v>
      </c>
      <c r="X1516" s="8" t="s">
        <v>12391</v>
      </c>
      <c r="Y1516" s="8" t="s">
        <v>12392</v>
      </c>
      <c r="Z1516" s="8" t="s">
        <v>12392</v>
      </c>
      <c r="AA1516" s="7" t="n">
        <v>512</v>
      </c>
      <c r="AB1516" s="7" t="n">
        <v>344</v>
      </c>
      <c r="AC1516" s="7" t="n">
        <v>356</v>
      </c>
      <c r="AD1516" s="7" t="n">
        <v>3</v>
      </c>
      <c r="AE1516" s="7" t="n">
        <v>3</v>
      </c>
      <c r="AF1516" s="7" t="n">
        <v>25</v>
      </c>
      <c r="AG1516" s="7" t="n">
        <v>25</v>
      </c>
      <c r="AH1516" s="7" t="n">
        <v>9</v>
      </c>
      <c r="AI1516" s="7" t="n">
        <v>9</v>
      </c>
      <c r="AJ1516" s="7" t="n">
        <v>6</v>
      </c>
      <c r="AK1516" s="7" t="n">
        <v>6</v>
      </c>
      <c r="AL1516" s="7" t="n">
        <v>17</v>
      </c>
      <c r="AM1516" s="7" t="n">
        <v>17</v>
      </c>
      <c r="AN1516" s="7" t="n">
        <v>2</v>
      </c>
      <c r="AO1516" s="7" t="n">
        <v>2</v>
      </c>
      <c r="AP1516" s="7" t="n">
        <v>0</v>
      </c>
      <c r="AQ1516" s="7" t="n">
        <v>0</v>
      </c>
      <c r="AR1516" s="6" t="s">
        <v>63</v>
      </c>
      <c r="AS1516" s="6" t="s">
        <v>63</v>
      </c>
      <c r="AT1516" s="28"/>
      <c r="AU1516" s="9" t="str">
        <f aca="false">HYPERLINK("https://creighton-primo.hosted.exlibrisgroup.com/primo-explore/search?tab=default_tab&amp;search_scope=EVERYTHING&amp;vid=01CRU&amp;lang=en_US&amp;offset=0&amp;query=any,contains,991005207479702656","Catalog Record")</f>
        <v>Catalog Record</v>
      </c>
      <c r="AV1516" s="9" t="str">
        <f aca="false">HYPERLINK("http://www.worldcat.org/oclc/8132176","WorldCat Record")</f>
        <v>WorldCat Record</v>
      </c>
      <c r="AW1516" s="6" t="s">
        <v>12393</v>
      </c>
      <c r="AX1516" s="6" t="s">
        <v>12394</v>
      </c>
      <c r="AY1516" s="6" t="s">
        <v>12395</v>
      </c>
      <c r="AZ1516" s="6" t="s">
        <v>12395</v>
      </c>
      <c r="BA1516" s="6" t="s">
        <v>12396</v>
      </c>
      <c r="BB1516" s="6" t="s">
        <v>12397</v>
      </c>
      <c r="BC1516" s="6" t="s">
        <v>12398</v>
      </c>
      <c r="BE1516" s="15" t="s">
        <v>2145</v>
      </c>
      <c r="BF1516" s="6" t="s">
        <v>12399</v>
      </c>
    </row>
    <row r="1517" customFormat="false" ht="105.5" hidden="false" customHeight="false" outlineLevel="0" collapsed="false">
      <c r="A1517" s="26" t="s">
        <v>63</v>
      </c>
      <c r="B1517" s="27" t="s">
        <v>2129</v>
      </c>
      <c r="C1517" s="27" t="s">
        <v>2130</v>
      </c>
      <c r="D1517" s="27" t="s">
        <v>12400</v>
      </c>
      <c r="E1517" s="27" t="s">
        <v>12401</v>
      </c>
      <c r="F1517" s="27" t="s">
        <v>12402</v>
      </c>
      <c r="G1517" s="28"/>
      <c r="H1517" s="6" t="s">
        <v>63</v>
      </c>
      <c r="I1517" s="6" t="s">
        <v>62</v>
      </c>
      <c r="J1517" s="6" t="s">
        <v>63</v>
      </c>
      <c r="K1517" s="6" t="s">
        <v>63</v>
      </c>
      <c r="L1517" s="6" t="s">
        <v>64</v>
      </c>
      <c r="M1517" s="27" t="s">
        <v>9065</v>
      </c>
      <c r="N1517" s="27" t="s">
        <v>12403</v>
      </c>
      <c r="O1517" s="6" t="s">
        <v>2651</v>
      </c>
      <c r="P1517" s="28"/>
      <c r="Q1517" s="6" t="s">
        <v>67</v>
      </c>
      <c r="R1517" s="6" t="s">
        <v>123</v>
      </c>
      <c r="S1517" s="28"/>
      <c r="T1517" s="6" t="s">
        <v>6138</v>
      </c>
      <c r="U1517" s="7" t="n">
        <v>2</v>
      </c>
      <c r="V1517" s="7" t="n">
        <v>2</v>
      </c>
      <c r="W1517" s="8" t="s">
        <v>12404</v>
      </c>
      <c r="X1517" s="8" t="s">
        <v>12404</v>
      </c>
      <c r="Y1517" s="8" t="s">
        <v>12208</v>
      </c>
      <c r="Z1517" s="8" t="s">
        <v>12208</v>
      </c>
      <c r="AA1517" s="7" t="n">
        <v>270</v>
      </c>
      <c r="AB1517" s="7" t="n">
        <v>185</v>
      </c>
      <c r="AC1517" s="7" t="n">
        <v>959</v>
      </c>
      <c r="AD1517" s="7" t="n">
        <v>3</v>
      </c>
      <c r="AE1517" s="7" t="n">
        <v>8</v>
      </c>
      <c r="AF1517" s="7" t="n">
        <v>11</v>
      </c>
      <c r="AG1517" s="7" t="n">
        <v>46</v>
      </c>
      <c r="AH1517" s="7" t="n">
        <v>4</v>
      </c>
      <c r="AI1517" s="7" t="n">
        <v>19</v>
      </c>
      <c r="AJ1517" s="7" t="n">
        <v>2</v>
      </c>
      <c r="AK1517" s="7" t="n">
        <v>8</v>
      </c>
      <c r="AL1517" s="7" t="n">
        <v>7</v>
      </c>
      <c r="AM1517" s="7" t="n">
        <v>25</v>
      </c>
      <c r="AN1517" s="7" t="n">
        <v>2</v>
      </c>
      <c r="AO1517" s="7" t="n">
        <v>6</v>
      </c>
      <c r="AP1517" s="7" t="n">
        <v>0</v>
      </c>
      <c r="AQ1517" s="7" t="n">
        <v>0</v>
      </c>
      <c r="AR1517" s="6" t="s">
        <v>57</v>
      </c>
      <c r="AS1517" s="6" t="s">
        <v>63</v>
      </c>
      <c r="AT1517" s="9" t="str">
        <f aca="false">HYPERLINK("http://catalog.hathitrust.org/Record/001385614","HathiTrust Record")</f>
        <v>HathiTrust Record</v>
      </c>
      <c r="AU1517" s="9" t="str">
        <f aca="false">HYPERLINK("https://creighton-primo.hosted.exlibrisgroup.com/primo-explore/search?tab=default_tab&amp;search_scope=EVERYTHING&amp;vid=01CRU&amp;lang=en_US&amp;offset=0&amp;query=any,contains,991003411459702656","Catalog Record")</f>
        <v>Catalog Record</v>
      </c>
      <c r="AV1517" s="9" t="str">
        <f aca="false">HYPERLINK("http://www.worldcat.org/oclc/949718","WorldCat Record")</f>
        <v>WorldCat Record</v>
      </c>
      <c r="AW1517" s="6" t="s">
        <v>12405</v>
      </c>
      <c r="AX1517" s="6" t="s">
        <v>12406</v>
      </c>
      <c r="AY1517" s="6" t="s">
        <v>12407</v>
      </c>
      <c r="AZ1517" s="6" t="s">
        <v>12407</v>
      </c>
      <c r="BA1517" s="6" t="s">
        <v>12408</v>
      </c>
      <c r="BB1517" s="28"/>
      <c r="BC1517" s="6" t="s">
        <v>12409</v>
      </c>
      <c r="BE1517" s="15" t="s">
        <v>2145</v>
      </c>
      <c r="BF1517" s="6" t="s">
        <v>12410</v>
      </c>
    </row>
    <row r="1518" customFormat="false" ht="128.5" hidden="false" customHeight="false" outlineLevel="0" collapsed="false">
      <c r="A1518" s="26" t="s">
        <v>63</v>
      </c>
      <c r="B1518" s="27" t="s">
        <v>2129</v>
      </c>
      <c r="C1518" s="27" t="s">
        <v>2130</v>
      </c>
      <c r="D1518" s="27" t="s">
        <v>12411</v>
      </c>
      <c r="E1518" s="27" t="s">
        <v>12412</v>
      </c>
      <c r="F1518" s="27" t="s">
        <v>12413</v>
      </c>
      <c r="G1518" s="28"/>
      <c r="H1518" s="6" t="s">
        <v>63</v>
      </c>
      <c r="I1518" s="6" t="s">
        <v>62</v>
      </c>
      <c r="J1518" s="6" t="s">
        <v>63</v>
      </c>
      <c r="K1518" s="6" t="s">
        <v>63</v>
      </c>
      <c r="L1518" s="6" t="s">
        <v>64</v>
      </c>
      <c r="M1518" s="27" t="s">
        <v>12414</v>
      </c>
      <c r="N1518" s="27" t="s">
        <v>12415</v>
      </c>
      <c r="O1518" s="6" t="s">
        <v>246</v>
      </c>
      <c r="P1518" s="28"/>
      <c r="Q1518" s="6" t="s">
        <v>67</v>
      </c>
      <c r="R1518" s="6" t="s">
        <v>384</v>
      </c>
      <c r="S1518" s="27" t="s">
        <v>3850</v>
      </c>
      <c r="T1518" s="6" t="s">
        <v>6138</v>
      </c>
      <c r="U1518" s="7" t="n">
        <v>5</v>
      </c>
      <c r="V1518" s="7" t="n">
        <v>5</v>
      </c>
      <c r="W1518" s="8" t="s">
        <v>12416</v>
      </c>
      <c r="X1518" s="8" t="s">
        <v>12416</v>
      </c>
      <c r="Y1518" s="8" t="s">
        <v>12417</v>
      </c>
      <c r="Z1518" s="8" t="s">
        <v>12417</v>
      </c>
      <c r="AA1518" s="7" t="n">
        <v>865</v>
      </c>
      <c r="AB1518" s="7" t="n">
        <v>625</v>
      </c>
      <c r="AC1518" s="7" t="n">
        <v>705</v>
      </c>
      <c r="AD1518" s="7" t="n">
        <v>5</v>
      </c>
      <c r="AE1518" s="7" t="n">
        <v>6</v>
      </c>
      <c r="AF1518" s="7" t="n">
        <v>37</v>
      </c>
      <c r="AG1518" s="7" t="n">
        <v>42</v>
      </c>
      <c r="AH1518" s="7" t="n">
        <v>15</v>
      </c>
      <c r="AI1518" s="7" t="n">
        <v>17</v>
      </c>
      <c r="AJ1518" s="7" t="n">
        <v>9</v>
      </c>
      <c r="AK1518" s="7" t="n">
        <v>10</v>
      </c>
      <c r="AL1518" s="7" t="n">
        <v>19</v>
      </c>
      <c r="AM1518" s="7" t="n">
        <v>22</v>
      </c>
      <c r="AN1518" s="7" t="n">
        <v>3</v>
      </c>
      <c r="AO1518" s="7" t="n">
        <v>4</v>
      </c>
      <c r="AP1518" s="7" t="n">
        <v>1</v>
      </c>
      <c r="AQ1518" s="7" t="n">
        <v>1</v>
      </c>
      <c r="AR1518" s="6" t="s">
        <v>63</v>
      </c>
      <c r="AS1518" s="6" t="s">
        <v>57</v>
      </c>
      <c r="AT1518" s="9" t="str">
        <f aca="false">HYPERLINK("http://catalog.hathitrust.org/Record/000017113","HathiTrust Record")</f>
        <v>HathiTrust Record</v>
      </c>
      <c r="AU1518" s="9" t="str">
        <f aca="false">HYPERLINK("https://creighton-primo.hosted.exlibrisgroup.com/primo-explore/search?tab=default_tab&amp;search_scope=EVERYTHING&amp;vid=01CRU&amp;lang=en_US&amp;offset=0&amp;query=any,contains,991004546399702656","Catalog Record")</f>
        <v>Catalog Record</v>
      </c>
      <c r="AV1518" s="9" t="str">
        <f aca="false">HYPERLINK("http://www.worldcat.org/oclc/3915413","WorldCat Record")</f>
        <v>WorldCat Record</v>
      </c>
      <c r="AW1518" s="6" t="s">
        <v>12418</v>
      </c>
      <c r="AX1518" s="6" t="s">
        <v>12419</v>
      </c>
      <c r="AY1518" s="6" t="s">
        <v>12420</v>
      </c>
      <c r="AZ1518" s="6" t="s">
        <v>12420</v>
      </c>
      <c r="BA1518" s="6" t="s">
        <v>12421</v>
      </c>
      <c r="BB1518" s="6" t="s">
        <v>12422</v>
      </c>
      <c r="BC1518" s="6" t="s">
        <v>12423</v>
      </c>
      <c r="BE1518" s="15" t="s">
        <v>2145</v>
      </c>
      <c r="BF1518" s="6" t="s">
        <v>12424</v>
      </c>
    </row>
    <row r="1519" customFormat="false" ht="140" hidden="false" customHeight="false" outlineLevel="0" collapsed="false">
      <c r="A1519" s="26" t="s">
        <v>63</v>
      </c>
      <c r="B1519" s="27" t="s">
        <v>2129</v>
      </c>
      <c r="C1519" s="27" t="s">
        <v>2130</v>
      </c>
      <c r="D1519" s="27" t="s">
        <v>12425</v>
      </c>
      <c r="E1519" s="27" t="s">
        <v>12426</v>
      </c>
      <c r="F1519" s="27" t="s">
        <v>12427</v>
      </c>
      <c r="G1519" s="28"/>
      <c r="H1519" s="6" t="s">
        <v>63</v>
      </c>
      <c r="I1519" s="6" t="s">
        <v>62</v>
      </c>
      <c r="J1519" s="6" t="s">
        <v>63</v>
      </c>
      <c r="K1519" s="6" t="s">
        <v>63</v>
      </c>
      <c r="L1519" s="6" t="s">
        <v>64</v>
      </c>
      <c r="M1519" s="27" t="s">
        <v>12428</v>
      </c>
      <c r="N1519" s="27" t="s">
        <v>12429</v>
      </c>
      <c r="O1519" s="6" t="s">
        <v>2623</v>
      </c>
      <c r="P1519" s="28"/>
      <c r="Q1519" s="6" t="s">
        <v>67</v>
      </c>
      <c r="R1519" s="6" t="s">
        <v>384</v>
      </c>
      <c r="S1519" s="28"/>
      <c r="T1519" s="6" t="s">
        <v>6138</v>
      </c>
      <c r="U1519" s="7" t="n">
        <v>1</v>
      </c>
      <c r="V1519" s="7" t="n">
        <v>1</v>
      </c>
      <c r="W1519" s="8" t="s">
        <v>12404</v>
      </c>
      <c r="X1519" s="8" t="s">
        <v>12404</v>
      </c>
      <c r="Y1519" s="8" t="s">
        <v>9498</v>
      </c>
      <c r="Z1519" s="8" t="s">
        <v>9498</v>
      </c>
      <c r="AA1519" s="7" t="n">
        <v>575</v>
      </c>
      <c r="AB1519" s="7" t="n">
        <v>422</v>
      </c>
      <c r="AC1519" s="7" t="n">
        <v>454</v>
      </c>
      <c r="AD1519" s="7" t="n">
        <v>3</v>
      </c>
      <c r="AE1519" s="7" t="n">
        <v>3</v>
      </c>
      <c r="AF1519" s="7" t="n">
        <v>30</v>
      </c>
      <c r="AG1519" s="7" t="n">
        <v>30</v>
      </c>
      <c r="AH1519" s="7" t="n">
        <v>12</v>
      </c>
      <c r="AI1519" s="7" t="n">
        <v>12</v>
      </c>
      <c r="AJ1519" s="7" t="n">
        <v>9</v>
      </c>
      <c r="AK1519" s="7" t="n">
        <v>9</v>
      </c>
      <c r="AL1519" s="7" t="n">
        <v>18</v>
      </c>
      <c r="AM1519" s="7" t="n">
        <v>18</v>
      </c>
      <c r="AN1519" s="7" t="n">
        <v>2</v>
      </c>
      <c r="AO1519" s="7" t="n">
        <v>2</v>
      </c>
      <c r="AP1519" s="7" t="n">
        <v>0</v>
      </c>
      <c r="AQ1519" s="7" t="n">
        <v>0</v>
      </c>
      <c r="AR1519" s="6" t="s">
        <v>63</v>
      </c>
      <c r="AS1519" s="6" t="s">
        <v>63</v>
      </c>
      <c r="AT1519" s="28"/>
      <c r="AU1519" s="9" t="str">
        <f aca="false">HYPERLINK("https://creighton-primo.hosted.exlibrisgroup.com/primo-explore/search?tab=default_tab&amp;search_scope=EVERYTHING&amp;vid=01CRU&amp;lang=en_US&amp;offset=0&amp;query=any,contains,991004961069702656","Catalog Record")</f>
        <v>Catalog Record</v>
      </c>
      <c r="AV1519" s="9" t="str">
        <f aca="false">HYPERLINK("http://www.worldcat.org/oclc/6305082","WorldCat Record")</f>
        <v>WorldCat Record</v>
      </c>
      <c r="AW1519" s="6" t="s">
        <v>12430</v>
      </c>
      <c r="AX1519" s="6" t="s">
        <v>12431</v>
      </c>
      <c r="AY1519" s="6" t="s">
        <v>12432</v>
      </c>
      <c r="AZ1519" s="6" t="s">
        <v>12432</v>
      </c>
      <c r="BA1519" s="6" t="s">
        <v>12433</v>
      </c>
      <c r="BB1519" s="6" t="s">
        <v>12434</v>
      </c>
      <c r="BC1519" s="6" t="s">
        <v>12435</v>
      </c>
      <c r="BE1519" s="15" t="s">
        <v>2145</v>
      </c>
      <c r="BF1519" s="6" t="s">
        <v>12436</v>
      </c>
    </row>
    <row r="1520" customFormat="false" ht="140" hidden="false" customHeight="false" outlineLevel="0" collapsed="false">
      <c r="A1520" s="26" t="s">
        <v>63</v>
      </c>
      <c r="B1520" s="27" t="s">
        <v>2129</v>
      </c>
      <c r="C1520" s="27" t="s">
        <v>2130</v>
      </c>
      <c r="D1520" s="27" t="s">
        <v>12437</v>
      </c>
      <c r="E1520" s="27" t="s">
        <v>12438</v>
      </c>
      <c r="F1520" s="27" t="s">
        <v>12439</v>
      </c>
      <c r="G1520" s="28"/>
      <c r="H1520" s="6" t="s">
        <v>63</v>
      </c>
      <c r="I1520" s="6" t="s">
        <v>62</v>
      </c>
      <c r="J1520" s="6" t="s">
        <v>63</v>
      </c>
      <c r="K1520" s="6" t="s">
        <v>63</v>
      </c>
      <c r="L1520" s="6" t="s">
        <v>64</v>
      </c>
      <c r="M1520" s="27" t="s">
        <v>12440</v>
      </c>
      <c r="N1520" s="27" t="s">
        <v>12441</v>
      </c>
      <c r="O1520" s="6" t="s">
        <v>2426</v>
      </c>
      <c r="P1520" s="28"/>
      <c r="Q1520" s="6" t="s">
        <v>67</v>
      </c>
      <c r="R1520" s="6" t="s">
        <v>802</v>
      </c>
      <c r="S1520" s="28"/>
      <c r="T1520" s="6" t="s">
        <v>6138</v>
      </c>
      <c r="U1520" s="7" t="n">
        <v>1</v>
      </c>
      <c r="V1520" s="7" t="n">
        <v>1</v>
      </c>
      <c r="W1520" s="8" t="s">
        <v>12442</v>
      </c>
      <c r="X1520" s="8" t="s">
        <v>12442</v>
      </c>
      <c r="Y1520" s="8" t="s">
        <v>12208</v>
      </c>
      <c r="Z1520" s="8" t="s">
        <v>12208</v>
      </c>
      <c r="AA1520" s="7" t="n">
        <v>432</v>
      </c>
      <c r="AB1520" s="7" t="n">
        <v>322</v>
      </c>
      <c r="AC1520" s="7" t="n">
        <v>341</v>
      </c>
      <c r="AD1520" s="7" t="n">
        <v>2</v>
      </c>
      <c r="AE1520" s="7" t="n">
        <v>2</v>
      </c>
      <c r="AF1520" s="7" t="n">
        <v>24</v>
      </c>
      <c r="AG1520" s="7" t="n">
        <v>24</v>
      </c>
      <c r="AH1520" s="7" t="n">
        <v>9</v>
      </c>
      <c r="AI1520" s="7" t="n">
        <v>9</v>
      </c>
      <c r="AJ1520" s="7" t="n">
        <v>5</v>
      </c>
      <c r="AK1520" s="7" t="n">
        <v>5</v>
      </c>
      <c r="AL1520" s="7" t="n">
        <v>17</v>
      </c>
      <c r="AM1520" s="7" t="n">
        <v>17</v>
      </c>
      <c r="AN1520" s="7" t="n">
        <v>1</v>
      </c>
      <c r="AO1520" s="7" t="n">
        <v>1</v>
      </c>
      <c r="AP1520" s="7" t="n">
        <v>0</v>
      </c>
      <c r="AQ1520" s="7" t="n">
        <v>0</v>
      </c>
      <c r="AR1520" s="6" t="s">
        <v>63</v>
      </c>
      <c r="AS1520" s="6" t="s">
        <v>57</v>
      </c>
      <c r="AT1520" s="9" t="str">
        <f aca="false">HYPERLINK("http://catalog.hathitrust.org/Record/001385619","HathiTrust Record")</f>
        <v>HathiTrust Record</v>
      </c>
      <c r="AU1520" s="9" t="str">
        <f aca="false">HYPERLINK("https://creighton-primo.hosted.exlibrisgroup.com/primo-explore/search?tab=default_tab&amp;search_scope=EVERYTHING&amp;vid=01CRU&amp;lang=en_US&amp;offset=0&amp;query=any,contains,991003506059702656","Catalog Record")</f>
        <v>Catalog Record</v>
      </c>
      <c r="AV1520" s="9" t="str">
        <f aca="false">HYPERLINK("http://www.worldcat.org/oclc/1057264","WorldCat Record")</f>
        <v>WorldCat Record</v>
      </c>
      <c r="AW1520" s="6" t="s">
        <v>12443</v>
      </c>
      <c r="AX1520" s="6" t="s">
        <v>12444</v>
      </c>
      <c r="AY1520" s="6" t="s">
        <v>12445</v>
      </c>
      <c r="AZ1520" s="6" t="s">
        <v>12445</v>
      </c>
      <c r="BA1520" s="6" t="s">
        <v>12446</v>
      </c>
      <c r="BB1520" s="6" t="s">
        <v>12447</v>
      </c>
      <c r="BC1520" s="6" t="s">
        <v>12448</v>
      </c>
      <c r="BE1520" s="15" t="s">
        <v>2145</v>
      </c>
      <c r="BF1520" s="6" t="s">
        <v>12449</v>
      </c>
    </row>
    <row r="1521" customFormat="false" ht="117" hidden="false" customHeight="false" outlineLevel="0" collapsed="false">
      <c r="A1521" s="26" t="s">
        <v>63</v>
      </c>
      <c r="B1521" s="27" t="s">
        <v>2129</v>
      </c>
      <c r="C1521" s="27" t="s">
        <v>2130</v>
      </c>
      <c r="D1521" s="27" t="s">
        <v>12450</v>
      </c>
      <c r="E1521" s="27" t="s">
        <v>12451</v>
      </c>
      <c r="F1521" s="27" t="s">
        <v>12452</v>
      </c>
      <c r="G1521" s="28"/>
      <c r="H1521" s="6" t="s">
        <v>63</v>
      </c>
      <c r="I1521" s="6" t="s">
        <v>62</v>
      </c>
      <c r="J1521" s="6" t="s">
        <v>63</v>
      </c>
      <c r="K1521" s="6" t="s">
        <v>63</v>
      </c>
      <c r="L1521" s="6" t="s">
        <v>64</v>
      </c>
      <c r="M1521" s="27" t="s">
        <v>11943</v>
      </c>
      <c r="N1521" s="27" t="s">
        <v>12453</v>
      </c>
      <c r="O1521" s="6" t="s">
        <v>221</v>
      </c>
      <c r="P1521" s="28"/>
      <c r="Q1521" s="6" t="s">
        <v>67</v>
      </c>
      <c r="R1521" s="6" t="s">
        <v>2894</v>
      </c>
      <c r="S1521" s="28"/>
      <c r="T1521" s="6" t="s">
        <v>6138</v>
      </c>
      <c r="U1521" s="7" t="n">
        <v>1</v>
      </c>
      <c r="V1521" s="7" t="n">
        <v>1</v>
      </c>
      <c r="W1521" s="8" t="s">
        <v>12454</v>
      </c>
      <c r="X1521" s="8" t="s">
        <v>12454</v>
      </c>
      <c r="Y1521" s="8" t="s">
        <v>9498</v>
      </c>
      <c r="Z1521" s="8" t="s">
        <v>9498</v>
      </c>
      <c r="AA1521" s="7" t="n">
        <v>384</v>
      </c>
      <c r="AB1521" s="7" t="n">
        <v>303</v>
      </c>
      <c r="AC1521" s="7" t="n">
        <v>309</v>
      </c>
      <c r="AD1521" s="7" t="n">
        <v>3</v>
      </c>
      <c r="AE1521" s="7" t="n">
        <v>3</v>
      </c>
      <c r="AF1521" s="7" t="n">
        <v>23</v>
      </c>
      <c r="AG1521" s="7" t="n">
        <v>23</v>
      </c>
      <c r="AH1521" s="7" t="n">
        <v>8</v>
      </c>
      <c r="AI1521" s="7" t="n">
        <v>8</v>
      </c>
      <c r="AJ1521" s="7" t="n">
        <v>6</v>
      </c>
      <c r="AK1521" s="7" t="n">
        <v>6</v>
      </c>
      <c r="AL1521" s="7" t="n">
        <v>16</v>
      </c>
      <c r="AM1521" s="7" t="n">
        <v>16</v>
      </c>
      <c r="AN1521" s="7" t="n">
        <v>2</v>
      </c>
      <c r="AO1521" s="7" t="n">
        <v>2</v>
      </c>
      <c r="AP1521" s="7" t="n">
        <v>0</v>
      </c>
      <c r="AQ1521" s="7" t="n">
        <v>0</v>
      </c>
      <c r="AR1521" s="6" t="s">
        <v>63</v>
      </c>
      <c r="AS1521" s="6" t="s">
        <v>57</v>
      </c>
      <c r="AT1521" s="9" t="str">
        <f aca="false">HYPERLINK("http://catalog.hathitrust.org/Record/000773793","HathiTrust Record")</f>
        <v>HathiTrust Record</v>
      </c>
      <c r="AU1521" s="9" t="str">
        <f aca="false">HYPERLINK("https://creighton-primo.hosted.exlibrisgroup.com/primo-explore/search?tab=default_tab&amp;search_scope=EVERYTHING&amp;vid=01CRU&amp;lang=en_US&amp;offset=0&amp;query=any,contains,991000120519702656","Catalog Record")</f>
        <v>Catalog Record</v>
      </c>
      <c r="AV1521" s="9" t="str">
        <f aca="false">HYPERLINK("http://www.worldcat.org/oclc/9066380","WorldCat Record")</f>
        <v>WorldCat Record</v>
      </c>
      <c r="AW1521" s="6" t="s">
        <v>12455</v>
      </c>
      <c r="AX1521" s="6" t="s">
        <v>12456</v>
      </c>
      <c r="AY1521" s="6" t="s">
        <v>12457</v>
      </c>
      <c r="AZ1521" s="6" t="s">
        <v>12457</v>
      </c>
      <c r="BA1521" s="6" t="s">
        <v>12458</v>
      </c>
      <c r="BB1521" s="6" t="s">
        <v>12459</v>
      </c>
      <c r="BC1521" s="6" t="s">
        <v>12460</v>
      </c>
      <c r="BE1521" s="15" t="s">
        <v>2145</v>
      </c>
      <c r="BF1521" s="6" t="s">
        <v>12461</v>
      </c>
    </row>
    <row r="1522" customFormat="false" ht="151.5" hidden="false" customHeight="false" outlineLevel="0" collapsed="false">
      <c r="A1522" s="26" t="s">
        <v>63</v>
      </c>
      <c r="B1522" s="27" t="s">
        <v>2129</v>
      </c>
      <c r="C1522" s="27" t="s">
        <v>2130</v>
      </c>
      <c r="D1522" s="27" t="s">
        <v>12462</v>
      </c>
      <c r="E1522" s="27" t="s">
        <v>12463</v>
      </c>
      <c r="F1522" s="27" t="s">
        <v>12464</v>
      </c>
      <c r="G1522" s="28"/>
      <c r="H1522" s="6" t="s">
        <v>63</v>
      </c>
      <c r="I1522" s="6" t="s">
        <v>62</v>
      </c>
      <c r="J1522" s="6" t="s">
        <v>63</v>
      </c>
      <c r="K1522" s="6" t="s">
        <v>63</v>
      </c>
      <c r="L1522" s="6" t="s">
        <v>64</v>
      </c>
      <c r="M1522" s="28"/>
      <c r="N1522" s="27" t="s">
        <v>12465</v>
      </c>
      <c r="O1522" s="6" t="s">
        <v>2623</v>
      </c>
      <c r="P1522" s="28"/>
      <c r="Q1522" s="6" t="s">
        <v>67</v>
      </c>
      <c r="R1522" s="6" t="s">
        <v>1108</v>
      </c>
      <c r="S1522" s="28"/>
      <c r="T1522" s="6" t="s">
        <v>6138</v>
      </c>
      <c r="U1522" s="7" t="n">
        <v>3</v>
      </c>
      <c r="V1522" s="7" t="n">
        <v>3</v>
      </c>
      <c r="W1522" s="8" t="s">
        <v>11714</v>
      </c>
      <c r="X1522" s="8" t="s">
        <v>11714</v>
      </c>
      <c r="Y1522" s="8" t="s">
        <v>9498</v>
      </c>
      <c r="Z1522" s="8" t="s">
        <v>9498</v>
      </c>
      <c r="AA1522" s="7" t="n">
        <v>386</v>
      </c>
      <c r="AB1522" s="7" t="n">
        <v>281</v>
      </c>
      <c r="AC1522" s="7" t="n">
        <v>288</v>
      </c>
      <c r="AD1522" s="7" t="n">
        <v>3</v>
      </c>
      <c r="AE1522" s="7" t="n">
        <v>3</v>
      </c>
      <c r="AF1522" s="7" t="n">
        <v>26</v>
      </c>
      <c r="AG1522" s="7" t="n">
        <v>26</v>
      </c>
      <c r="AH1522" s="7" t="n">
        <v>9</v>
      </c>
      <c r="AI1522" s="7" t="n">
        <v>9</v>
      </c>
      <c r="AJ1522" s="7" t="n">
        <v>7</v>
      </c>
      <c r="AK1522" s="7" t="n">
        <v>7</v>
      </c>
      <c r="AL1522" s="7" t="n">
        <v>17</v>
      </c>
      <c r="AM1522" s="7" t="n">
        <v>17</v>
      </c>
      <c r="AN1522" s="7" t="n">
        <v>2</v>
      </c>
      <c r="AO1522" s="7" t="n">
        <v>2</v>
      </c>
      <c r="AP1522" s="7" t="n">
        <v>0</v>
      </c>
      <c r="AQ1522" s="7" t="n">
        <v>0</v>
      </c>
      <c r="AR1522" s="6" t="s">
        <v>63</v>
      </c>
      <c r="AS1522" s="6" t="s">
        <v>63</v>
      </c>
      <c r="AT1522" s="28"/>
      <c r="AU1522" s="9" t="str">
        <f aca="false">HYPERLINK("https://creighton-primo.hosted.exlibrisgroup.com/primo-explore/search?tab=default_tab&amp;search_scope=EVERYTHING&amp;vid=01CRU&amp;lang=en_US&amp;offset=0&amp;query=any,contains,991004446049702656","Catalog Record")</f>
        <v>Catalog Record</v>
      </c>
      <c r="AV1522" s="9" t="str">
        <f aca="false">HYPERLINK("http://www.worldcat.org/oclc/3481677","WorldCat Record")</f>
        <v>WorldCat Record</v>
      </c>
      <c r="AW1522" s="6" t="s">
        <v>12466</v>
      </c>
      <c r="AX1522" s="6" t="s">
        <v>12467</v>
      </c>
      <c r="AY1522" s="6" t="s">
        <v>12468</v>
      </c>
      <c r="AZ1522" s="6" t="s">
        <v>12468</v>
      </c>
      <c r="BA1522" s="6" t="s">
        <v>12469</v>
      </c>
      <c r="BB1522" s="6" t="s">
        <v>12470</v>
      </c>
      <c r="BC1522" s="6" t="s">
        <v>12471</v>
      </c>
      <c r="BE1522" s="15" t="s">
        <v>2145</v>
      </c>
      <c r="BF1522" s="6" t="s">
        <v>12472</v>
      </c>
    </row>
    <row r="1523" customFormat="false" ht="117" hidden="false" customHeight="false" outlineLevel="0" collapsed="false">
      <c r="A1523" s="26" t="s">
        <v>57</v>
      </c>
      <c r="B1523" s="27" t="s">
        <v>2129</v>
      </c>
      <c r="C1523" s="27" t="s">
        <v>2130</v>
      </c>
      <c r="D1523" s="27" t="s">
        <v>12473</v>
      </c>
      <c r="E1523" s="27" t="s">
        <v>12474</v>
      </c>
      <c r="F1523" s="27" t="s">
        <v>12475</v>
      </c>
      <c r="G1523" s="28"/>
      <c r="H1523" s="6" t="s">
        <v>63</v>
      </c>
      <c r="I1523" s="6" t="s">
        <v>62</v>
      </c>
      <c r="J1523" s="6" t="s">
        <v>63</v>
      </c>
      <c r="K1523" s="6" t="s">
        <v>63</v>
      </c>
      <c r="L1523" s="6" t="s">
        <v>64</v>
      </c>
      <c r="M1523" s="27" t="s">
        <v>12476</v>
      </c>
      <c r="N1523" s="27" t="s">
        <v>12477</v>
      </c>
      <c r="O1523" s="6" t="s">
        <v>3697</v>
      </c>
      <c r="P1523" s="28"/>
      <c r="Q1523" s="6" t="s">
        <v>67</v>
      </c>
      <c r="R1523" s="6" t="s">
        <v>384</v>
      </c>
      <c r="S1523" s="28"/>
      <c r="T1523" s="6" t="s">
        <v>6138</v>
      </c>
      <c r="U1523" s="7" t="n">
        <v>3</v>
      </c>
      <c r="V1523" s="7" t="n">
        <v>3</v>
      </c>
      <c r="W1523" s="8" t="s">
        <v>12478</v>
      </c>
      <c r="X1523" s="8" t="s">
        <v>12478</v>
      </c>
      <c r="Y1523" s="8" t="s">
        <v>12479</v>
      </c>
      <c r="Z1523" s="8" t="s">
        <v>12479</v>
      </c>
      <c r="AA1523" s="7" t="n">
        <v>680</v>
      </c>
      <c r="AB1523" s="7" t="n">
        <v>491</v>
      </c>
      <c r="AC1523" s="7" t="n">
        <v>497</v>
      </c>
      <c r="AD1523" s="7" t="n">
        <v>4</v>
      </c>
      <c r="AE1523" s="7" t="n">
        <v>4</v>
      </c>
      <c r="AF1523" s="7" t="n">
        <v>41</v>
      </c>
      <c r="AG1523" s="7" t="n">
        <v>41</v>
      </c>
      <c r="AH1523" s="7" t="n">
        <v>14</v>
      </c>
      <c r="AI1523" s="7" t="n">
        <v>14</v>
      </c>
      <c r="AJ1523" s="7" t="n">
        <v>11</v>
      </c>
      <c r="AK1523" s="7" t="n">
        <v>11</v>
      </c>
      <c r="AL1523" s="7" t="n">
        <v>20</v>
      </c>
      <c r="AM1523" s="7" t="n">
        <v>20</v>
      </c>
      <c r="AN1523" s="7" t="n">
        <v>3</v>
      </c>
      <c r="AO1523" s="7" t="n">
        <v>3</v>
      </c>
      <c r="AP1523" s="7" t="n">
        <v>5</v>
      </c>
      <c r="AQ1523" s="7" t="n">
        <v>5</v>
      </c>
      <c r="AR1523" s="6" t="s">
        <v>63</v>
      </c>
      <c r="AS1523" s="6" t="s">
        <v>63</v>
      </c>
      <c r="AT1523" s="28"/>
      <c r="AU1523" s="9" t="str">
        <f aca="false">HYPERLINK("https://creighton-primo.hosted.exlibrisgroup.com/primo-explore/search?tab=default_tab&amp;search_scope=EVERYTHING&amp;vid=01CRU&amp;lang=en_US&amp;offset=0&amp;query=any,contains,991001627199702656","Catalog Record")</f>
        <v>Catalog Record</v>
      </c>
      <c r="AV1523" s="9" t="str">
        <f aca="false">HYPERLINK("http://www.worldcat.org/oclc/20853331","WorldCat Record")</f>
        <v>WorldCat Record</v>
      </c>
      <c r="AW1523" s="6" t="s">
        <v>12480</v>
      </c>
      <c r="AX1523" s="6" t="s">
        <v>12481</v>
      </c>
      <c r="AY1523" s="6" t="s">
        <v>12482</v>
      </c>
      <c r="AZ1523" s="6" t="s">
        <v>12482</v>
      </c>
      <c r="BA1523" s="6" t="s">
        <v>12483</v>
      </c>
      <c r="BB1523" s="6" t="s">
        <v>12484</v>
      </c>
      <c r="BC1523" s="6" t="s">
        <v>12485</v>
      </c>
      <c r="BE1523" s="15" t="s">
        <v>2145</v>
      </c>
      <c r="BF1523" s="6" t="s">
        <v>12486</v>
      </c>
    </row>
    <row r="1524" customFormat="false" ht="140" hidden="false" customHeight="false" outlineLevel="0" collapsed="false">
      <c r="A1524" s="26" t="s">
        <v>63</v>
      </c>
      <c r="B1524" s="27" t="s">
        <v>2129</v>
      </c>
      <c r="C1524" s="27" t="s">
        <v>2130</v>
      </c>
      <c r="D1524" s="27" t="s">
        <v>12487</v>
      </c>
      <c r="E1524" s="27" t="s">
        <v>12488</v>
      </c>
      <c r="F1524" s="27" t="s">
        <v>12489</v>
      </c>
      <c r="G1524" s="28"/>
      <c r="H1524" s="6" t="s">
        <v>63</v>
      </c>
      <c r="I1524" s="6" t="s">
        <v>62</v>
      </c>
      <c r="J1524" s="6" t="s">
        <v>63</v>
      </c>
      <c r="K1524" s="6" t="s">
        <v>63</v>
      </c>
      <c r="L1524" s="6" t="s">
        <v>64</v>
      </c>
      <c r="M1524" s="27" t="s">
        <v>12490</v>
      </c>
      <c r="N1524" s="27" t="s">
        <v>12491</v>
      </c>
      <c r="O1524" s="6" t="s">
        <v>2893</v>
      </c>
      <c r="P1524" s="28"/>
      <c r="Q1524" s="6" t="s">
        <v>67</v>
      </c>
      <c r="R1524" s="6" t="s">
        <v>1059</v>
      </c>
      <c r="S1524" s="28"/>
      <c r="T1524" s="6" t="s">
        <v>6138</v>
      </c>
      <c r="U1524" s="7" t="n">
        <v>1</v>
      </c>
      <c r="V1524" s="7" t="n">
        <v>1</v>
      </c>
      <c r="W1524" s="8" t="s">
        <v>12404</v>
      </c>
      <c r="X1524" s="8" t="s">
        <v>12404</v>
      </c>
      <c r="Y1524" s="8" t="s">
        <v>12208</v>
      </c>
      <c r="Z1524" s="8" t="s">
        <v>12208</v>
      </c>
      <c r="AA1524" s="7" t="n">
        <v>667</v>
      </c>
      <c r="AB1524" s="7" t="n">
        <v>528</v>
      </c>
      <c r="AC1524" s="7" t="n">
        <v>535</v>
      </c>
      <c r="AD1524" s="7" t="n">
        <v>4</v>
      </c>
      <c r="AE1524" s="7" t="n">
        <v>4</v>
      </c>
      <c r="AF1524" s="7" t="n">
        <v>28</v>
      </c>
      <c r="AG1524" s="7" t="n">
        <v>28</v>
      </c>
      <c r="AH1524" s="7" t="n">
        <v>6</v>
      </c>
      <c r="AI1524" s="7" t="n">
        <v>6</v>
      </c>
      <c r="AJ1524" s="7" t="n">
        <v>9</v>
      </c>
      <c r="AK1524" s="7" t="n">
        <v>9</v>
      </c>
      <c r="AL1524" s="7" t="n">
        <v>18</v>
      </c>
      <c r="AM1524" s="7" t="n">
        <v>18</v>
      </c>
      <c r="AN1524" s="7" t="n">
        <v>3</v>
      </c>
      <c r="AO1524" s="7" t="n">
        <v>3</v>
      </c>
      <c r="AP1524" s="7" t="n">
        <v>0</v>
      </c>
      <c r="AQ1524" s="7" t="n">
        <v>0</v>
      </c>
      <c r="AR1524" s="6" t="s">
        <v>63</v>
      </c>
      <c r="AS1524" s="6" t="s">
        <v>63</v>
      </c>
      <c r="AT1524" s="28"/>
      <c r="AU1524" s="9" t="str">
        <f aca="false">HYPERLINK("https://creighton-primo.hosted.exlibrisgroup.com/primo-explore/search?tab=default_tab&amp;search_scope=EVERYTHING&amp;vid=01CRU&amp;lang=en_US&amp;offset=0&amp;query=any,contains,991003747609702656","Catalog Record")</f>
        <v>Catalog Record</v>
      </c>
      <c r="AV1524" s="9" t="str">
        <f aca="false">HYPERLINK("http://www.worldcat.org/oclc/1420006","WorldCat Record")</f>
        <v>WorldCat Record</v>
      </c>
      <c r="AW1524" s="6" t="s">
        <v>12492</v>
      </c>
      <c r="AX1524" s="6" t="s">
        <v>12493</v>
      </c>
      <c r="AY1524" s="6" t="s">
        <v>12494</v>
      </c>
      <c r="AZ1524" s="6" t="s">
        <v>12494</v>
      </c>
      <c r="BA1524" s="6" t="s">
        <v>12495</v>
      </c>
      <c r="BB1524" s="6" t="s">
        <v>12496</v>
      </c>
      <c r="BC1524" s="6" t="s">
        <v>12497</v>
      </c>
      <c r="BE1524" s="15" t="s">
        <v>2145</v>
      </c>
      <c r="BF1524" s="6" t="s">
        <v>12498</v>
      </c>
    </row>
    <row r="1525" customFormat="false" ht="105.5" hidden="false" customHeight="false" outlineLevel="0" collapsed="false">
      <c r="A1525" s="26" t="s">
        <v>63</v>
      </c>
      <c r="B1525" s="27" t="s">
        <v>2129</v>
      </c>
      <c r="C1525" s="27" t="s">
        <v>2130</v>
      </c>
      <c r="D1525" s="27" t="s">
        <v>12499</v>
      </c>
      <c r="E1525" s="27" t="s">
        <v>12500</v>
      </c>
      <c r="F1525" s="27" t="s">
        <v>12501</v>
      </c>
      <c r="G1525" s="28"/>
      <c r="H1525" s="6" t="s">
        <v>63</v>
      </c>
      <c r="I1525" s="6" t="s">
        <v>62</v>
      </c>
      <c r="J1525" s="6" t="s">
        <v>63</v>
      </c>
      <c r="K1525" s="6" t="s">
        <v>63</v>
      </c>
      <c r="L1525" s="6" t="s">
        <v>64</v>
      </c>
      <c r="M1525" s="27" t="s">
        <v>12502</v>
      </c>
      <c r="N1525" s="27" t="s">
        <v>10258</v>
      </c>
      <c r="O1525" s="6" t="s">
        <v>2343</v>
      </c>
      <c r="P1525" s="28"/>
      <c r="Q1525" s="6" t="s">
        <v>67</v>
      </c>
      <c r="R1525" s="6" t="s">
        <v>1108</v>
      </c>
      <c r="S1525" s="28"/>
      <c r="T1525" s="6" t="s">
        <v>6138</v>
      </c>
      <c r="U1525" s="7" t="n">
        <v>6</v>
      </c>
      <c r="V1525" s="7" t="n">
        <v>6</v>
      </c>
      <c r="W1525" s="8" t="s">
        <v>12503</v>
      </c>
      <c r="X1525" s="8" t="s">
        <v>12503</v>
      </c>
      <c r="Y1525" s="8" t="s">
        <v>9498</v>
      </c>
      <c r="Z1525" s="8" t="s">
        <v>9498</v>
      </c>
      <c r="AA1525" s="7" t="n">
        <v>259</v>
      </c>
      <c r="AB1525" s="7" t="n">
        <v>214</v>
      </c>
      <c r="AC1525" s="7" t="n">
        <v>239</v>
      </c>
      <c r="AD1525" s="7" t="n">
        <v>3</v>
      </c>
      <c r="AE1525" s="7" t="n">
        <v>3</v>
      </c>
      <c r="AF1525" s="7" t="n">
        <v>22</v>
      </c>
      <c r="AG1525" s="7" t="n">
        <v>24</v>
      </c>
      <c r="AH1525" s="7" t="n">
        <v>8</v>
      </c>
      <c r="AI1525" s="7" t="n">
        <v>8</v>
      </c>
      <c r="AJ1525" s="7" t="n">
        <v>6</v>
      </c>
      <c r="AK1525" s="7" t="n">
        <v>8</v>
      </c>
      <c r="AL1525" s="7" t="n">
        <v>15</v>
      </c>
      <c r="AM1525" s="7" t="n">
        <v>17</v>
      </c>
      <c r="AN1525" s="7" t="n">
        <v>2</v>
      </c>
      <c r="AO1525" s="7" t="n">
        <v>2</v>
      </c>
      <c r="AP1525" s="7" t="n">
        <v>0</v>
      </c>
      <c r="AQ1525" s="7" t="n">
        <v>0</v>
      </c>
      <c r="AR1525" s="6" t="s">
        <v>63</v>
      </c>
      <c r="AS1525" s="6" t="s">
        <v>57</v>
      </c>
      <c r="AT1525" s="9" t="str">
        <f aca="false">HYPERLINK("http://catalog.hathitrust.org/Record/000102589","HathiTrust Record")</f>
        <v>HathiTrust Record</v>
      </c>
      <c r="AU1525" s="9" t="str">
        <f aca="false">HYPERLINK("https://creighton-primo.hosted.exlibrisgroup.com/primo-explore/search?tab=default_tab&amp;search_scope=EVERYTHING&amp;vid=01CRU&amp;lang=en_US&amp;offset=0&amp;query=any,contains,991005141019702656","Catalog Record")</f>
        <v>Catalog Record</v>
      </c>
      <c r="AV1525" s="9" t="str">
        <f aca="false">HYPERLINK("http://www.worldcat.org/oclc/7614347","WorldCat Record")</f>
        <v>WorldCat Record</v>
      </c>
      <c r="AW1525" s="6" t="s">
        <v>12504</v>
      </c>
      <c r="AX1525" s="6" t="s">
        <v>12505</v>
      </c>
      <c r="AY1525" s="6" t="s">
        <v>12506</v>
      </c>
      <c r="AZ1525" s="6" t="s">
        <v>12506</v>
      </c>
      <c r="BA1525" s="6" t="s">
        <v>12507</v>
      </c>
      <c r="BB1525" s="6" t="s">
        <v>12508</v>
      </c>
      <c r="BC1525" s="6" t="s">
        <v>12509</v>
      </c>
      <c r="BE1525" s="15" t="s">
        <v>2145</v>
      </c>
      <c r="BF1525" s="6" t="s">
        <v>12510</v>
      </c>
    </row>
    <row r="1526" customFormat="false" ht="82.5" hidden="false" customHeight="false" outlineLevel="0" collapsed="false">
      <c r="A1526" s="26" t="s">
        <v>63</v>
      </c>
      <c r="B1526" s="27" t="s">
        <v>2129</v>
      </c>
      <c r="C1526" s="27" t="s">
        <v>2130</v>
      </c>
      <c r="D1526" s="27" t="s">
        <v>12511</v>
      </c>
      <c r="E1526" s="27" t="s">
        <v>12512</v>
      </c>
      <c r="F1526" s="27" t="s">
        <v>12513</v>
      </c>
      <c r="G1526" s="28"/>
      <c r="H1526" s="6" t="s">
        <v>63</v>
      </c>
      <c r="I1526" s="6" t="s">
        <v>62</v>
      </c>
      <c r="J1526" s="6" t="s">
        <v>63</v>
      </c>
      <c r="K1526" s="6" t="s">
        <v>63</v>
      </c>
      <c r="L1526" s="6" t="s">
        <v>64</v>
      </c>
      <c r="M1526" s="27" t="s">
        <v>12514</v>
      </c>
      <c r="N1526" s="27" t="s">
        <v>12515</v>
      </c>
      <c r="O1526" s="6" t="s">
        <v>2665</v>
      </c>
      <c r="P1526" s="28"/>
      <c r="Q1526" s="6" t="s">
        <v>67</v>
      </c>
      <c r="R1526" s="6" t="s">
        <v>802</v>
      </c>
      <c r="S1526" s="28"/>
      <c r="T1526" s="6" t="s">
        <v>6138</v>
      </c>
      <c r="U1526" s="7" t="n">
        <v>1</v>
      </c>
      <c r="V1526" s="7" t="n">
        <v>1</v>
      </c>
      <c r="W1526" s="8" t="s">
        <v>12130</v>
      </c>
      <c r="X1526" s="8" t="s">
        <v>12130</v>
      </c>
      <c r="Y1526" s="8" t="s">
        <v>12208</v>
      </c>
      <c r="Z1526" s="8" t="s">
        <v>12208</v>
      </c>
      <c r="AA1526" s="7" t="n">
        <v>376</v>
      </c>
      <c r="AB1526" s="7" t="n">
        <v>298</v>
      </c>
      <c r="AC1526" s="7" t="n">
        <v>298</v>
      </c>
      <c r="AD1526" s="7" t="n">
        <v>2</v>
      </c>
      <c r="AE1526" s="7" t="n">
        <v>2</v>
      </c>
      <c r="AF1526" s="7" t="n">
        <v>22</v>
      </c>
      <c r="AG1526" s="7" t="n">
        <v>22</v>
      </c>
      <c r="AH1526" s="7" t="n">
        <v>6</v>
      </c>
      <c r="AI1526" s="7" t="n">
        <v>6</v>
      </c>
      <c r="AJ1526" s="7" t="n">
        <v>7</v>
      </c>
      <c r="AK1526" s="7" t="n">
        <v>7</v>
      </c>
      <c r="AL1526" s="7" t="n">
        <v>15</v>
      </c>
      <c r="AM1526" s="7" t="n">
        <v>15</v>
      </c>
      <c r="AN1526" s="7" t="n">
        <v>1</v>
      </c>
      <c r="AO1526" s="7" t="n">
        <v>1</v>
      </c>
      <c r="AP1526" s="7" t="n">
        <v>0</v>
      </c>
      <c r="AQ1526" s="7" t="n">
        <v>0</v>
      </c>
      <c r="AR1526" s="6" t="s">
        <v>63</v>
      </c>
      <c r="AS1526" s="6" t="s">
        <v>57</v>
      </c>
      <c r="AT1526" s="9" t="str">
        <f aca="false">HYPERLINK("http://catalog.hathitrust.org/Record/001385658","HathiTrust Record")</f>
        <v>HathiTrust Record</v>
      </c>
      <c r="AU1526" s="9" t="str">
        <f aca="false">HYPERLINK("https://creighton-primo.hosted.exlibrisgroup.com/primo-explore/search?tab=default_tab&amp;search_scope=EVERYTHING&amp;vid=01CRU&amp;lang=en_US&amp;offset=0&amp;query=any,contains,991003406299702656","Catalog Record")</f>
        <v>Catalog Record</v>
      </c>
      <c r="AV1526" s="9" t="str">
        <f aca="false">HYPERLINK("http://www.worldcat.org/oclc/946160","WorldCat Record")</f>
        <v>WorldCat Record</v>
      </c>
      <c r="AW1526" s="6" t="s">
        <v>12516</v>
      </c>
      <c r="AX1526" s="6" t="s">
        <v>12517</v>
      </c>
      <c r="AY1526" s="6" t="s">
        <v>12518</v>
      </c>
      <c r="AZ1526" s="6" t="s">
        <v>12518</v>
      </c>
      <c r="BA1526" s="6" t="s">
        <v>12519</v>
      </c>
      <c r="BB1526" s="6" t="s">
        <v>12520</v>
      </c>
      <c r="BC1526" s="6" t="s">
        <v>12521</v>
      </c>
      <c r="BE1526" s="15" t="s">
        <v>2145</v>
      </c>
      <c r="BF1526" s="6" t="s">
        <v>12522</v>
      </c>
    </row>
    <row r="1527" customFormat="false" ht="117" hidden="false" customHeight="false" outlineLevel="0" collapsed="false">
      <c r="A1527" s="26" t="s">
        <v>63</v>
      </c>
      <c r="B1527" s="27" t="s">
        <v>2129</v>
      </c>
      <c r="C1527" s="27" t="s">
        <v>2130</v>
      </c>
      <c r="D1527" s="27" t="s">
        <v>12523</v>
      </c>
      <c r="E1527" s="27" t="s">
        <v>12524</v>
      </c>
      <c r="F1527" s="27" t="s">
        <v>12525</v>
      </c>
      <c r="G1527" s="28"/>
      <c r="H1527" s="6" t="s">
        <v>63</v>
      </c>
      <c r="I1527" s="6" t="s">
        <v>62</v>
      </c>
      <c r="J1527" s="6" t="s">
        <v>63</v>
      </c>
      <c r="K1527" s="6" t="s">
        <v>63</v>
      </c>
      <c r="L1527" s="6" t="s">
        <v>64</v>
      </c>
      <c r="M1527" s="27" t="s">
        <v>12526</v>
      </c>
      <c r="N1527" s="27" t="s">
        <v>12527</v>
      </c>
      <c r="O1527" s="6" t="s">
        <v>2975</v>
      </c>
      <c r="P1527" s="28"/>
      <c r="Q1527" s="6" t="s">
        <v>67</v>
      </c>
      <c r="R1527" s="6" t="s">
        <v>1059</v>
      </c>
      <c r="S1527" s="28"/>
      <c r="T1527" s="6" t="s">
        <v>6138</v>
      </c>
      <c r="U1527" s="7" t="n">
        <v>2</v>
      </c>
      <c r="V1527" s="7" t="n">
        <v>2</v>
      </c>
      <c r="W1527" s="8" t="s">
        <v>12528</v>
      </c>
      <c r="X1527" s="8" t="s">
        <v>12528</v>
      </c>
      <c r="Y1527" s="8" t="s">
        <v>12208</v>
      </c>
      <c r="Z1527" s="8" t="s">
        <v>12208</v>
      </c>
      <c r="AA1527" s="7" t="n">
        <v>792</v>
      </c>
      <c r="AB1527" s="7" t="n">
        <v>635</v>
      </c>
      <c r="AC1527" s="7" t="n">
        <v>639</v>
      </c>
      <c r="AD1527" s="7" t="n">
        <v>6</v>
      </c>
      <c r="AE1527" s="7" t="n">
        <v>6</v>
      </c>
      <c r="AF1527" s="7" t="n">
        <v>37</v>
      </c>
      <c r="AG1527" s="7" t="n">
        <v>37</v>
      </c>
      <c r="AH1527" s="7" t="n">
        <v>15</v>
      </c>
      <c r="AI1527" s="7" t="n">
        <v>15</v>
      </c>
      <c r="AJ1527" s="7" t="n">
        <v>7</v>
      </c>
      <c r="AK1527" s="7" t="n">
        <v>7</v>
      </c>
      <c r="AL1527" s="7" t="n">
        <v>23</v>
      </c>
      <c r="AM1527" s="7" t="n">
        <v>23</v>
      </c>
      <c r="AN1527" s="7" t="n">
        <v>4</v>
      </c>
      <c r="AO1527" s="7" t="n">
        <v>4</v>
      </c>
      <c r="AP1527" s="7" t="n">
        <v>0</v>
      </c>
      <c r="AQ1527" s="7" t="n">
        <v>0</v>
      </c>
      <c r="AR1527" s="6" t="s">
        <v>63</v>
      </c>
      <c r="AS1527" s="6" t="s">
        <v>63</v>
      </c>
      <c r="AT1527" s="28"/>
      <c r="AU1527" s="9" t="str">
        <f aca="false">HYPERLINK("https://creighton-primo.hosted.exlibrisgroup.com/primo-explore/search?tab=default_tab&amp;search_scope=EVERYTHING&amp;vid=01CRU&amp;lang=en_US&amp;offset=0&amp;query=any,contains,991000465509702656","Catalog Record")</f>
        <v>Catalog Record</v>
      </c>
      <c r="AV1527" s="9" t="str">
        <f aca="false">HYPERLINK("http://www.worldcat.org/oclc/78848","WorldCat Record")</f>
        <v>WorldCat Record</v>
      </c>
      <c r="AW1527" s="6" t="s">
        <v>12529</v>
      </c>
      <c r="AX1527" s="6" t="s">
        <v>12530</v>
      </c>
      <c r="AY1527" s="6" t="s">
        <v>12531</v>
      </c>
      <c r="AZ1527" s="6" t="s">
        <v>12531</v>
      </c>
      <c r="BA1527" s="6" t="s">
        <v>12532</v>
      </c>
      <c r="BB1527" s="6" t="s">
        <v>12533</v>
      </c>
      <c r="BC1527" s="6" t="s">
        <v>12534</v>
      </c>
      <c r="BE1527" s="15" t="s">
        <v>2145</v>
      </c>
      <c r="BF1527" s="6" t="s">
        <v>12535</v>
      </c>
    </row>
    <row r="1528" customFormat="false" ht="151.5" hidden="false" customHeight="false" outlineLevel="0" collapsed="false">
      <c r="A1528" s="26" t="s">
        <v>63</v>
      </c>
      <c r="B1528" s="27" t="s">
        <v>2129</v>
      </c>
      <c r="C1528" s="27" t="s">
        <v>2130</v>
      </c>
      <c r="D1528" s="27" t="s">
        <v>12536</v>
      </c>
      <c r="E1528" s="27" t="s">
        <v>12537</v>
      </c>
      <c r="F1528" s="27" t="s">
        <v>12538</v>
      </c>
      <c r="G1528" s="28"/>
      <c r="H1528" s="6" t="s">
        <v>63</v>
      </c>
      <c r="I1528" s="6" t="s">
        <v>62</v>
      </c>
      <c r="J1528" s="6" t="s">
        <v>63</v>
      </c>
      <c r="K1528" s="6" t="s">
        <v>63</v>
      </c>
      <c r="L1528" s="6" t="s">
        <v>64</v>
      </c>
      <c r="M1528" s="27" t="s">
        <v>12539</v>
      </c>
      <c r="N1528" s="27" t="s">
        <v>12540</v>
      </c>
      <c r="O1528" s="6" t="s">
        <v>208</v>
      </c>
      <c r="P1528" s="28"/>
      <c r="Q1528" s="6" t="s">
        <v>67</v>
      </c>
      <c r="R1528" s="6" t="s">
        <v>222</v>
      </c>
      <c r="S1528" s="27" t="s">
        <v>12379</v>
      </c>
      <c r="T1528" s="6" t="s">
        <v>6138</v>
      </c>
      <c r="U1528" s="7" t="n">
        <v>3</v>
      </c>
      <c r="V1528" s="7" t="n">
        <v>3</v>
      </c>
      <c r="W1528" s="8" t="s">
        <v>12541</v>
      </c>
      <c r="X1528" s="8" t="s">
        <v>12541</v>
      </c>
      <c r="Y1528" s="8" t="s">
        <v>9498</v>
      </c>
      <c r="Z1528" s="8" t="s">
        <v>9498</v>
      </c>
      <c r="AA1528" s="7" t="n">
        <v>559</v>
      </c>
      <c r="AB1528" s="7" t="n">
        <v>438</v>
      </c>
      <c r="AC1528" s="7" t="n">
        <v>440</v>
      </c>
      <c r="AD1528" s="7" t="n">
        <v>3</v>
      </c>
      <c r="AE1528" s="7" t="n">
        <v>3</v>
      </c>
      <c r="AF1528" s="7" t="n">
        <v>28</v>
      </c>
      <c r="AG1528" s="7" t="n">
        <v>28</v>
      </c>
      <c r="AH1528" s="7" t="n">
        <v>9</v>
      </c>
      <c r="AI1528" s="7" t="n">
        <v>9</v>
      </c>
      <c r="AJ1528" s="7" t="n">
        <v>7</v>
      </c>
      <c r="AK1528" s="7" t="n">
        <v>7</v>
      </c>
      <c r="AL1528" s="7" t="n">
        <v>18</v>
      </c>
      <c r="AM1528" s="7" t="n">
        <v>18</v>
      </c>
      <c r="AN1528" s="7" t="n">
        <v>2</v>
      </c>
      <c r="AO1528" s="7" t="n">
        <v>2</v>
      </c>
      <c r="AP1528" s="7" t="n">
        <v>0</v>
      </c>
      <c r="AQ1528" s="7" t="n">
        <v>0</v>
      </c>
      <c r="AR1528" s="6" t="s">
        <v>63</v>
      </c>
      <c r="AS1528" s="6" t="s">
        <v>57</v>
      </c>
      <c r="AT1528" s="9" t="str">
        <f aca="false">HYPERLINK("http://catalog.hathitrust.org/Record/000838042","HathiTrust Record")</f>
        <v>HathiTrust Record</v>
      </c>
      <c r="AU1528" s="9" t="str">
        <f aca="false">HYPERLINK("https://creighton-primo.hosted.exlibrisgroup.com/primo-explore/search?tab=default_tab&amp;search_scope=EVERYTHING&amp;vid=01CRU&amp;lang=en_US&amp;offset=0&amp;query=any,contains,991000957609702656","Catalog Record")</f>
        <v>Catalog Record</v>
      </c>
      <c r="AV1528" s="9" t="str">
        <f aca="false">HYPERLINK("http://www.worldcat.org/oclc/14719710","WorldCat Record")</f>
        <v>WorldCat Record</v>
      </c>
      <c r="AW1528" s="6" t="s">
        <v>12542</v>
      </c>
      <c r="AX1528" s="6" t="s">
        <v>12543</v>
      </c>
      <c r="AY1528" s="6" t="s">
        <v>12544</v>
      </c>
      <c r="AZ1528" s="6" t="s">
        <v>12544</v>
      </c>
      <c r="BA1528" s="6" t="s">
        <v>12545</v>
      </c>
      <c r="BB1528" s="6" t="s">
        <v>12546</v>
      </c>
      <c r="BC1528" s="6" t="s">
        <v>12547</v>
      </c>
      <c r="BE1528" s="15" t="s">
        <v>2145</v>
      </c>
      <c r="BF1528" s="6" t="s">
        <v>12548</v>
      </c>
    </row>
    <row r="1529" customFormat="false" ht="266.5" hidden="false" customHeight="false" outlineLevel="0" collapsed="false">
      <c r="A1529" s="26" t="s">
        <v>63</v>
      </c>
      <c r="B1529" s="27" t="s">
        <v>2129</v>
      </c>
      <c r="C1529" s="27" t="s">
        <v>2130</v>
      </c>
      <c r="D1529" s="27" t="s">
        <v>12549</v>
      </c>
      <c r="E1529" s="27" t="s">
        <v>12550</v>
      </c>
      <c r="F1529" s="27" t="s">
        <v>12551</v>
      </c>
      <c r="G1529" s="28"/>
      <c r="H1529" s="6" t="s">
        <v>63</v>
      </c>
      <c r="I1529" s="6" t="s">
        <v>62</v>
      </c>
      <c r="J1529" s="6" t="s">
        <v>63</v>
      </c>
      <c r="K1529" s="6" t="s">
        <v>63</v>
      </c>
      <c r="L1529" s="6" t="s">
        <v>64</v>
      </c>
      <c r="M1529" s="27" t="s">
        <v>12552</v>
      </c>
      <c r="N1529" s="27" t="s">
        <v>5958</v>
      </c>
      <c r="O1529" s="6" t="s">
        <v>2665</v>
      </c>
      <c r="P1529" s="28"/>
      <c r="Q1529" s="6" t="s">
        <v>67</v>
      </c>
      <c r="R1529" s="6" t="s">
        <v>384</v>
      </c>
      <c r="S1529" s="28"/>
      <c r="T1529" s="6" t="s">
        <v>6138</v>
      </c>
      <c r="U1529" s="7" t="n">
        <v>2</v>
      </c>
      <c r="V1529" s="7" t="n">
        <v>2</v>
      </c>
      <c r="W1529" s="8" t="s">
        <v>6808</v>
      </c>
      <c r="X1529" s="8" t="s">
        <v>6808</v>
      </c>
      <c r="Y1529" s="8" t="s">
        <v>12208</v>
      </c>
      <c r="Z1529" s="8" t="s">
        <v>12208</v>
      </c>
      <c r="AA1529" s="7" t="n">
        <v>127</v>
      </c>
      <c r="AB1529" s="7" t="n">
        <v>35</v>
      </c>
      <c r="AC1529" s="7" t="n">
        <v>388</v>
      </c>
      <c r="AD1529" s="7" t="n">
        <v>1</v>
      </c>
      <c r="AE1529" s="7" t="n">
        <v>4</v>
      </c>
      <c r="AF1529" s="7" t="n">
        <v>3</v>
      </c>
      <c r="AG1529" s="7" t="n">
        <v>26</v>
      </c>
      <c r="AH1529" s="7" t="n">
        <v>2</v>
      </c>
      <c r="AI1529" s="7" t="n">
        <v>7</v>
      </c>
      <c r="AJ1529" s="7" t="n">
        <v>0</v>
      </c>
      <c r="AK1529" s="7" t="n">
        <v>6</v>
      </c>
      <c r="AL1529" s="7" t="n">
        <v>2</v>
      </c>
      <c r="AM1529" s="7" t="n">
        <v>18</v>
      </c>
      <c r="AN1529" s="7" t="n">
        <v>0</v>
      </c>
      <c r="AO1529" s="7" t="n">
        <v>2</v>
      </c>
      <c r="AP1529" s="7" t="n">
        <v>0</v>
      </c>
      <c r="AQ1529" s="7" t="n">
        <v>0</v>
      </c>
      <c r="AR1529" s="6" t="s">
        <v>63</v>
      </c>
      <c r="AS1529" s="6" t="s">
        <v>63</v>
      </c>
      <c r="AT1529" s="28"/>
      <c r="AU1529" s="9" t="str">
        <f aca="false">HYPERLINK("https://creighton-primo.hosted.exlibrisgroup.com/primo-explore/search?tab=default_tab&amp;search_scope=EVERYTHING&amp;vid=01CRU&amp;lang=en_US&amp;offset=0&amp;query=any,contains,991003136509702656","Catalog Record")</f>
        <v>Catalog Record</v>
      </c>
      <c r="AV1529" s="9" t="str">
        <f aca="false">HYPERLINK("http://www.worldcat.org/oclc/678226","WorldCat Record")</f>
        <v>WorldCat Record</v>
      </c>
      <c r="AW1529" s="6" t="s">
        <v>12553</v>
      </c>
      <c r="AX1529" s="6" t="s">
        <v>12554</v>
      </c>
      <c r="AY1529" s="6" t="s">
        <v>12555</v>
      </c>
      <c r="AZ1529" s="6" t="s">
        <v>12555</v>
      </c>
      <c r="BA1529" s="6" t="s">
        <v>12556</v>
      </c>
      <c r="BB1529" s="6" t="s">
        <v>12557</v>
      </c>
      <c r="BC1529" s="6" t="s">
        <v>12558</v>
      </c>
      <c r="BE1529" s="15" t="s">
        <v>2145</v>
      </c>
      <c r="BF1529" s="6" t="s">
        <v>12559</v>
      </c>
    </row>
    <row r="1530" customFormat="false" ht="105.5" hidden="false" customHeight="false" outlineLevel="0" collapsed="false">
      <c r="A1530" s="26" t="s">
        <v>63</v>
      </c>
      <c r="B1530" s="27" t="s">
        <v>2129</v>
      </c>
      <c r="C1530" s="27" t="s">
        <v>2130</v>
      </c>
      <c r="D1530" s="27" t="s">
        <v>12560</v>
      </c>
      <c r="E1530" s="27" t="s">
        <v>12561</v>
      </c>
      <c r="F1530" s="27" t="s">
        <v>12562</v>
      </c>
      <c r="G1530" s="28"/>
      <c r="H1530" s="6" t="s">
        <v>63</v>
      </c>
      <c r="I1530" s="6" t="s">
        <v>62</v>
      </c>
      <c r="J1530" s="6" t="s">
        <v>63</v>
      </c>
      <c r="K1530" s="6" t="s">
        <v>63</v>
      </c>
      <c r="L1530" s="6" t="s">
        <v>64</v>
      </c>
      <c r="M1530" s="27" t="s">
        <v>12563</v>
      </c>
      <c r="N1530" s="27" t="s">
        <v>12564</v>
      </c>
      <c r="O1530" s="6" t="s">
        <v>3301</v>
      </c>
      <c r="P1530" s="27" t="s">
        <v>12565</v>
      </c>
      <c r="Q1530" s="6" t="s">
        <v>67</v>
      </c>
      <c r="R1530" s="6" t="s">
        <v>384</v>
      </c>
      <c r="S1530" s="28"/>
      <c r="T1530" s="6" t="s">
        <v>6138</v>
      </c>
      <c r="U1530" s="7" t="n">
        <v>7</v>
      </c>
      <c r="V1530" s="7" t="n">
        <v>7</v>
      </c>
      <c r="W1530" s="8" t="s">
        <v>12566</v>
      </c>
      <c r="X1530" s="8" t="s">
        <v>12566</v>
      </c>
      <c r="Y1530" s="8" t="s">
        <v>12567</v>
      </c>
      <c r="Z1530" s="8" t="s">
        <v>12567</v>
      </c>
      <c r="AA1530" s="7" t="n">
        <v>800</v>
      </c>
      <c r="AB1530" s="7" t="n">
        <v>624</v>
      </c>
      <c r="AC1530" s="7" t="n">
        <v>645</v>
      </c>
      <c r="AD1530" s="7" t="n">
        <v>5</v>
      </c>
      <c r="AE1530" s="7" t="n">
        <v>5</v>
      </c>
      <c r="AF1530" s="7" t="n">
        <v>36</v>
      </c>
      <c r="AG1530" s="7" t="n">
        <v>38</v>
      </c>
      <c r="AH1530" s="7" t="n">
        <v>16</v>
      </c>
      <c r="AI1530" s="7" t="n">
        <v>17</v>
      </c>
      <c r="AJ1530" s="7" t="n">
        <v>8</v>
      </c>
      <c r="AK1530" s="7" t="n">
        <v>9</v>
      </c>
      <c r="AL1530" s="7" t="n">
        <v>20</v>
      </c>
      <c r="AM1530" s="7" t="n">
        <v>21</v>
      </c>
      <c r="AN1530" s="7" t="n">
        <v>3</v>
      </c>
      <c r="AO1530" s="7" t="n">
        <v>3</v>
      </c>
      <c r="AP1530" s="7" t="n">
        <v>0</v>
      </c>
      <c r="AQ1530" s="7" t="n">
        <v>0</v>
      </c>
      <c r="AR1530" s="6" t="s">
        <v>63</v>
      </c>
      <c r="AS1530" s="6" t="s">
        <v>57</v>
      </c>
      <c r="AT1530" s="9" t="str">
        <f aca="false">HYPERLINK("http://catalog.hathitrust.org/Record/000129610","HathiTrust Record")</f>
        <v>HathiTrust Record</v>
      </c>
      <c r="AU1530" s="9" t="str">
        <f aca="false">HYPERLINK("https://creighton-primo.hosted.exlibrisgroup.com/primo-explore/search?tab=default_tab&amp;search_scope=EVERYTHING&amp;vid=01CRU&amp;lang=en_US&amp;offset=0&amp;query=any,contains,991000217209702656","Catalog Record")</f>
        <v>Catalog Record</v>
      </c>
      <c r="AV1530" s="9" t="str">
        <f aca="false">HYPERLINK("http://www.worldcat.org/oclc/2644072","WorldCat Record")</f>
        <v>WorldCat Record</v>
      </c>
      <c r="AW1530" s="6" t="s">
        <v>12568</v>
      </c>
      <c r="AX1530" s="6" t="s">
        <v>12569</v>
      </c>
      <c r="AY1530" s="6" t="s">
        <v>12570</v>
      </c>
      <c r="AZ1530" s="6" t="s">
        <v>12570</v>
      </c>
      <c r="BA1530" s="6" t="s">
        <v>12571</v>
      </c>
      <c r="BB1530" s="6" t="s">
        <v>12572</v>
      </c>
      <c r="BC1530" s="6" t="s">
        <v>12573</v>
      </c>
      <c r="BE1530" s="15" t="s">
        <v>2145</v>
      </c>
      <c r="BF1530" s="6" t="s">
        <v>12574</v>
      </c>
    </row>
    <row r="1531" customFormat="false" ht="105.5" hidden="false" customHeight="false" outlineLevel="0" collapsed="false">
      <c r="A1531" s="26" t="s">
        <v>63</v>
      </c>
      <c r="B1531" s="27" t="s">
        <v>2129</v>
      </c>
      <c r="C1531" s="27" t="s">
        <v>2130</v>
      </c>
      <c r="D1531" s="27" t="s">
        <v>12575</v>
      </c>
      <c r="E1531" s="27" t="s">
        <v>12576</v>
      </c>
      <c r="F1531" s="27" t="s">
        <v>12577</v>
      </c>
      <c r="G1531" s="28"/>
      <c r="H1531" s="6" t="s">
        <v>63</v>
      </c>
      <c r="I1531" s="6" t="s">
        <v>62</v>
      </c>
      <c r="J1531" s="6" t="s">
        <v>63</v>
      </c>
      <c r="K1531" s="6" t="s">
        <v>63</v>
      </c>
      <c r="L1531" s="6" t="s">
        <v>64</v>
      </c>
      <c r="M1531" s="27" t="s">
        <v>12578</v>
      </c>
      <c r="N1531" s="27" t="s">
        <v>12579</v>
      </c>
      <c r="O1531" s="6" t="s">
        <v>2411</v>
      </c>
      <c r="P1531" s="28"/>
      <c r="Q1531" s="6" t="s">
        <v>67</v>
      </c>
      <c r="R1531" s="6" t="s">
        <v>68</v>
      </c>
      <c r="S1531" s="27" t="s">
        <v>12580</v>
      </c>
      <c r="T1531" s="6" t="s">
        <v>6138</v>
      </c>
      <c r="U1531" s="7" t="n">
        <v>3</v>
      </c>
      <c r="V1531" s="7" t="n">
        <v>3</v>
      </c>
      <c r="W1531" s="8" t="s">
        <v>4541</v>
      </c>
      <c r="X1531" s="8" t="s">
        <v>4541</v>
      </c>
      <c r="Y1531" s="8" t="s">
        <v>4345</v>
      </c>
      <c r="Z1531" s="8" t="s">
        <v>4345</v>
      </c>
      <c r="AA1531" s="7" t="n">
        <v>103</v>
      </c>
      <c r="AB1531" s="7" t="n">
        <v>66</v>
      </c>
      <c r="AC1531" s="7" t="n">
        <v>68</v>
      </c>
      <c r="AD1531" s="7" t="n">
        <v>1</v>
      </c>
      <c r="AE1531" s="7" t="n">
        <v>1</v>
      </c>
      <c r="AF1531" s="7" t="n">
        <v>5</v>
      </c>
      <c r="AG1531" s="7" t="n">
        <v>5</v>
      </c>
      <c r="AH1531" s="7" t="n">
        <v>2</v>
      </c>
      <c r="AI1531" s="7" t="n">
        <v>2</v>
      </c>
      <c r="AJ1531" s="7" t="n">
        <v>1</v>
      </c>
      <c r="AK1531" s="7" t="n">
        <v>1</v>
      </c>
      <c r="AL1531" s="7" t="n">
        <v>4</v>
      </c>
      <c r="AM1531" s="7" t="n">
        <v>4</v>
      </c>
      <c r="AN1531" s="7" t="n">
        <v>0</v>
      </c>
      <c r="AO1531" s="7" t="n">
        <v>0</v>
      </c>
      <c r="AP1531" s="7" t="n">
        <v>0</v>
      </c>
      <c r="AQ1531" s="7" t="n">
        <v>0</v>
      </c>
      <c r="AR1531" s="6" t="s">
        <v>63</v>
      </c>
      <c r="AS1531" s="6" t="s">
        <v>57</v>
      </c>
      <c r="AT1531" s="9" t="str">
        <f aca="false">HYPERLINK("http://catalog.hathitrust.org/Record/007107417","HathiTrust Record")</f>
        <v>HathiTrust Record</v>
      </c>
      <c r="AU1531" s="9" t="str">
        <f aca="false">HYPERLINK("https://creighton-primo.hosted.exlibrisgroup.com/primo-explore/search?tab=default_tab&amp;search_scope=EVERYTHING&amp;vid=01CRU&amp;lang=en_US&amp;offset=0&amp;query=any,contains,991001330289702656","Catalog Record")</f>
        <v>Catalog Record</v>
      </c>
      <c r="AV1531" s="9" t="str">
        <f aca="false">HYPERLINK("http://www.worldcat.org/oclc/18321999","WorldCat Record")</f>
        <v>WorldCat Record</v>
      </c>
      <c r="AW1531" s="6" t="s">
        <v>12581</v>
      </c>
      <c r="AX1531" s="6" t="s">
        <v>12582</v>
      </c>
      <c r="AY1531" s="6" t="s">
        <v>12583</v>
      </c>
      <c r="AZ1531" s="6" t="s">
        <v>12583</v>
      </c>
      <c r="BA1531" s="6" t="s">
        <v>12584</v>
      </c>
      <c r="BB1531" s="6" t="s">
        <v>12585</v>
      </c>
      <c r="BC1531" s="6" t="s">
        <v>12586</v>
      </c>
      <c r="BE1531" s="15" t="s">
        <v>2145</v>
      </c>
      <c r="BF1531" s="6" t="s">
        <v>12587</v>
      </c>
    </row>
    <row r="1532" customFormat="false" ht="128.5" hidden="false" customHeight="false" outlineLevel="0" collapsed="false">
      <c r="A1532" s="26" t="s">
        <v>63</v>
      </c>
      <c r="B1532" s="27" t="s">
        <v>2129</v>
      </c>
      <c r="C1532" s="27" t="s">
        <v>2130</v>
      </c>
      <c r="D1532" s="27" t="s">
        <v>12588</v>
      </c>
      <c r="E1532" s="27" t="s">
        <v>12589</v>
      </c>
      <c r="F1532" s="27" t="s">
        <v>12590</v>
      </c>
      <c r="G1532" s="28"/>
      <c r="H1532" s="6" t="s">
        <v>63</v>
      </c>
      <c r="I1532" s="6" t="s">
        <v>62</v>
      </c>
      <c r="J1532" s="6" t="s">
        <v>63</v>
      </c>
      <c r="K1532" s="6" t="s">
        <v>63</v>
      </c>
      <c r="L1532" s="6" t="s">
        <v>64</v>
      </c>
      <c r="M1532" s="27" t="s">
        <v>12591</v>
      </c>
      <c r="N1532" s="27" t="s">
        <v>12579</v>
      </c>
      <c r="O1532" s="6" t="s">
        <v>2411</v>
      </c>
      <c r="P1532" s="28"/>
      <c r="Q1532" s="6" t="s">
        <v>67</v>
      </c>
      <c r="R1532" s="6" t="s">
        <v>68</v>
      </c>
      <c r="S1532" s="27" t="s">
        <v>12592</v>
      </c>
      <c r="T1532" s="6" t="s">
        <v>6138</v>
      </c>
      <c r="U1532" s="7" t="n">
        <v>0</v>
      </c>
      <c r="V1532" s="7" t="n">
        <v>0</v>
      </c>
      <c r="W1532" s="8" t="s">
        <v>12593</v>
      </c>
      <c r="X1532" s="8" t="s">
        <v>12593</v>
      </c>
      <c r="Y1532" s="8" t="s">
        <v>12594</v>
      </c>
      <c r="Z1532" s="8" t="s">
        <v>12594</v>
      </c>
      <c r="AA1532" s="7" t="n">
        <v>99</v>
      </c>
      <c r="AB1532" s="7" t="n">
        <v>53</v>
      </c>
      <c r="AC1532" s="7" t="n">
        <v>55</v>
      </c>
      <c r="AD1532" s="7" t="n">
        <v>1</v>
      </c>
      <c r="AE1532" s="7" t="n">
        <v>1</v>
      </c>
      <c r="AF1532" s="7" t="n">
        <v>4</v>
      </c>
      <c r="AG1532" s="7" t="n">
        <v>4</v>
      </c>
      <c r="AH1532" s="7" t="n">
        <v>1</v>
      </c>
      <c r="AI1532" s="7" t="n">
        <v>1</v>
      </c>
      <c r="AJ1532" s="7" t="n">
        <v>1</v>
      </c>
      <c r="AK1532" s="7" t="n">
        <v>1</v>
      </c>
      <c r="AL1532" s="7" t="n">
        <v>4</v>
      </c>
      <c r="AM1532" s="7" t="n">
        <v>4</v>
      </c>
      <c r="AN1532" s="7" t="n">
        <v>0</v>
      </c>
      <c r="AO1532" s="7" t="n">
        <v>0</v>
      </c>
      <c r="AP1532" s="7" t="n">
        <v>0</v>
      </c>
      <c r="AQ1532" s="7" t="n">
        <v>0</v>
      </c>
      <c r="AR1532" s="6" t="s">
        <v>63</v>
      </c>
      <c r="AS1532" s="6" t="s">
        <v>63</v>
      </c>
      <c r="AT1532" s="28"/>
      <c r="AU1532" s="9" t="str">
        <f aca="false">HYPERLINK("https://creighton-primo.hosted.exlibrisgroup.com/primo-explore/search?tab=default_tab&amp;search_scope=EVERYTHING&amp;vid=01CRU&amp;lang=en_US&amp;offset=0&amp;query=any,contains,991001432589702656","Catalog Record")</f>
        <v>Catalog Record</v>
      </c>
      <c r="AV1532" s="9" t="str">
        <f aca="false">HYPERLINK("http://www.worldcat.org/oclc/19123574","WorldCat Record")</f>
        <v>WorldCat Record</v>
      </c>
      <c r="AW1532" s="6" t="s">
        <v>12595</v>
      </c>
      <c r="AX1532" s="6" t="s">
        <v>12596</v>
      </c>
      <c r="AY1532" s="6" t="s">
        <v>12597</v>
      </c>
      <c r="AZ1532" s="6" t="s">
        <v>12597</v>
      </c>
      <c r="BA1532" s="6" t="s">
        <v>12598</v>
      </c>
      <c r="BB1532" s="6" t="s">
        <v>12599</v>
      </c>
      <c r="BC1532" s="6" t="s">
        <v>12600</v>
      </c>
      <c r="BE1532" s="15" t="s">
        <v>2145</v>
      </c>
      <c r="BF1532" s="6" t="s">
        <v>12601</v>
      </c>
    </row>
    <row r="1533" customFormat="false" ht="255" hidden="false" customHeight="false" outlineLevel="0" collapsed="false">
      <c r="A1533" s="26" t="s">
        <v>63</v>
      </c>
      <c r="B1533" s="27" t="s">
        <v>2129</v>
      </c>
      <c r="C1533" s="27" t="s">
        <v>2130</v>
      </c>
      <c r="D1533" s="27" t="s">
        <v>12602</v>
      </c>
      <c r="E1533" s="27" t="s">
        <v>12603</v>
      </c>
      <c r="F1533" s="27" t="s">
        <v>12604</v>
      </c>
      <c r="G1533" s="28"/>
      <c r="H1533" s="6" t="s">
        <v>63</v>
      </c>
      <c r="I1533" s="6" t="s">
        <v>62</v>
      </c>
      <c r="J1533" s="6" t="s">
        <v>63</v>
      </c>
      <c r="K1533" s="6" t="s">
        <v>63</v>
      </c>
      <c r="L1533" s="6" t="s">
        <v>64</v>
      </c>
      <c r="M1533" s="27" t="s">
        <v>12605</v>
      </c>
      <c r="N1533" s="27" t="s">
        <v>12606</v>
      </c>
      <c r="O1533" s="6" t="s">
        <v>12607</v>
      </c>
      <c r="P1533" s="28"/>
      <c r="Q1533" s="6" t="s">
        <v>67</v>
      </c>
      <c r="R1533" s="6" t="s">
        <v>123</v>
      </c>
      <c r="S1533" s="27" t="s">
        <v>12608</v>
      </c>
      <c r="T1533" s="6" t="s">
        <v>6138</v>
      </c>
      <c r="U1533" s="7" t="n">
        <v>2</v>
      </c>
      <c r="V1533" s="7" t="n">
        <v>2</v>
      </c>
      <c r="W1533" s="8" t="s">
        <v>3341</v>
      </c>
      <c r="X1533" s="8" t="s">
        <v>3341</v>
      </c>
      <c r="Y1533" s="8" t="s">
        <v>4227</v>
      </c>
      <c r="Z1533" s="8" t="s">
        <v>4227</v>
      </c>
      <c r="AA1533" s="7" t="n">
        <v>238</v>
      </c>
      <c r="AB1533" s="7" t="n">
        <v>169</v>
      </c>
      <c r="AC1533" s="7" t="n">
        <v>418</v>
      </c>
      <c r="AD1533" s="7" t="n">
        <v>2</v>
      </c>
      <c r="AE1533" s="7" t="n">
        <v>4</v>
      </c>
      <c r="AF1533" s="7" t="n">
        <v>15</v>
      </c>
      <c r="AG1533" s="7" t="n">
        <v>28</v>
      </c>
      <c r="AH1533" s="7" t="n">
        <v>3</v>
      </c>
      <c r="AI1533" s="7" t="n">
        <v>9</v>
      </c>
      <c r="AJ1533" s="7" t="n">
        <v>3</v>
      </c>
      <c r="AK1533" s="7" t="n">
        <v>8</v>
      </c>
      <c r="AL1533" s="7" t="n">
        <v>12</v>
      </c>
      <c r="AM1533" s="7" t="n">
        <v>16</v>
      </c>
      <c r="AN1533" s="7" t="n">
        <v>1</v>
      </c>
      <c r="AO1533" s="7" t="n">
        <v>3</v>
      </c>
      <c r="AP1533" s="7" t="n">
        <v>0</v>
      </c>
      <c r="AQ1533" s="7" t="n">
        <v>0</v>
      </c>
      <c r="AR1533" s="6" t="s">
        <v>57</v>
      </c>
      <c r="AS1533" s="6" t="s">
        <v>63</v>
      </c>
      <c r="AT1533" s="9" t="str">
        <f aca="false">HYPERLINK("http://catalog.hathitrust.org/Record/008620967","HathiTrust Record")</f>
        <v>HathiTrust Record</v>
      </c>
      <c r="AU1533" s="9" t="str">
        <f aca="false">HYPERLINK("https://creighton-primo.hosted.exlibrisgroup.com/primo-explore/search?tab=default_tab&amp;search_scope=EVERYTHING&amp;vid=01CRU&amp;lang=en_US&amp;offset=0&amp;query=any,contains,991003894809702656","Catalog Record")</f>
        <v>Catalog Record</v>
      </c>
      <c r="AV1533" s="9" t="str">
        <f aca="false">HYPERLINK("http://www.worldcat.org/oclc/1806580","WorldCat Record")</f>
        <v>WorldCat Record</v>
      </c>
      <c r="AW1533" s="6" t="s">
        <v>12609</v>
      </c>
      <c r="AX1533" s="6" t="s">
        <v>12610</v>
      </c>
      <c r="AY1533" s="6" t="s">
        <v>12611</v>
      </c>
      <c r="AZ1533" s="6" t="s">
        <v>12611</v>
      </c>
      <c r="BA1533" s="6" t="s">
        <v>12612</v>
      </c>
      <c r="BB1533" s="28"/>
      <c r="BC1533" s="6" t="s">
        <v>12613</v>
      </c>
      <c r="BE1533" s="15" t="s">
        <v>2145</v>
      </c>
      <c r="BF1533" s="6" t="s">
        <v>12614</v>
      </c>
    </row>
    <row r="1534" customFormat="false" ht="197.5" hidden="false" customHeight="false" outlineLevel="0" collapsed="false">
      <c r="A1534" s="26" t="s">
        <v>63</v>
      </c>
      <c r="B1534" s="27" t="s">
        <v>2129</v>
      </c>
      <c r="C1534" s="27" t="s">
        <v>2130</v>
      </c>
      <c r="D1534" s="27" t="s">
        <v>12615</v>
      </c>
      <c r="E1534" s="27" t="s">
        <v>12616</v>
      </c>
      <c r="F1534" s="27" t="s">
        <v>12617</v>
      </c>
      <c r="G1534" s="28"/>
      <c r="H1534" s="6" t="s">
        <v>63</v>
      </c>
      <c r="I1534" s="6" t="s">
        <v>62</v>
      </c>
      <c r="J1534" s="6" t="s">
        <v>63</v>
      </c>
      <c r="K1534" s="6" t="s">
        <v>63</v>
      </c>
      <c r="L1534" s="6" t="s">
        <v>64</v>
      </c>
      <c r="M1534" s="27" t="s">
        <v>2851</v>
      </c>
      <c r="N1534" s="27" t="s">
        <v>12618</v>
      </c>
      <c r="O1534" s="6" t="s">
        <v>4833</v>
      </c>
      <c r="P1534" s="28"/>
      <c r="Q1534" s="6" t="s">
        <v>67</v>
      </c>
      <c r="R1534" s="6" t="s">
        <v>123</v>
      </c>
      <c r="S1534" s="28"/>
      <c r="T1534" s="6" t="s">
        <v>6138</v>
      </c>
      <c r="U1534" s="7" t="n">
        <v>1</v>
      </c>
      <c r="V1534" s="7" t="n">
        <v>1</v>
      </c>
      <c r="W1534" s="8" t="s">
        <v>12619</v>
      </c>
      <c r="X1534" s="8" t="s">
        <v>12619</v>
      </c>
      <c r="Y1534" s="8" t="s">
        <v>4227</v>
      </c>
      <c r="Z1534" s="8" t="s">
        <v>4227</v>
      </c>
      <c r="AA1534" s="7" t="n">
        <v>175</v>
      </c>
      <c r="AB1534" s="7" t="n">
        <v>164</v>
      </c>
      <c r="AC1534" s="7" t="n">
        <v>506</v>
      </c>
      <c r="AD1534" s="7" t="n">
        <v>1</v>
      </c>
      <c r="AE1534" s="7" t="n">
        <v>1</v>
      </c>
      <c r="AF1534" s="7" t="n">
        <v>8</v>
      </c>
      <c r="AG1534" s="7" t="n">
        <v>24</v>
      </c>
      <c r="AH1534" s="7" t="n">
        <v>5</v>
      </c>
      <c r="AI1534" s="7" t="n">
        <v>12</v>
      </c>
      <c r="AJ1534" s="7" t="n">
        <v>2</v>
      </c>
      <c r="AK1534" s="7" t="n">
        <v>7</v>
      </c>
      <c r="AL1534" s="7" t="n">
        <v>3</v>
      </c>
      <c r="AM1534" s="7" t="n">
        <v>15</v>
      </c>
      <c r="AN1534" s="7" t="n">
        <v>0</v>
      </c>
      <c r="AO1534" s="7" t="n">
        <v>0</v>
      </c>
      <c r="AP1534" s="7" t="n">
        <v>0</v>
      </c>
      <c r="AQ1534" s="7" t="n">
        <v>0</v>
      </c>
      <c r="AR1534" s="6" t="s">
        <v>63</v>
      </c>
      <c r="AS1534" s="6" t="s">
        <v>63</v>
      </c>
      <c r="AT1534" s="28"/>
      <c r="AU1534" s="9" t="str">
        <f aca="false">HYPERLINK("https://creighton-primo.hosted.exlibrisgroup.com/primo-explore/search?tab=default_tab&amp;search_scope=EVERYTHING&amp;vid=01CRU&amp;lang=en_US&amp;offset=0&amp;query=any,contains,991002716739702656","Catalog Record")</f>
        <v>Catalog Record</v>
      </c>
      <c r="AV1534" s="9" t="str">
        <f aca="false">HYPERLINK("http://www.worldcat.org/oclc/411464","WorldCat Record")</f>
        <v>WorldCat Record</v>
      </c>
      <c r="AW1534" s="6" t="s">
        <v>12620</v>
      </c>
      <c r="AX1534" s="6" t="s">
        <v>12621</v>
      </c>
      <c r="AY1534" s="6" t="s">
        <v>12622</v>
      </c>
      <c r="AZ1534" s="6" t="s">
        <v>12622</v>
      </c>
      <c r="BA1534" s="6" t="s">
        <v>12623</v>
      </c>
      <c r="BB1534" s="28"/>
      <c r="BC1534" s="6" t="s">
        <v>12624</v>
      </c>
      <c r="BE1534" s="15" t="s">
        <v>2145</v>
      </c>
      <c r="BF1534" s="6" t="s">
        <v>12625</v>
      </c>
    </row>
    <row r="1535" customFormat="false" ht="209" hidden="false" customHeight="false" outlineLevel="0" collapsed="false">
      <c r="A1535" s="26" t="s">
        <v>63</v>
      </c>
      <c r="B1535" s="27" t="s">
        <v>2129</v>
      </c>
      <c r="C1535" s="27" t="s">
        <v>2130</v>
      </c>
      <c r="D1535" s="27" t="s">
        <v>12626</v>
      </c>
      <c r="E1535" s="27" t="s">
        <v>12627</v>
      </c>
      <c r="F1535" s="27" t="s">
        <v>12628</v>
      </c>
      <c r="G1535" s="28"/>
      <c r="H1535" s="6" t="s">
        <v>63</v>
      </c>
      <c r="I1535" s="6" t="s">
        <v>62</v>
      </c>
      <c r="J1535" s="6" t="s">
        <v>63</v>
      </c>
      <c r="K1535" s="6" t="s">
        <v>63</v>
      </c>
      <c r="L1535" s="6" t="s">
        <v>64</v>
      </c>
      <c r="M1535" s="27" t="s">
        <v>3917</v>
      </c>
      <c r="N1535" s="27" t="s">
        <v>12629</v>
      </c>
      <c r="O1535" s="6" t="s">
        <v>2693</v>
      </c>
      <c r="P1535" s="28"/>
      <c r="Q1535" s="6" t="s">
        <v>67</v>
      </c>
      <c r="R1535" s="6" t="s">
        <v>68</v>
      </c>
      <c r="S1535" s="28"/>
      <c r="T1535" s="6" t="s">
        <v>6138</v>
      </c>
      <c r="U1535" s="7" t="n">
        <v>1</v>
      </c>
      <c r="V1535" s="7" t="n">
        <v>1</v>
      </c>
      <c r="W1535" s="8" t="s">
        <v>11413</v>
      </c>
      <c r="X1535" s="8" t="s">
        <v>11413</v>
      </c>
      <c r="Y1535" s="8" t="s">
        <v>4227</v>
      </c>
      <c r="Z1535" s="8" t="s">
        <v>4227</v>
      </c>
      <c r="AA1535" s="7" t="n">
        <v>401</v>
      </c>
      <c r="AB1535" s="7" t="n">
        <v>355</v>
      </c>
      <c r="AC1535" s="7" t="n">
        <v>635</v>
      </c>
      <c r="AD1535" s="7" t="n">
        <v>2</v>
      </c>
      <c r="AE1535" s="7" t="n">
        <v>3</v>
      </c>
      <c r="AF1535" s="7" t="n">
        <v>17</v>
      </c>
      <c r="AG1535" s="7" t="n">
        <v>27</v>
      </c>
      <c r="AH1535" s="7" t="n">
        <v>6</v>
      </c>
      <c r="AI1535" s="7" t="n">
        <v>12</v>
      </c>
      <c r="AJ1535" s="7" t="n">
        <v>7</v>
      </c>
      <c r="AK1535" s="7" t="n">
        <v>8</v>
      </c>
      <c r="AL1535" s="7" t="n">
        <v>8</v>
      </c>
      <c r="AM1535" s="7" t="n">
        <v>13</v>
      </c>
      <c r="AN1535" s="7" t="n">
        <v>1</v>
      </c>
      <c r="AO1535" s="7" t="n">
        <v>2</v>
      </c>
      <c r="AP1535" s="7" t="n">
        <v>0</v>
      </c>
      <c r="AQ1535" s="7" t="n">
        <v>0</v>
      </c>
      <c r="AR1535" s="6" t="s">
        <v>63</v>
      </c>
      <c r="AS1535" s="6" t="s">
        <v>57</v>
      </c>
      <c r="AT1535" s="9" t="str">
        <f aca="false">HYPERLINK("http://catalog.hathitrust.org/Record/001917395","HathiTrust Record")</f>
        <v>HathiTrust Record</v>
      </c>
      <c r="AU1535" s="9" t="str">
        <f aca="false">HYPERLINK("https://creighton-primo.hosted.exlibrisgroup.com/primo-explore/search?tab=default_tab&amp;search_scope=EVERYTHING&amp;vid=01CRU&amp;lang=en_US&amp;offset=0&amp;query=any,contains,991002782909702656","Catalog Record")</f>
        <v>Catalog Record</v>
      </c>
      <c r="AV1535" s="9" t="str">
        <f aca="false">HYPERLINK("http://www.worldcat.org/oclc/440880","WorldCat Record")</f>
        <v>WorldCat Record</v>
      </c>
      <c r="AW1535" s="6" t="s">
        <v>12630</v>
      </c>
      <c r="AX1535" s="6" t="s">
        <v>12631</v>
      </c>
      <c r="AY1535" s="6" t="s">
        <v>12632</v>
      </c>
      <c r="AZ1535" s="6" t="s">
        <v>12632</v>
      </c>
      <c r="BA1535" s="6" t="s">
        <v>12633</v>
      </c>
      <c r="BB1535" s="28"/>
      <c r="BC1535" s="6" t="s">
        <v>12634</v>
      </c>
      <c r="BE1535" s="15" t="s">
        <v>2145</v>
      </c>
      <c r="BF1535" s="6" t="s">
        <v>12635</v>
      </c>
    </row>
    <row r="1536" customFormat="false" ht="117" hidden="false" customHeight="false" outlineLevel="0" collapsed="false">
      <c r="A1536" s="26" t="s">
        <v>63</v>
      </c>
      <c r="B1536" s="27" t="s">
        <v>2129</v>
      </c>
      <c r="C1536" s="27" t="s">
        <v>2130</v>
      </c>
      <c r="D1536" s="27" t="s">
        <v>12636</v>
      </c>
      <c r="E1536" s="27" t="s">
        <v>12637</v>
      </c>
      <c r="F1536" s="27" t="s">
        <v>12638</v>
      </c>
      <c r="G1536" s="28"/>
      <c r="H1536" s="6" t="s">
        <v>63</v>
      </c>
      <c r="I1536" s="6" t="s">
        <v>62</v>
      </c>
      <c r="J1536" s="6" t="s">
        <v>63</v>
      </c>
      <c r="K1536" s="6" t="s">
        <v>63</v>
      </c>
      <c r="L1536" s="6" t="s">
        <v>64</v>
      </c>
      <c r="M1536" s="27" t="s">
        <v>12639</v>
      </c>
      <c r="N1536" s="27" t="s">
        <v>12640</v>
      </c>
      <c r="O1536" s="6" t="s">
        <v>122</v>
      </c>
      <c r="P1536" s="28"/>
      <c r="Q1536" s="6" t="s">
        <v>67</v>
      </c>
      <c r="R1536" s="6" t="s">
        <v>6745</v>
      </c>
      <c r="S1536" s="28"/>
      <c r="T1536" s="6" t="s">
        <v>6138</v>
      </c>
      <c r="U1536" s="7" t="n">
        <v>2</v>
      </c>
      <c r="V1536" s="7" t="n">
        <v>2</v>
      </c>
      <c r="W1536" s="8" t="s">
        <v>12619</v>
      </c>
      <c r="X1536" s="8" t="s">
        <v>12619</v>
      </c>
      <c r="Y1536" s="8" t="s">
        <v>4227</v>
      </c>
      <c r="Z1536" s="8" t="s">
        <v>4227</v>
      </c>
      <c r="AA1536" s="7" t="n">
        <v>504</v>
      </c>
      <c r="AB1536" s="7" t="n">
        <v>439</v>
      </c>
      <c r="AC1536" s="7" t="n">
        <v>463</v>
      </c>
      <c r="AD1536" s="7" t="n">
        <v>3</v>
      </c>
      <c r="AE1536" s="7" t="n">
        <v>3</v>
      </c>
      <c r="AF1536" s="7" t="n">
        <v>28</v>
      </c>
      <c r="AG1536" s="7" t="n">
        <v>29</v>
      </c>
      <c r="AH1536" s="7" t="n">
        <v>9</v>
      </c>
      <c r="AI1536" s="7" t="n">
        <v>10</v>
      </c>
      <c r="AJ1536" s="7" t="n">
        <v>8</v>
      </c>
      <c r="AK1536" s="7" t="n">
        <v>9</v>
      </c>
      <c r="AL1536" s="7" t="n">
        <v>17</v>
      </c>
      <c r="AM1536" s="7" t="n">
        <v>17</v>
      </c>
      <c r="AN1536" s="7" t="n">
        <v>2</v>
      </c>
      <c r="AO1536" s="7" t="n">
        <v>2</v>
      </c>
      <c r="AP1536" s="7" t="n">
        <v>0</v>
      </c>
      <c r="AQ1536" s="7" t="n">
        <v>0</v>
      </c>
      <c r="AR1536" s="6" t="s">
        <v>63</v>
      </c>
      <c r="AS1536" s="6" t="s">
        <v>57</v>
      </c>
      <c r="AT1536" s="9" t="str">
        <f aca="false">HYPERLINK("http://catalog.hathitrust.org/Record/001385749","HathiTrust Record")</f>
        <v>HathiTrust Record</v>
      </c>
      <c r="AU1536" s="9" t="str">
        <f aca="false">HYPERLINK("https://creighton-primo.hosted.exlibrisgroup.com/primo-explore/search?tab=default_tab&amp;search_scope=EVERYTHING&amp;vid=01CRU&amp;lang=en_US&amp;offset=0&amp;query=any,contains,991003350089702656","Catalog Record")</f>
        <v>Catalog Record</v>
      </c>
      <c r="AV1536" s="9" t="str">
        <f aca="false">HYPERLINK("http://www.worldcat.org/oclc/883007","WorldCat Record")</f>
        <v>WorldCat Record</v>
      </c>
      <c r="AW1536" s="6" t="s">
        <v>12641</v>
      </c>
      <c r="AX1536" s="6" t="s">
        <v>12642</v>
      </c>
      <c r="AY1536" s="6" t="s">
        <v>12643</v>
      </c>
      <c r="AZ1536" s="6" t="s">
        <v>12643</v>
      </c>
      <c r="BA1536" s="6" t="s">
        <v>12644</v>
      </c>
      <c r="BB1536" s="28"/>
      <c r="BC1536" s="6" t="s">
        <v>12645</v>
      </c>
      <c r="BE1536" s="15" t="s">
        <v>2145</v>
      </c>
      <c r="BF1536" s="6" t="s">
        <v>12646</v>
      </c>
    </row>
    <row r="1537" customFormat="false" ht="105.5" hidden="false" customHeight="false" outlineLevel="0" collapsed="false">
      <c r="A1537" s="26" t="s">
        <v>63</v>
      </c>
      <c r="B1537" s="27" t="s">
        <v>2129</v>
      </c>
      <c r="C1537" s="27" t="s">
        <v>2130</v>
      </c>
      <c r="D1537" s="27" t="s">
        <v>12647</v>
      </c>
      <c r="E1537" s="27" t="s">
        <v>12648</v>
      </c>
      <c r="F1537" s="27" t="s">
        <v>12649</v>
      </c>
      <c r="G1537" s="28"/>
      <c r="H1537" s="6" t="s">
        <v>63</v>
      </c>
      <c r="I1537" s="6" t="s">
        <v>62</v>
      </c>
      <c r="J1537" s="6" t="s">
        <v>63</v>
      </c>
      <c r="K1537" s="6" t="s">
        <v>63</v>
      </c>
      <c r="L1537" s="6" t="s">
        <v>64</v>
      </c>
      <c r="M1537" s="27" t="s">
        <v>3261</v>
      </c>
      <c r="N1537" s="27" t="s">
        <v>12650</v>
      </c>
      <c r="O1537" s="6" t="s">
        <v>8146</v>
      </c>
      <c r="P1537" s="28"/>
      <c r="Q1537" s="6" t="s">
        <v>67</v>
      </c>
      <c r="R1537" s="6" t="s">
        <v>68</v>
      </c>
      <c r="S1537" s="27" t="s">
        <v>12651</v>
      </c>
      <c r="T1537" s="6" t="s">
        <v>6138</v>
      </c>
      <c r="U1537" s="7" t="n">
        <v>2</v>
      </c>
      <c r="V1537" s="7" t="n">
        <v>2</v>
      </c>
      <c r="W1537" s="8" t="s">
        <v>12652</v>
      </c>
      <c r="X1537" s="8" t="s">
        <v>12652</v>
      </c>
      <c r="Y1537" s="8" t="s">
        <v>4227</v>
      </c>
      <c r="Z1537" s="8" t="s">
        <v>4227</v>
      </c>
      <c r="AA1537" s="7" t="n">
        <v>221</v>
      </c>
      <c r="AB1537" s="7" t="n">
        <v>207</v>
      </c>
      <c r="AC1537" s="7" t="n">
        <v>275</v>
      </c>
      <c r="AD1537" s="7" t="n">
        <v>2</v>
      </c>
      <c r="AE1537" s="7" t="n">
        <v>3</v>
      </c>
      <c r="AF1537" s="7" t="n">
        <v>11</v>
      </c>
      <c r="AG1537" s="7" t="n">
        <v>18</v>
      </c>
      <c r="AH1537" s="7" t="n">
        <v>6</v>
      </c>
      <c r="AI1537" s="7" t="n">
        <v>8</v>
      </c>
      <c r="AJ1537" s="7" t="n">
        <v>2</v>
      </c>
      <c r="AK1537" s="7" t="n">
        <v>2</v>
      </c>
      <c r="AL1537" s="7" t="n">
        <v>5</v>
      </c>
      <c r="AM1537" s="7" t="n">
        <v>11</v>
      </c>
      <c r="AN1537" s="7" t="n">
        <v>1</v>
      </c>
      <c r="AO1537" s="7" t="n">
        <v>2</v>
      </c>
      <c r="AP1537" s="7" t="n">
        <v>1</v>
      </c>
      <c r="AQ1537" s="7" t="n">
        <v>1</v>
      </c>
      <c r="AR1537" s="6" t="s">
        <v>63</v>
      </c>
      <c r="AS1537" s="6" t="s">
        <v>57</v>
      </c>
      <c r="AT1537" s="9" t="str">
        <f aca="false">HYPERLINK("http://catalog.hathitrust.org/Record/101869970","HathiTrust Record")</f>
        <v>HathiTrust Record</v>
      </c>
      <c r="AU1537" s="9" t="str">
        <f aca="false">HYPERLINK("https://creighton-primo.hosted.exlibrisgroup.com/primo-explore/search?tab=default_tab&amp;search_scope=EVERYTHING&amp;vid=01CRU&amp;lang=en_US&amp;offset=0&amp;query=any,contains,991004095979702656","Catalog Record")</f>
        <v>Catalog Record</v>
      </c>
      <c r="AV1537" s="9" t="str">
        <f aca="false">HYPERLINK("http://www.worldcat.org/oclc/2360158","WorldCat Record")</f>
        <v>WorldCat Record</v>
      </c>
      <c r="AW1537" s="6" t="s">
        <v>12653</v>
      </c>
      <c r="AX1537" s="6" t="s">
        <v>12654</v>
      </c>
      <c r="AY1537" s="6" t="s">
        <v>12655</v>
      </c>
      <c r="AZ1537" s="6" t="s">
        <v>12655</v>
      </c>
      <c r="BA1537" s="6" t="s">
        <v>12656</v>
      </c>
      <c r="BB1537" s="28"/>
      <c r="BC1537" s="6" t="s">
        <v>12657</v>
      </c>
      <c r="BE1537" s="15" t="s">
        <v>2145</v>
      </c>
      <c r="BF1537" s="6" t="s">
        <v>12658</v>
      </c>
    </row>
    <row r="1538" customFormat="false" ht="140" hidden="false" customHeight="false" outlineLevel="0" collapsed="false">
      <c r="A1538" s="26" t="s">
        <v>63</v>
      </c>
      <c r="B1538" s="27" t="s">
        <v>2129</v>
      </c>
      <c r="C1538" s="27" t="s">
        <v>2130</v>
      </c>
      <c r="D1538" s="27" t="s">
        <v>12659</v>
      </c>
      <c r="E1538" s="27" t="s">
        <v>12660</v>
      </c>
      <c r="F1538" s="27" t="s">
        <v>12661</v>
      </c>
      <c r="G1538" s="28"/>
      <c r="H1538" s="6" t="s">
        <v>63</v>
      </c>
      <c r="I1538" s="6" t="s">
        <v>62</v>
      </c>
      <c r="J1538" s="6" t="s">
        <v>63</v>
      </c>
      <c r="K1538" s="6" t="s">
        <v>63</v>
      </c>
      <c r="L1538" s="6" t="s">
        <v>64</v>
      </c>
      <c r="M1538" s="27" t="s">
        <v>12662</v>
      </c>
      <c r="N1538" s="27" t="s">
        <v>12663</v>
      </c>
      <c r="O1538" s="6" t="s">
        <v>7200</v>
      </c>
      <c r="P1538" s="28"/>
      <c r="Q1538" s="6" t="s">
        <v>67</v>
      </c>
      <c r="R1538" s="6" t="s">
        <v>384</v>
      </c>
      <c r="S1538" s="28"/>
      <c r="T1538" s="6" t="s">
        <v>6138</v>
      </c>
      <c r="U1538" s="7" t="n">
        <v>3</v>
      </c>
      <c r="V1538" s="7" t="n">
        <v>3</v>
      </c>
      <c r="W1538" s="8" t="s">
        <v>12664</v>
      </c>
      <c r="X1538" s="8" t="s">
        <v>12664</v>
      </c>
      <c r="Y1538" s="8" t="s">
        <v>4227</v>
      </c>
      <c r="Z1538" s="8" t="s">
        <v>4227</v>
      </c>
      <c r="AA1538" s="7" t="n">
        <v>162</v>
      </c>
      <c r="AB1538" s="7" t="n">
        <v>140</v>
      </c>
      <c r="AC1538" s="7" t="n">
        <v>196</v>
      </c>
      <c r="AD1538" s="7" t="n">
        <v>4</v>
      </c>
      <c r="AE1538" s="7" t="n">
        <v>4</v>
      </c>
      <c r="AF1538" s="7" t="n">
        <v>7</v>
      </c>
      <c r="AG1538" s="7" t="n">
        <v>9</v>
      </c>
      <c r="AH1538" s="7" t="n">
        <v>1</v>
      </c>
      <c r="AI1538" s="7" t="n">
        <v>2</v>
      </c>
      <c r="AJ1538" s="7" t="n">
        <v>2</v>
      </c>
      <c r="AK1538" s="7" t="n">
        <v>2</v>
      </c>
      <c r="AL1538" s="7" t="n">
        <v>4</v>
      </c>
      <c r="AM1538" s="7" t="n">
        <v>6</v>
      </c>
      <c r="AN1538" s="7" t="n">
        <v>2</v>
      </c>
      <c r="AO1538" s="7" t="n">
        <v>2</v>
      </c>
      <c r="AP1538" s="7" t="n">
        <v>0</v>
      </c>
      <c r="AQ1538" s="7" t="n">
        <v>0</v>
      </c>
      <c r="AR1538" s="6" t="s">
        <v>63</v>
      </c>
      <c r="AS1538" s="6" t="s">
        <v>63</v>
      </c>
      <c r="AT1538" s="28"/>
      <c r="AU1538" s="9" t="str">
        <f aca="false">HYPERLINK("https://creighton-primo.hosted.exlibrisgroup.com/primo-explore/search?tab=default_tab&amp;search_scope=EVERYTHING&amp;vid=01CRU&amp;lang=en_US&amp;offset=0&amp;query=any,contains,991003258819702656","Catalog Record")</f>
        <v>Catalog Record</v>
      </c>
      <c r="AV1538" s="9" t="str">
        <f aca="false">HYPERLINK("http://www.worldcat.org/oclc/784387","WorldCat Record")</f>
        <v>WorldCat Record</v>
      </c>
      <c r="AW1538" s="6" t="s">
        <v>12665</v>
      </c>
      <c r="AX1538" s="6" t="s">
        <v>12666</v>
      </c>
      <c r="AY1538" s="6" t="s">
        <v>12667</v>
      </c>
      <c r="AZ1538" s="6" t="s">
        <v>12667</v>
      </c>
      <c r="BA1538" s="6" t="s">
        <v>12668</v>
      </c>
      <c r="BB1538" s="28"/>
      <c r="BC1538" s="6" t="s">
        <v>12669</v>
      </c>
      <c r="BE1538" s="15" t="s">
        <v>2145</v>
      </c>
      <c r="BF1538" s="6" t="s">
        <v>12670</v>
      </c>
    </row>
    <row r="1539" customFormat="false" ht="117" hidden="false" customHeight="false" outlineLevel="0" collapsed="false">
      <c r="A1539" s="26" t="s">
        <v>63</v>
      </c>
      <c r="B1539" s="27" t="s">
        <v>2129</v>
      </c>
      <c r="C1539" s="27" t="s">
        <v>2130</v>
      </c>
      <c r="D1539" s="27" t="s">
        <v>12671</v>
      </c>
      <c r="E1539" s="27" t="s">
        <v>12672</v>
      </c>
      <c r="F1539" s="27" t="s">
        <v>12673</v>
      </c>
      <c r="G1539" s="28"/>
      <c r="H1539" s="6" t="s">
        <v>63</v>
      </c>
      <c r="I1539" s="6" t="s">
        <v>62</v>
      </c>
      <c r="J1539" s="6" t="s">
        <v>63</v>
      </c>
      <c r="K1539" s="6" t="s">
        <v>63</v>
      </c>
      <c r="L1539" s="6" t="s">
        <v>64</v>
      </c>
      <c r="M1539" s="27" t="s">
        <v>12674</v>
      </c>
      <c r="N1539" s="27" t="s">
        <v>12675</v>
      </c>
      <c r="O1539" s="6" t="s">
        <v>2893</v>
      </c>
      <c r="P1539" s="27" t="s">
        <v>4594</v>
      </c>
      <c r="Q1539" s="6" t="s">
        <v>67</v>
      </c>
      <c r="R1539" s="6" t="s">
        <v>384</v>
      </c>
      <c r="S1539" s="28"/>
      <c r="T1539" s="6" t="s">
        <v>6138</v>
      </c>
      <c r="U1539" s="7" t="n">
        <v>6</v>
      </c>
      <c r="V1539" s="7" t="n">
        <v>6</v>
      </c>
      <c r="W1539" s="8" t="s">
        <v>12676</v>
      </c>
      <c r="X1539" s="8" t="s">
        <v>12676</v>
      </c>
      <c r="Y1539" s="8" t="s">
        <v>4227</v>
      </c>
      <c r="Z1539" s="8" t="s">
        <v>4227</v>
      </c>
      <c r="AA1539" s="7" t="n">
        <v>489</v>
      </c>
      <c r="AB1539" s="7" t="n">
        <v>410</v>
      </c>
      <c r="AC1539" s="7" t="n">
        <v>701</v>
      </c>
      <c r="AD1539" s="7" t="n">
        <v>2</v>
      </c>
      <c r="AE1539" s="7" t="n">
        <v>4</v>
      </c>
      <c r="AF1539" s="7" t="n">
        <v>15</v>
      </c>
      <c r="AG1539" s="7" t="n">
        <v>38</v>
      </c>
      <c r="AH1539" s="7" t="n">
        <v>7</v>
      </c>
      <c r="AI1539" s="7" t="n">
        <v>16</v>
      </c>
      <c r="AJ1539" s="7" t="n">
        <v>3</v>
      </c>
      <c r="AK1539" s="7" t="n">
        <v>8</v>
      </c>
      <c r="AL1539" s="7" t="n">
        <v>7</v>
      </c>
      <c r="AM1539" s="7" t="n">
        <v>21</v>
      </c>
      <c r="AN1539" s="7" t="n">
        <v>1</v>
      </c>
      <c r="AO1539" s="7" t="n">
        <v>2</v>
      </c>
      <c r="AP1539" s="7" t="n">
        <v>0</v>
      </c>
      <c r="AQ1539" s="7" t="n">
        <v>0</v>
      </c>
      <c r="AR1539" s="6" t="s">
        <v>63</v>
      </c>
      <c r="AS1539" s="6" t="s">
        <v>63</v>
      </c>
      <c r="AT1539" s="28"/>
      <c r="AU1539" s="9" t="str">
        <f aca="false">HYPERLINK("https://creighton-primo.hosted.exlibrisgroup.com/primo-explore/search?tab=default_tab&amp;search_scope=EVERYTHING&amp;vid=01CRU&amp;lang=en_US&amp;offset=0&amp;query=any,contains,991004103799702656","Catalog Record")</f>
        <v>Catalog Record</v>
      </c>
      <c r="AV1539" s="9" t="str">
        <f aca="false">HYPERLINK("http://www.worldcat.org/oclc/2373803","WorldCat Record")</f>
        <v>WorldCat Record</v>
      </c>
      <c r="AW1539" s="6" t="s">
        <v>12677</v>
      </c>
      <c r="AX1539" s="6" t="s">
        <v>12678</v>
      </c>
      <c r="AY1539" s="6" t="s">
        <v>12679</v>
      </c>
      <c r="AZ1539" s="6" t="s">
        <v>12679</v>
      </c>
      <c r="BA1539" s="6" t="s">
        <v>12680</v>
      </c>
      <c r="BB1539" s="6" t="s">
        <v>12681</v>
      </c>
      <c r="BC1539" s="6" t="s">
        <v>12682</v>
      </c>
      <c r="BE1539" s="15" t="s">
        <v>2145</v>
      </c>
      <c r="BF1539" s="6" t="s">
        <v>12683</v>
      </c>
    </row>
    <row r="1540" customFormat="false" ht="71" hidden="false" customHeight="false" outlineLevel="0" collapsed="false">
      <c r="A1540" s="26" t="s">
        <v>63</v>
      </c>
      <c r="B1540" s="27" t="s">
        <v>2129</v>
      </c>
      <c r="C1540" s="27" t="s">
        <v>2130</v>
      </c>
      <c r="D1540" s="27" t="s">
        <v>12684</v>
      </c>
      <c r="E1540" s="27" t="s">
        <v>12685</v>
      </c>
      <c r="F1540" s="27" t="s">
        <v>12686</v>
      </c>
      <c r="G1540" s="28"/>
      <c r="H1540" s="6" t="s">
        <v>63</v>
      </c>
      <c r="I1540" s="6" t="s">
        <v>62</v>
      </c>
      <c r="J1540" s="6" t="s">
        <v>63</v>
      </c>
      <c r="K1540" s="6" t="s">
        <v>63</v>
      </c>
      <c r="L1540" s="6" t="s">
        <v>64</v>
      </c>
      <c r="M1540" s="27" t="s">
        <v>12687</v>
      </c>
      <c r="N1540" s="27" t="s">
        <v>12688</v>
      </c>
      <c r="O1540" s="6" t="s">
        <v>167</v>
      </c>
      <c r="P1540" s="28"/>
      <c r="Q1540" s="6" t="s">
        <v>67</v>
      </c>
      <c r="R1540" s="6" t="s">
        <v>1059</v>
      </c>
      <c r="S1540" s="28"/>
      <c r="T1540" s="6" t="s">
        <v>6138</v>
      </c>
      <c r="U1540" s="7" t="n">
        <v>7</v>
      </c>
      <c r="V1540" s="7" t="n">
        <v>7</v>
      </c>
      <c r="W1540" s="8" t="s">
        <v>12689</v>
      </c>
      <c r="X1540" s="8" t="s">
        <v>12689</v>
      </c>
      <c r="Y1540" s="8" t="s">
        <v>4227</v>
      </c>
      <c r="Z1540" s="8" t="s">
        <v>4227</v>
      </c>
      <c r="AA1540" s="7" t="n">
        <v>168</v>
      </c>
      <c r="AB1540" s="7" t="n">
        <v>152</v>
      </c>
      <c r="AC1540" s="7" t="n">
        <v>212</v>
      </c>
      <c r="AD1540" s="7" t="n">
        <v>3</v>
      </c>
      <c r="AE1540" s="7" t="n">
        <v>3</v>
      </c>
      <c r="AF1540" s="7" t="n">
        <v>10</v>
      </c>
      <c r="AG1540" s="7" t="n">
        <v>13</v>
      </c>
      <c r="AH1540" s="7" t="n">
        <v>2</v>
      </c>
      <c r="AI1540" s="7" t="n">
        <v>2</v>
      </c>
      <c r="AJ1540" s="7" t="n">
        <v>3</v>
      </c>
      <c r="AK1540" s="7" t="n">
        <v>4</v>
      </c>
      <c r="AL1540" s="7" t="n">
        <v>7</v>
      </c>
      <c r="AM1540" s="7" t="n">
        <v>10</v>
      </c>
      <c r="AN1540" s="7" t="n">
        <v>1</v>
      </c>
      <c r="AO1540" s="7" t="n">
        <v>1</v>
      </c>
      <c r="AP1540" s="7" t="n">
        <v>0</v>
      </c>
      <c r="AQ1540" s="7" t="n">
        <v>0</v>
      </c>
      <c r="AR1540" s="6" t="s">
        <v>63</v>
      </c>
      <c r="AS1540" s="6" t="s">
        <v>57</v>
      </c>
      <c r="AT1540" s="9" t="str">
        <f aca="false">HYPERLINK("http://catalog.hathitrust.org/Record/001385797","HathiTrust Record")</f>
        <v>HathiTrust Record</v>
      </c>
      <c r="AU1540" s="9" t="str">
        <f aca="false">HYPERLINK("https://creighton-primo.hosted.exlibrisgroup.com/primo-explore/search?tab=default_tab&amp;search_scope=EVERYTHING&amp;vid=01CRU&amp;lang=en_US&amp;offset=0&amp;query=any,contains,991002568189702656","Catalog Record")</f>
        <v>Catalog Record</v>
      </c>
      <c r="AV1540" s="9" t="str">
        <f aca="false">HYPERLINK("http://www.worldcat.org/oclc/373088","WorldCat Record")</f>
        <v>WorldCat Record</v>
      </c>
      <c r="AW1540" s="6" t="s">
        <v>12690</v>
      </c>
      <c r="AX1540" s="6" t="s">
        <v>12691</v>
      </c>
      <c r="AY1540" s="6" t="s">
        <v>12692</v>
      </c>
      <c r="AZ1540" s="6" t="s">
        <v>12692</v>
      </c>
      <c r="BA1540" s="6" t="s">
        <v>12693</v>
      </c>
      <c r="BB1540" s="28"/>
      <c r="BC1540" s="6" t="s">
        <v>12694</v>
      </c>
      <c r="BE1540" s="15" t="s">
        <v>2145</v>
      </c>
      <c r="BF1540" s="6" t="s">
        <v>12695</v>
      </c>
    </row>
    <row r="1541" customFormat="false" ht="59.5" hidden="false" customHeight="false" outlineLevel="0" collapsed="false">
      <c r="A1541" s="26" t="s">
        <v>63</v>
      </c>
      <c r="B1541" s="27" t="s">
        <v>2129</v>
      </c>
      <c r="C1541" s="27" t="s">
        <v>2130</v>
      </c>
      <c r="D1541" s="27" t="s">
        <v>12696</v>
      </c>
      <c r="E1541" s="27" t="s">
        <v>12697</v>
      </c>
      <c r="F1541" s="27" t="s">
        <v>12698</v>
      </c>
      <c r="G1541" s="28"/>
      <c r="H1541" s="6" t="s">
        <v>63</v>
      </c>
      <c r="I1541" s="6" t="s">
        <v>62</v>
      </c>
      <c r="J1541" s="6" t="s">
        <v>63</v>
      </c>
      <c r="K1541" s="6" t="s">
        <v>63</v>
      </c>
      <c r="L1541" s="6" t="s">
        <v>64</v>
      </c>
      <c r="M1541" s="27" t="s">
        <v>12699</v>
      </c>
      <c r="N1541" s="27" t="s">
        <v>12700</v>
      </c>
      <c r="O1541" s="6" t="s">
        <v>2893</v>
      </c>
      <c r="P1541" s="28"/>
      <c r="Q1541" s="6" t="s">
        <v>67</v>
      </c>
      <c r="R1541" s="6" t="s">
        <v>181</v>
      </c>
      <c r="S1541" s="28"/>
      <c r="T1541" s="6" t="s">
        <v>6138</v>
      </c>
      <c r="U1541" s="7" t="n">
        <v>9</v>
      </c>
      <c r="V1541" s="7" t="n">
        <v>9</v>
      </c>
      <c r="W1541" s="8" t="s">
        <v>12701</v>
      </c>
      <c r="X1541" s="8" t="s">
        <v>12701</v>
      </c>
      <c r="Y1541" s="8" t="s">
        <v>12702</v>
      </c>
      <c r="Z1541" s="8" t="s">
        <v>12702</v>
      </c>
      <c r="AA1541" s="7" t="n">
        <v>238</v>
      </c>
      <c r="AB1541" s="7" t="n">
        <v>212</v>
      </c>
      <c r="AC1541" s="7" t="n">
        <v>1183</v>
      </c>
      <c r="AD1541" s="7" t="n">
        <v>2</v>
      </c>
      <c r="AE1541" s="7" t="n">
        <v>10</v>
      </c>
      <c r="AF1541" s="7" t="n">
        <v>4</v>
      </c>
      <c r="AG1541" s="7" t="n">
        <v>50</v>
      </c>
      <c r="AH1541" s="7" t="n">
        <v>2</v>
      </c>
      <c r="AI1541" s="7" t="n">
        <v>24</v>
      </c>
      <c r="AJ1541" s="7" t="n">
        <v>0</v>
      </c>
      <c r="AK1541" s="7" t="n">
        <v>7</v>
      </c>
      <c r="AL1541" s="7" t="n">
        <v>3</v>
      </c>
      <c r="AM1541" s="7" t="n">
        <v>23</v>
      </c>
      <c r="AN1541" s="7" t="n">
        <v>0</v>
      </c>
      <c r="AO1541" s="7" t="n">
        <v>7</v>
      </c>
      <c r="AP1541" s="7" t="n">
        <v>0</v>
      </c>
      <c r="AQ1541" s="7" t="n">
        <v>0</v>
      </c>
      <c r="AR1541" s="6" t="s">
        <v>63</v>
      </c>
      <c r="AS1541" s="6" t="s">
        <v>57</v>
      </c>
      <c r="AT1541" s="9" t="str">
        <f aca="false">HYPERLINK("http://catalog.hathitrust.org/Record/000682679","HathiTrust Record")</f>
        <v>HathiTrust Record</v>
      </c>
      <c r="AU1541" s="9" t="str">
        <f aca="false">HYPERLINK("https://creighton-primo.hosted.exlibrisgroup.com/primo-explore/search?tab=default_tab&amp;search_scope=EVERYTHING&amp;vid=01CRU&amp;lang=en_US&amp;offset=0&amp;query=any,contains,991003886769702656","Catalog Record")</f>
        <v>Catalog Record</v>
      </c>
      <c r="AV1541" s="9" t="str">
        <f aca="false">HYPERLINK("http://www.worldcat.org/oclc/1739395","WorldCat Record")</f>
        <v>WorldCat Record</v>
      </c>
      <c r="AW1541" s="6" t="s">
        <v>12703</v>
      </c>
      <c r="AX1541" s="6" t="s">
        <v>12704</v>
      </c>
      <c r="AY1541" s="6" t="s">
        <v>12705</v>
      </c>
      <c r="AZ1541" s="6" t="s">
        <v>12705</v>
      </c>
      <c r="BA1541" s="6" t="s">
        <v>12706</v>
      </c>
      <c r="BB1541" s="6" t="s">
        <v>12707</v>
      </c>
      <c r="BC1541" s="6" t="s">
        <v>12708</v>
      </c>
      <c r="BE1541" s="15" t="s">
        <v>2145</v>
      </c>
      <c r="BF1541" s="6" t="s">
        <v>12709</v>
      </c>
    </row>
    <row r="1542" customFormat="false" ht="94" hidden="false" customHeight="false" outlineLevel="0" collapsed="false">
      <c r="A1542" s="26" t="s">
        <v>63</v>
      </c>
      <c r="B1542" s="27" t="s">
        <v>2129</v>
      </c>
      <c r="C1542" s="27" t="s">
        <v>2130</v>
      </c>
      <c r="D1542" s="27" t="s">
        <v>12710</v>
      </c>
      <c r="E1542" s="27" t="s">
        <v>12711</v>
      </c>
      <c r="F1542" s="27" t="s">
        <v>12712</v>
      </c>
      <c r="G1542" s="28"/>
      <c r="H1542" s="6" t="s">
        <v>63</v>
      </c>
      <c r="I1542" s="6" t="s">
        <v>62</v>
      </c>
      <c r="J1542" s="6" t="s">
        <v>63</v>
      </c>
      <c r="K1542" s="6" t="s">
        <v>63</v>
      </c>
      <c r="L1542" s="6" t="s">
        <v>64</v>
      </c>
      <c r="M1542" s="27" t="s">
        <v>12713</v>
      </c>
      <c r="N1542" s="27" t="s">
        <v>12714</v>
      </c>
      <c r="O1542" s="6" t="s">
        <v>233</v>
      </c>
      <c r="P1542" s="27" t="s">
        <v>12715</v>
      </c>
      <c r="Q1542" s="6" t="s">
        <v>67</v>
      </c>
      <c r="R1542" s="6" t="s">
        <v>68</v>
      </c>
      <c r="S1542" s="28"/>
      <c r="T1542" s="6" t="s">
        <v>6138</v>
      </c>
      <c r="U1542" s="7" t="n">
        <v>10</v>
      </c>
      <c r="V1542" s="7" t="n">
        <v>10</v>
      </c>
      <c r="W1542" s="8" t="s">
        <v>12716</v>
      </c>
      <c r="X1542" s="8" t="s">
        <v>12716</v>
      </c>
      <c r="Y1542" s="8" t="s">
        <v>9694</v>
      </c>
      <c r="Z1542" s="8" t="s">
        <v>9694</v>
      </c>
      <c r="AA1542" s="7" t="n">
        <v>286</v>
      </c>
      <c r="AB1542" s="7" t="n">
        <v>247</v>
      </c>
      <c r="AC1542" s="7" t="n">
        <v>377</v>
      </c>
      <c r="AD1542" s="7" t="n">
        <v>1</v>
      </c>
      <c r="AE1542" s="7" t="n">
        <v>2</v>
      </c>
      <c r="AF1542" s="7" t="n">
        <v>16</v>
      </c>
      <c r="AG1542" s="7" t="n">
        <v>20</v>
      </c>
      <c r="AH1542" s="7" t="n">
        <v>8</v>
      </c>
      <c r="AI1542" s="7" t="n">
        <v>9</v>
      </c>
      <c r="AJ1542" s="7" t="n">
        <v>3</v>
      </c>
      <c r="AK1542" s="7" t="n">
        <v>4</v>
      </c>
      <c r="AL1542" s="7" t="n">
        <v>12</v>
      </c>
      <c r="AM1542" s="7" t="n">
        <v>13</v>
      </c>
      <c r="AN1542" s="7" t="n">
        <v>0</v>
      </c>
      <c r="AO1542" s="7" t="n">
        <v>1</v>
      </c>
      <c r="AP1542" s="7" t="n">
        <v>0</v>
      </c>
      <c r="AQ1542" s="7" t="n">
        <v>0</v>
      </c>
      <c r="AR1542" s="6" t="s">
        <v>57</v>
      </c>
      <c r="AS1542" s="6" t="s">
        <v>63</v>
      </c>
      <c r="AT1542" s="9" t="str">
        <f aca="false">HYPERLINK("http://catalog.hathitrust.org/Record/001380611","HathiTrust Record")</f>
        <v>HathiTrust Record</v>
      </c>
      <c r="AU1542" s="9" t="str">
        <f aca="false">HYPERLINK("https://creighton-primo.hosted.exlibrisgroup.com/primo-explore/search?tab=default_tab&amp;search_scope=EVERYTHING&amp;vid=01CRU&amp;lang=en_US&amp;offset=0&amp;query=any,contains,991002812989702656","Catalog Record")</f>
        <v>Catalog Record</v>
      </c>
      <c r="AV1542" s="9" t="str">
        <f aca="false">HYPERLINK("http://www.worldcat.org/oclc/456753","WorldCat Record")</f>
        <v>WorldCat Record</v>
      </c>
      <c r="AW1542" s="6" t="s">
        <v>12717</v>
      </c>
      <c r="AX1542" s="6" t="s">
        <v>12718</v>
      </c>
      <c r="AY1542" s="6" t="s">
        <v>12719</v>
      </c>
      <c r="AZ1542" s="6" t="s">
        <v>12719</v>
      </c>
      <c r="BA1542" s="6" t="s">
        <v>12720</v>
      </c>
      <c r="BB1542" s="28"/>
      <c r="BC1542" s="6" t="s">
        <v>12721</v>
      </c>
      <c r="BE1542" s="15" t="s">
        <v>2145</v>
      </c>
      <c r="BF1542" s="6" t="s">
        <v>12722</v>
      </c>
    </row>
    <row r="1543" customFormat="false" ht="82.5" hidden="false" customHeight="false" outlineLevel="0" collapsed="false">
      <c r="A1543" s="26" t="s">
        <v>63</v>
      </c>
      <c r="B1543" s="27" t="s">
        <v>2129</v>
      </c>
      <c r="C1543" s="27" t="s">
        <v>2130</v>
      </c>
      <c r="D1543" s="27" t="s">
        <v>12723</v>
      </c>
      <c r="E1543" s="27" t="s">
        <v>12724</v>
      </c>
      <c r="F1543" s="27" t="s">
        <v>12725</v>
      </c>
      <c r="G1543" s="28"/>
      <c r="H1543" s="6" t="s">
        <v>63</v>
      </c>
      <c r="I1543" s="6" t="s">
        <v>62</v>
      </c>
      <c r="J1543" s="6" t="s">
        <v>63</v>
      </c>
      <c r="K1543" s="6" t="s">
        <v>63</v>
      </c>
      <c r="L1543" s="6" t="s">
        <v>64</v>
      </c>
      <c r="M1543" s="27" t="s">
        <v>12726</v>
      </c>
      <c r="N1543" s="27" t="s">
        <v>8750</v>
      </c>
      <c r="O1543" s="6" t="s">
        <v>264</v>
      </c>
      <c r="P1543" s="28"/>
      <c r="Q1543" s="6" t="s">
        <v>67</v>
      </c>
      <c r="R1543" s="6" t="s">
        <v>68</v>
      </c>
      <c r="S1543" s="28"/>
      <c r="T1543" s="6" t="s">
        <v>6138</v>
      </c>
      <c r="U1543" s="7" t="n">
        <v>9</v>
      </c>
      <c r="V1543" s="7" t="n">
        <v>9</v>
      </c>
      <c r="W1543" s="8" t="s">
        <v>12727</v>
      </c>
      <c r="X1543" s="8" t="s">
        <v>12727</v>
      </c>
      <c r="Y1543" s="8" t="s">
        <v>9694</v>
      </c>
      <c r="Z1543" s="8" t="s">
        <v>9694</v>
      </c>
      <c r="AA1543" s="7" t="n">
        <v>166</v>
      </c>
      <c r="AB1543" s="7" t="n">
        <v>147</v>
      </c>
      <c r="AC1543" s="7" t="n">
        <v>252</v>
      </c>
      <c r="AD1543" s="7" t="n">
        <v>2</v>
      </c>
      <c r="AE1543" s="7" t="n">
        <v>2</v>
      </c>
      <c r="AF1543" s="7" t="n">
        <v>7</v>
      </c>
      <c r="AG1543" s="7" t="n">
        <v>7</v>
      </c>
      <c r="AH1543" s="7" t="n">
        <v>1</v>
      </c>
      <c r="AI1543" s="7" t="n">
        <v>1</v>
      </c>
      <c r="AJ1543" s="7" t="n">
        <v>4</v>
      </c>
      <c r="AK1543" s="7" t="n">
        <v>4</v>
      </c>
      <c r="AL1543" s="7" t="n">
        <v>4</v>
      </c>
      <c r="AM1543" s="7" t="n">
        <v>4</v>
      </c>
      <c r="AN1543" s="7" t="n">
        <v>1</v>
      </c>
      <c r="AO1543" s="7" t="n">
        <v>1</v>
      </c>
      <c r="AP1543" s="7" t="n">
        <v>0</v>
      </c>
      <c r="AQ1543" s="7" t="n">
        <v>0</v>
      </c>
      <c r="AR1543" s="6" t="s">
        <v>63</v>
      </c>
      <c r="AS1543" s="6" t="s">
        <v>63</v>
      </c>
      <c r="AT1543" s="28"/>
      <c r="AU1543" s="9" t="str">
        <f aca="false">HYPERLINK("https://creighton-primo.hosted.exlibrisgroup.com/primo-explore/search?tab=default_tab&amp;search_scope=EVERYTHING&amp;vid=01CRU&amp;lang=en_US&amp;offset=0&amp;query=any,contains,991000609479702656","Catalog Record")</f>
        <v>Catalog Record</v>
      </c>
      <c r="AV1543" s="9" t="str">
        <f aca="false">HYPERLINK("http://www.worldcat.org/oclc/100179","WorldCat Record")</f>
        <v>WorldCat Record</v>
      </c>
      <c r="AW1543" s="6" t="s">
        <v>12728</v>
      </c>
      <c r="AX1543" s="6" t="s">
        <v>12729</v>
      </c>
      <c r="AY1543" s="6" t="s">
        <v>12730</v>
      </c>
      <c r="AZ1543" s="6" t="s">
        <v>12730</v>
      </c>
      <c r="BA1543" s="6" t="s">
        <v>12731</v>
      </c>
      <c r="BB1543" s="6" t="s">
        <v>12732</v>
      </c>
      <c r="BC1543" s="6" t="s">
        <v>12733</v>
      </c>
      <c r="BE1543" s="15" t="s">
        <v>2145</v>
      </c>
      <c r="BF1543" s="6" t="s">
        <v>12734</v>
      </c>
    </row>
    <row r="1544" customFormat="false" ht="197.5" hidden="false" customHeight="false" outlineLevel="0" collapsed="false">
      <c r="A1544" s="26" t="s">
        <v>63</v>
      </c>
      <c r="B1544" s="27" t="s">
        <v>2129</v>
      </c>
      <c r="C1544" s="27" t="s">
        <v>2130</v>
      </c>
      <c r="D1544" s="27" t="s">
        <v>12735</v>
      </c>
      <c r="E1544" s="27" t="s">
        <v>12736</v>
      </c>
      <c r="F1544" s="27" t="s">
        <v>12737</v>
      </c>
      <c r="G1544" s="28"/>
      <c r="H1544" s="6" t="s">
        <v>63</v>
      </c>
      <c r="I1544" s="6" t="s">
        <v>62</v>
      </c>
      <c r="J1544" s="6" t="s">
        <v>63</v>
      </c>
      <c r="K1544" s="6" t="s">
        <v>63</v>
      </c>
      <c r="L1544" s="6" t="s">
        <v>64</v>
      </c>
      <c r="M1544" s="27" t="s">
        <v>12738</v>
      </c>
      <c r="N1544" s="27" t="s">
        <v>12739</v>
      </c>
      <c r="O1544" s="6" t="s">
        <v>221</v>
      </c>
      <c r="P1544" s="28"/>
      <c r="Q1544" s="6" t="s">
        <v>67</v>
      </c>
      <c r="R1544" s="6" t="s">
        <v>401</v>
      </c>
      <c r="S1544" s="27" t="s">
        <v>12740</v>
      </c>
      <c r="T1544" s="6" t="s">
        <v>6138</v>
      </c>
      <c r="U1544" s="7" t="n">
        <v>1</v>
      </c>
      <c r="V1544" s="7" t="n">
        <v>1</v>
      </c>
      <c r="W1544" s="8" t="s">
        <v>12741</v>
      </c>
      <c r="X1544" s="8" t="s">
        <v>12741</v>
      </c>
      <c r="Y1544" s="8" t="s">
        <v>4227</v>
      </c>
      <c r="Z1544" s="8" t="s">
        <v>4227</v>
      </c>
      <c r="AA1544" s="7" t="n">
        <v>212</v>
      </c>
      <c r="AB1544" s="7" t="n">
        <v>167</v>
      </c>
      <c r="AC1544" s="7" t="n">
        <v>179</v>
      </c>
      <c r="AD1544" s="7" t="n">
        <v>1</v>
      </c>
      <c r="AE1544" s="7" t="n">
        <v>1</v>
      </c>
      <c r="AF1544" s="7" t="n">
        <v>6</v>
      </c>
      <c r="AG1544" s="7" t="n">
        <v>6</v>
      </c>
      <c r="AH1544" s="7" t="n">
        <v>2</v>
      </c>
      <c r="AI1544" s="7" t="n">
        <v>2</v>
      </c>
      <c r="AJ1544" s="7" t="n">
        <v>3</v>
      </c>
      <c r="AK1544" s="7" t="n">
        <v>3</v>
      </c>
      <c r="AL1544" s="7" t="n">
        <v>3</v>
      </c>
      <c r="AM1544" s="7" t="n">
        <v>3</v>
      </c>
      <c r="AN1544" s="7" t="n">
        <v>0</v>
      </c>
      <c r="AO1544" s="7" t="n">
        <v>0</v>
      </c>
      <c r="AP1544" s="7" t="n">
        <v>0</v>
      </c>
      <c r="AQ1544" s="7" t="n">
        <v>0</v>
      </c>
      <c r="AR1544" s="6" t="s">
        <v>63</v>
      </c>
      <c r="AS1544" s="6" t="s">
        <v>57</v>
      </c>
      <c r="AT1544" s="9" t="str">
        <f aca="false">HYPERLINK("http://catalog.hathitrust.org/Record/000322133","HathiTrust Record")</f>
        <v>HathiTrust Record</v>
      </c>
      <c r="AU1544" s="9" t="str">
        <f aca="false">HYPERLINK("https://creighton-primo.hosted.exlibrisgroup.com/primo-explore/search?tab=default_tab&amp;search_scope=EVERYTHING&amp;vid=01CRU&amp;lang=en_US&amp;offset=0&amp;query=any,contains,991000296649702656","Catalog Record")</f>
        <v>Catalog Record</v>
      </c>
      <c r="AV1544" s="9" t="str">
        <f aca="false">HYPERLINK("http://www.worldcat.org/oclc/10017525","WorldCat Record")</f>
        <v>WorldCat Record</v>
      </c>
      <c r="AW1544" s="6" t="s">
        <v>12742</v>
      </c>
      <c r="AX1544" s="6" t="s">
        <v>12743</v>
      </c>
      <c r="AY1544" s="6" t="s">
        <v>12744</v>
      </c>
      <c r="AZ1544" s="6" t="s">
        <v>12744</v>
      </c>
      <c r="BA1544" s="6" t="s">
        <v>12745</v>
      </c>
      <c r="BB1544" s="6" t="s">
        <v>12746</v>
      </c>
      <c r="BC1544" s="6" t="s">
        <v>12747</v>
      </c>
      <c r="BE1544" s="15" t="s">
        <v>2145</v>
      </c>
      <c r="BF1544" s="6" t="s">
        <v>12748</v>
      </c>
    </row>
    <row r="1545" customFormat="false" ht="163" hidden="false" customHeight="false" outlineLevel="0" collapsed="false">
      <c r="A1545" s="26" t="s">
        <v>63</v>
      </c>
      <c r="B1545" s="27" t="s">
        <v>2129</v>
      </c>
      <c r="C1545" s="27" t="s">
        <v>2130</v>
      </c>
      <c r="D1545" s="27" t="s">
        <v>12749</v>
      </c>
      <c r="E1545" s="27" t="s">
        <v>12750</v>
      </c>
      <c r="F1545" s="27" t="s">
        <v>12751</v>
      </c>
      <c r="G1545" s="28"/>
      <c r="H1545" s="6" t="s">
        <v>63</v>
      </c>
      <c r="I1545" s="6" t="s">
        <v>62</v>
      </c>
      <c r="J1545" s="6" t="s">
        <v>63</v>
      </c>
      <c r="K1545" s="6" t="s">
        <v>63</v>
      </c>
      <c r="L1545" s="6" t="s">
        <v>64</v>
      </c>
      <c r="M1545" s="27" t="s">
        <v>12752</v>
      </c>
      <c r="N1545" s="27" t="s">
        <v>12753</v>
      </c>
      <c r="O1545" s="6" t="s">
        <v>108</v>
      </c>
      <c r="P1545" s="28"/>
      <c r="Q1545" s="6" t="s">
        <v>67</v>
      </c>
      <c r="R1545" s="6" t="s">
        <v>318</v>
      </c>
      <c r="S1545" s="28"/>
      <c r="T1545" s="6" t="s">
        <v>6138</v>
      </c>
      <c r="U1545" s="7" t="n">
        <v>3</v>
      </c>
      <c r="V1545" s="7" t="n">
        <v>3</v>
      </c>
      <c r="W1545" s="8" t="s">
        <v>5041</v>
      </c>
      <c r="X1545" s="8" t="s">
        <v>5041</v>
      </c>
      <c r="Y1545" s="8" t="s">
        <v>9498</v>
      </c>
      <c r="Z1545" s="8" t="s">
        <v>9498</v>
      </c>
      <c r="AA1545" s="7" t="n">
        <v>489</v>
      </c>
      <c r="AB1545" s="7" t="n">
        <v>394</v>
      </c>
      <c r="AC1545" s="7" t="n">
        <v>405</v>
      </c>
      <c r="AD1545" s="7" t="n">
        <v>4</v>
      </c>
      <c r="AE1545" s="7" t="n">
        <v>4</v>
      </c>
      <c r="AF1545" s="7" t="n">
        <v>25</v>
      </c>
      <c r="AG1545" s="7" t="n">
        <v>26</v>
      </c>
      <c r="AH1545" s="7" t="n">
        <v>10</v>
      </c>
      <c r="AI1545" s="7" t="n">
        <v>10</v>
      </c>
      <c r="AJ1545" s="7" t="n">
        <v>6</v>
      </c>
      <c r="AK1545" s="7" t="n">
        <v>7</v>
      </c>
      <c r="AL1545" s="7" t="n">
        <v>15</v>
      </c>
      <c r="AM1545" s="7" t="n">
        <v>16</v>
      </c>
      <c r="AN1545" s="7" t="n">
        <v>2</v>
      </c>
      <c r="AO1545" s="7" t="n">
        <v>2</v>
      </c>
      <c r="AP1545" s="7" t="n">
        <v>0</v>
      </c>
      <c r="AQ1545" s="7" t="n">
        <v>0</v>
      </c>
      <c r="AR1545" s="6" t="s">
        <v>63</v>
      </c>
      <c r="AS1545" s="6" t="s">
        <v>57</v>
      </c>
      <c r="AT1545" s="9" t="str">
        <f aca="false">HYPERLINK("http://catalog.hathitrust.org/Record/000091427","HathiTrust Record")</f>
        <v>HathiTrust Record</v>
      </c>
      <c r="AU1545" s="9" t="str">
        <f aca="false">HYPERLINK("https://creighton-primo.hosted.exlibrisgroup.com/primo-explore/search?tab=default_tab&amp;search_scope=EVERYTHING&amp;vid=01CRU&amp;lang=en_US&amp;offset=0&amp;query=any,contains,991004473809702656","Catalog Record")</f>
        <v>Catalog Record</v>
      </c>
      <c r="AV1545" s="9" t="str">
        <f aca="false">HYPERLINK("http://www.worldcat.org/oclc/3608425","WorldCat Record")</f>
        <v>WorldCat Record</v>
      </c>
      <c r="AW1545" s="6" t="s">
        <v>12754</v>
      </c>
      <c r="AX1545" s="6" t="s">
        <v>12755</v>
      </c>
      <c r="AY1545" s="6" t="s">
        <v>12756</v>
      </c>
      <c r="AZ1545" s="6" t="s">
        <v>12756</v>
      </c>
      <c r="BA1545" s="6" t="s">
        <v>12757</v>
      </c>
      <c r="BB1545" s="6" t="s">
        <v>12758</v>
      </c>
      <c r="BC1545" s="6" t="s">
        <v>12759</v>
      </c>
      <c r="BE1545" s="15" t="s">
        <v>2145</v>
      </c>
      <c r="BF1545" s="6" t="s">
        <v>12760</v>
      </c>
    </row>
    <row r="1546" customFormat="false" ht="128.5" hidden="false" customHeight="false" outlineLevel="0" collapsed="false">
      <c r="A1546" s="26" t="s">
        <v>63</v>
      </c>
      <c r="B1546" s="27" t="s">
        <v>2129</v>
      </c>
      <c r="C1546" s="27" t="s">
        <v>2130</v>
      </c>
      <c r="D1546" s="27" t="s">
        <v>12761</v>
      </c>
      <c r="E1546" s="27" t="s">
        <v>12762</v>
      </c>
      <c r="F1546" s="27" t="s">
        <v>12763</v>
      </c>
      <c r="G1546" s="28"/>
      <c r="H1546" s="6" t="s">
        <v>63</v>
      </c>
      <c r="I1546" s="6" t="s">
        <v>62</v>
      </c>
      <c r="J1546" s="6" t="s">
        <v>63</v>
      </c>
      <c r="K1546" s="6" t="s">
        <v>63</v>
      </c>
      <c r="L1546" s="6" t="s">
        <v>64</v>
      </c>
      <c r="M1546" s="27" t="s">
        <v>12764</v>
      </c>
      <c r="N1546" s="27" t="s">
        <v>553</v>
      </c>
      <c r="O1546" s="6" t="s">
        <v>2262</v>
      </c>
      <c r="P1546" s="28"/>
      <c r="Q1546" s="6" t="s">
        <v>67</v>
      </c>
      <c r="R1546" s="6" t="s">
        <v>384</v>
      </c>
      <c r="S1546" s="27" t="s">
        <v>3850</v>
      </c>
      <c r="T1546" s="6" t="s">
        <v>6138</v>
      </c>
      <c r="U1546" s="7" t="n">
        <v>2</v>
      </c>
      <c r="V1546" s="7" t="n">
        <v>2</v>
      </c>
      <c r="W1546" s="8" t="s">
        <v>12676</v>
      </c>
      <c r="X1546" s="8" t="s">
        <v>12676</v>
      </c>
      <c r="Y1546" s="8" t="s">
        <v>4227</v>
      </c>
      <c r="Z1546" s="8" t="s">
        <v>4227</v>
      </c>
      <c r="AA1546" s="7" t="n">
        <v>453</v>
      </c>
      <c r="AB1546" s="7" t="n">
        <v>340</v>
      </c>
      <c r="AC1546" s="7" t="n">
        <v>346</v>
      </c>
      <c r="AD1546" s="7" t="n">
        <v>2</v>
      </c>
      <c r="AE1546" s="7" t="n">
        <v>2</v>
      </c>
      <c r="AF1546" s="7" t="n">
        <v>22</v>
      </c>
      <c r="AG1546" s="7" t="n">
        <v>22</v>
      </c>
      <c r="AH1546" s="7" t="n">
        <v>8</v>
      </c>
      <c r="AI1546" s="7" t="n">
        <v>8</v>
      </c>
      <c r="AJ1546" s="7" t="n">
        <v>5</v>
      </c>
      <c r="AK1546" s="7" t="n">
        <v>5</v>
      </c>
      <c r="AL1546" s="7" t="n">
        <v>15</v>
      </c>
      <c r="AM1546" s="7" t="n">
        <v>15</v>
      </c>
      <c r="AN1546" s="7" t="n">
        <v>1</v>
      </c>
      <c r="AO1546" s="7" t="n">
        <v>1</v>
      </c>
      <c r="AP1546" s="7" t="n">
        <v>0</v>
      </c>
      <c r="AQ1546" s="7" t="n">
        <v>0</v>
      </c>
      <c r="AR1546" s="6" t="s">
        <v>63</v>
      </c>
      <c r="AS1546" s="6" t="s">
        <v>63</v>
      </c>
      <c r="AT1546" s="28"/>
      <c r="AU1546" s="9" t="str">
        <f aca="false">HYPERLINK("https://creighton-primo.hosted.exlibrisgroup.com/primo-explore/search?tab=default_tab&amp;search_scope=EVERYTHING&amp;vid=01CRU&amp;lang=en_US&amp;offset=0&amp;query=any,contains,991000874179702656","Catalog Record")</f>
        <v>Catalog Record</v>
      </c>
      <c r="AV1546" s="9" t="str">
        <f aca="false">HYPERLINK("http://www.worldcat.org/oclc/13795435","WorldCat Record")</f>
        <v>WorldCat Record</v>
      </c>
      <c r="AW1546" s="6" t="s">
        <v>12765</v>
      </c>
      <c r="AX1546" s="6" t="s">
        <v>12766</v>
      </c>
      <c r="AY1546" s="6" t="s">
        <v>12767</v>
      </c>
      <c r="AZ1546" s="6" t="s">
        <v>12767</v>
      </c>
      <c r="BA1546" s="6" t="s">
        <v>12768</v>
      </c>
      <c r="BB1546" s="6" t="s">
        <v>12769</v>
      </c>
      <c r="BC1546" s="6" t="s">
        <v>12770</v>
      </c>
      <c r="BE1546" s="15" t="s">
        <v>2145</v>
      </c>
      <c r="BF1546" s="6" t="s">
        <v>12771</v>
      </c>
    </row>
    <row r="1547" customFormat="false" ht="71" hidden="false" customHeight="false" outlineLevel="0" collapsed="false">
      <c r="A1547" s="26" t="s">
        <v>63</v>
      </c>
      <c r="B1547" s="27" t="s">
        <v>2129</v>
      </c>
      <c r="C1547" s="27" t="s">
        <v>2130</v>
      </c>
      <c r="D1547" s="27" t="s">
        <v>12772</v>
      </c>
      <c r="E1547" s="27" t="s">
        <v>12773</v>
      </c>
      <c r="F1547" s="27" t="s">
        <v>12774</v>
      </c>
      <c r="G1547" s="28"/>
      <c r="H1547" s="6" t="s">
        <v>63</v>
      </c>
      <c r="I1547" s="6" t="s">
        <v>62</v>
      </c>
      <c r="J1547" s="6" t="s">
        <v>63</v>
      </c>
      <c r="K1547" s="6" t="s">
        <v>63</v>
      </c>
      <c r="L1547" s="6" t="s">
        <v>64</v>
      </c>
      <c r="M1547" s="27" t="s">
        <v>12775</v>
      </c>
      <c r="N1547" s="27" t="s">
        <v>12776</v>
      </c>
      <c r="O1547" s="6" t="s">
        <v>4833</v>
      </c>
      <c r="P1547" s="28"/>
      <c r="Q1547" s="6" t="s">
        <v>67</v>
      </c>
      <c r="R1547" s="6" t="s">
        <v>123</v>
      </c>
      <c r="S1547" s="27" t="s">
        <v>10740</v>
      </c>
      <c r="T1547" s="6" t="s">
        <v>6138</v>
      </c>
      <c r="U1547" s="7" t="n">
        <v>3</v>
      </c>
      <c r="V1547" s="7" t="n">
        <v>3</v>
      </c>
      <c r="W1547" s="8" t="s">
        <v>3742</v>
      </c>
      <c r="X1547" s="8" t="s">
        <v>3742</v>
      </c>
      <c r="Y1547" s="8" t="s">
        <v>4227</v>
      </c>
      <c r="Z1547" s="8" t="s">
        <v>4227</v>
      </c>
      <c r="AA1547" s="7" t="n">
        <v>340</v>
      </c>
      <c r="AB1547" s="7" t="n">
        <v>249</v>
      </c>
      <c r="AC1547" s="7" t="n">
        <v>464</v>
      </c>
      <c r="AD1547" s="7" t="n">
        <v>4</v>
      </c>
      <c r="AE1547" s="7" t="n">
        <v>7</v>
      </c>
      <c r="AF1547" s="7" t="n">
        <v>13</v>
      </c>
      <c r="AG1547" s="7" t="n">
        <v>26</v>
      </c>
      <c r="AH1547" s="7" t="n">
        <v>1</v>
      </c>
      <c r="AI1547" s="7" t="n">
        <v>7</v>
      </c>
      <c r="AJ1547" s="7" t="n">
        <v>4</v>
      </c>
      <c r="AK1547" s="7" t="n">
        <v>5</v>
      </c>
      <c r="AL1547" s="7" t="n">
        <v>7</v>
      </c>
      <c r="AM1547" s="7" t="n">
        <v>14</v>
      </c>
      <c r="AN1547" s="7" t="n">
        <v>3</v>
      </c>
      <c r="AO1547" s="7" t="n">
        <v>5</v>
      </c>
      <c r="AP1547" s="7" t="n">
        <v>0</v>
      </c>
      <c r="AQ1547" s="7" t="n">
        <v>0</v>
      </c>
      <c r="AR1547" s="6" t="s">
        <v>63</v>
      </c>
      <c r="AS1547" s="6" t="s">
        <v>57</v>
      </c>
      <c r="AT1547" s="9" t="str">
        <f aca="false">HYPERLINK("http://catalog.hathitrust.org/Record/001917481","HathiTrust Record")</f>
        <v>HathiTrust Record</v>
      </c>
      <c r="AU1547" s="9" t="str">
        <f aca="false">HYPERLINK("https://creighton-primo.hosted.exlibrisgroup.com/primo-explore/search?tab=default_tab&amp;search_scope=EVERYTHING&amp;vid=01CRU&amp;lang=en_US&amp;offset=0&amp;query=any,contains,991002572449702656","Catalog Record")</f>
        <v>Catalog Record</v>
      </c>
      <c r="AV1547" s="9" t="str">
        <f aca="false">HYPERLINK("http://www.worldcat.org/oclc/374064","WorldCat Record")</f>
        <v>WorldCat Record</v>
      </c>
      <c r="AW1547" s="6" t="s">
        <v>12777</v>
      </c>
      <c r="AX1547" s="6" t="s">
        <v>12778</v>
      </c>
      <c r="AY1547" s="6" t="s">
        <v>12779</v>
      </c>
      <c r="AZ1547" s="6" t="s">
        <v>12779</v>
      </c>
      <c r="BA1547" s="6" t="s">
        <v>12780</v>
      </c>
      <c r="BB1547" s="28"/>
      <c r="BC1547" s="6" t="s">
        <v>12781</v>
      </c>
      <c r="BE1547" s="15" t="s">
        <v>2145</v>
      </c>
      <c r="BF1547" s="6" t="s">
        <v>12782</v>
      </c>
    </row>
    <row r="1548" customFormat="false" ht="82.5" hidden="false" customHeight="false" outlineLevel="0" collapsed="false">
      <c r="A1548" s="26" t="s">
        <v>63</v>
      </c>
      <c r="B1548" s="27" t="s">
        <v>2129</v>
      </c>
      <c r="C1548" s="27" t="s">
        <v>2130</v>
      </c>
      <c r="D1548" s="27" t="s">
        <v>12783</v>
      </c>
      <c r="E1548" s="27" t="s">
        <v>12784</v>
      </c>
      <c r="F1548" s="27" t="s">
        <v>12785</v>
      </c>
      <c r="G1548" s="28"/>
      <c r="H1548" s="6" t="s">
        <v>63</v>
      </c>
      <c r="I1548" s="6" t="s">
        <v>62</v>
      </c>
      <c r="J1548" s="6" t="s">
        <v>63</v>
      </c>
      <c r="K1548" s="6" t="s">
        <v>63</v>
      </c>
      <c r="L1548" s="6" t="s">
        <v>64</v>
      </c>
      <c r="M1548" s="27" t="s">
        <v>12786</v>
      </c>
      <c r="N1548" s="27" t="s">
        <v>12787</v>
      </c>
      <c r="O1548" s="6" t="s">
        <v>233</v>
      </c>
      <c r="P1548" s="28"/>
      <c r="Q1548" s="6" t="s">
        <v>67</v>
      </c>
      <c r="R1548" s="6" t="s">
        <v>68</v>
      </c>
      <c r="S1548" s="28"/>
      <c r="T1548" s="6" t="s">
        <v>6138</v>
      </c>
      <c r="U1548" s="7" t="n">
        <v>7</v>
      </c>
      <c r="V1548" s="7" t="n">
        <v>7</v>
      </c>
      <c r="W1548" s="8" t="s">
        <v>12788</v>
      </c>
      <c r="X1548" s="8" t="s">
        <v>12788</v>
      </c>
      <c r="Y1548" s="8" t="s">
        <v>4227</v>
      </c>
      <c r="Z1548" s="8" t="s">
        <v>4227</v>
      </c>
      <c r="AA1548" s="7" t="n">
        <v>711</v>
      </c>
      <c r="AB1548" s="7" t="n">
        <v>580</v>
      </c>
      <c r="AC1548" s="7" t="n">
        <v>699</v>
      </c>
      <c r="AD1548" s="7" t="n">
        <v>3</v>
      </c>
      <c r="AE1548" s="7" t="n">
        <v>4</v>
      </c>
      <c r="AF1548" s="7" t="n">
        <v>20</v>
      </c>
      <c r="AG1548" s="7" t="n">
        <v>25</v>
      </c>
      <c r="AH1548" s="7" t="n">
        <v>10</v>
      </c>
      <c r="AI1548" s="7" t="n">
        <v>11</v>
      </c>
      <c r="AJ1548" s="7" t="n">
        <v>4</v>
      </c>
      <c r="AK1548" s="7" t="n">
        <v>7</v>
      </c>
      <c r="AL1548" s="7" t="n">
        <v>11</v>
      </c>
      <c r="AM1548" s="7" t="n">
        <v>12</v>
      </c>
      <c r="AN1548" s="7" t="n">
        <v>1</v>
      </c>
      <c r="AO1548" s="7" t="n">
        <v>2</v>
      </c>
      <c r="AP1548" s="7" t="n">
        <v>0</v>
      </c>
      <c r="AQ1548" s="7" t="n">
        <v>0</v>
      </c>
      <c r="AR1548" s="6" t="s">
        <v>63</v>
      </c>
      <c r="AS1548" s="6" t="s">
        <v>57</v>
      </c>
      <c r="AT1548" s="9" t="str">
        <f aca="false">HYPERLINK("http://catalog.hathitrust.org/Record/001385877","HathiTrust Record")</f>
        <v>HathiTrust Record</v>
      </c>
      <c r="AU1548" s="9" t="str">
        <f aca="false">HYPERLINK("https://creighton-primo.hosted.exlibrisgroup.com/primo-explore/search?tab=default_tab&amp;search_scope=EVERYTHING&amp;vid=01CRU&amp;lang=en_US&amp;offset=0&amp;query=any,contains,991002563359702656","Catalog Record")</f>
        <v>Catalog Record</v>
      </c>
      <c r="AV1548" s="9" t="str">
        <f aca="false">HYPERLINK("http://www.worldcat.org/oclc/372141","WorldCat Record")</f>
        <v>WorldCat Record</v>
      </c>
      <c r="AW1548" s="6" t="s">
        <v>12789</v>
      </c>
      <c r="AX1548" s="6" t="s">
        <v>12790</v>
      </c>
      <c r="AY1548" s="6" t="s">
        <v>12791</v>
      </c>
      <c r="AZ1548" s="6" t="s">
        <v>12791</v>
      </c>
      <c r="BA1548" s="6" t="s">
        <v>12792</v>
      </c>
      <c r="BB1548" s="28"/>
      <c r="BC1548" s="6" t="s">
        <v>12793</v>
      </c>
      <c r="BE1548" s="15" t="s">
        <v>2145</v>
      </c>
      <c r="BF1548" s="6" t="s">
        <v>12794</v>
      </c>
    </row>
    <row r="1549" customFormat="false" ht="128.5" hidden="false" customHeight="false" outlineLevel="0" collapsed="false">
      <c r="A1549" s="26" t="s">
        <v>63</v>
      </c>
      <c r="B1549" s="27" t="s">
        <v>2129</v>
      </c>
      <c r="C1549" s="27" t="s">
        <v>2130</v>
      </c>
      <c r="D1549" s="27" t="s">
        <v>12795</v>
      </c>
      <c r="E1549" s="27" t="s">
        <v>12796</v>
      </c>
      <c r="F1549" s="27" t="s">
        <v>12797</v>
      </c>
      <c r="G1549" s="28"/>
      <c r="H1549" s="6" t="s">
        <v>63</v>
      </c>
      <c r="I1549" s="6" t="s">
        <v>62</v>
      </c>
      <c r="J1549" s="6" t="s">
        <v>63</v>
      </c>
      <c r="K1549" s="6" t="s">
        <v>63</v>
      </c>
      <c r="L1549" s="6" t="s">
        <v>64</v>
      </c>
      <c r="M1549" s="27" t="s">
        <v>12798</v>
      </c>
      <c r="N1549" s="27" t="s">
        <v>12799</v>
      </c>
      <c r="O1549" s="6" t="s">
        <v>2343</v>
      </c>
      <c r="P1549" s="27" t="s">
        <v>327</v>
      </c>
      <c r="Q1549" s="6" t="s">
        <v>67</v>
      </c>
      <c r="R1549" s="6" t="s">
        <v>68</v>
      </c>
      <c r="S1549" s="28"/>
      <c r="T1549" s="6" t="s">
        <v>6138</v>
      </c>
      <c r="U1549" s="7" t="n">
        <v>3</v>
      </c>
      <c r="V1549" s="7" t="n">
        <v>3</v>
      </c>
      <c r="W1549" s="8" t="s">
        <v>3302</v>
      </c>
      <c r="X1549" s="8" t="s">
        <v>3302</v>
      </c>
      <c r="Y1549" s="8" t="s">
        <v>9498</v>
      </c>
      <c r="Z1549" s="8" t="s">
        <v>9498</v>
      </c>
      <c r="AA1549" s="7" t="n">
        <v>739</v>
      </c>
      <c r="AB1549" s="7" t="n">
        <v>674</v>
      </c>
      <c r="AC1549" s="7" t="n">
        <v>695</v>
      </c>
      <c r="AD1549" s="7" t="n">
        <v>4</v>
      </c>
      <c r="AE1549" s="7" t="n">
        <v>4</v>
      </c>
      <c r="AF1549" s="7" t="n">
        <v>29</v>
      </c>
      <c r="AG1549" s="7" t="n">
        <v>30</v>
      </c>
      <c r="AH1549" s="7" t="n">
        <v>10</v>
      </c>
      <c r="AI1549" s="7" t="n">
        <v>11</v>
      </c>
      <c r="AJ1549" s="7" t="n">
        <v>7</v>
      </c>
      <c r="AK1549" s="7" t="n">
        <v>7</v>
      </c>
      <c r="AL1549" s="7" t="n">
        <v>14</v>
      </c>
      <c r="AM1549" s="7" t="n">
        <v>15</v>
      </c>
      <c r="AN1549" s="7" t="n">
        <v>3</v>
      </c>
      <c r="AO1549" s="7" t="n">
        <v>3</v>
      </c>
      <c r="AP1549" s="7" t="n">
        <v>0</v>
      </c>
      <c r="AQ1549" s="7" t="n">
        <v>0</v>
      </c>
      <c r="AR1549" s="6" t="s">
        <v>63</v>
      </c>
      <c r="AS1549" s="6" t="s">
        <v>57</v>
      </c>
      <c r="AT1549" s="9" t="str">
        <f aca="false">HYPERLINK("http://catalog.hathitrust.org/Record/000223733","HathiTrust Record")</f>
        <v>HathiTrust Record</v>
      </c>
      <c r="AU1549" s="9" t="str">
        <f aca="false">HYPERLINK("https://creighton-primo.hosted.exlibrisgroup.com/primo-explore/search?tab=default_tab&amp;search_scope=EVERYTHING&amp;vid=01CRU&amp;lang=en_US&amp;offset=0&amp;query=any,contains,991005138189702656","Catalog Record")</f>
        <v>Catalog Record</v>
      </c>
      <c r="AV1549" s="9" t="str">
        <f aca="false">HYPERLINK("http://www.worldcat.org/oclc/7595893","WorldCat Record")</f>
        <v>WorldCat Record</v>
      </c>
      <c r="AW1549" s="6" t="s">
        <v>12800</v>
      </c>
      <c r="AX1549" s="6" t="s">
        <v>12801</v>
      </c>
      <c r="AY1549" s="6" t="s">
        <v>12802</v>
      </c>
      <c r="AZ1549" s="6" t="s">
        <v>12802</v>
      </c>
      <c r="BA1549" s="6" t="s">
        <v>12803</v>
      </c>
      <c r="BB1549" s="6" t="s">
        <v>12804</v>
      </c>
      <c r="BC1549" s="6" t="s">
        <v>12805</v>
      </c>
      <c r="BE1549" s="15" t="s">
        <v>2145</v>
      </c>
      <c r="BF1549" s="6" t="s">
        <v>12806</v>
      </c>
    </row>
    <row r="1550" customFormat="false" ht="59.5" hidden="false" customHeight="false" outlineLevel="0" collapsed="false">
      <c r="A1550" s="26" t="s">
        <v>63</v>
      </c>
      <c r="B1550" s="27" t="s">
        <v>2129</v>
      </c>
      <c r="C1550" s="27" t="s">
        <v>2130</v>
      </c>
      <c r="D1550" s="27" t="s">
        <v>12807</v>
      </c>
      <c r="E1550" s="27" t="s">
        <v>12808</v>
      </c>
      <c r="F1550" s="27" t="s">
        <v>12809</v>
      </c>
      <c r="G1550" s="28"/>
      <c r="H1550" s="6" t="s">
        <v>63</v>
      </c>
      <c r="I1550" s="6" t="s">
        <v>62</v>
      </c>
      <c r="J1550" s="6" t="s">
        <v>63</v>
      </c>
      <c r="K1550" s="6" t="s">
        <v>63</v>
      </c>
      <c r="L1550" s="6" t="s">
        <v>64</v>
      </c>
      <c r="M1550" s="27" t="s">
        <v>12810</v>
      </c>
      <c r="N1550" s="27" t="s">
        <v>12811</v>
      </c>
      <c r="O1550" s="6" t="s">
        <v>2811</v>
      </c>
      <c r="P1550" s="28"/>
      <c r="Q1550" s="6" t="s">
        <v>67</v>
      </c>
      <c r="R1550" s="6" t="s">
        <v>68</v>
      </c>
      <c r="S1550" s="28"/>
      <c r="T1550" s="6" t="s">
        <v>6138</v>
      </c>
      <c r="U1550" s="7" t="n">
        <v>2</v>
      </c>
      <c r="V1550" s="7" t="n">
        <v>2</v>
      </c>
      <c r="W1550" s="8" t="s">
        <v>12812</v>
      </c>
      <c r="X1550" s="8" t="s">
        <v>12812</v>
      </c>
      <c r="Y1550" s="8" t="s">
        <v>4227</v>
      </c>
      <c r="Z1550" s="8" t="s">
        <v>4227</v>
      </c>
      <c r="AA1550" s="7" t="n">
        <v>895</v>
      </c>
      <c r="AB1550" s="7" t="n">
        <v>826</v>
      </c>
      <c r="AC1550" s="7" t="n">
        <v>837</v>
      </c>
      <c r="AD1550" s="7" t="n">
        <v>5</v>
      </c>
      <c r="AE1550" s="7" t="n">
        <v>5</v>
      </c>
      <c r="AF1550" s="7" t="n">
        <v>31</v>
      </c>
      <c r="AG1550" s="7" t="n">
        <v>31</v>
      </c>
      <c r="AH1550" s="7" t="n">
        <v>14</v>
      </c>
      <c r="AI1550" s="7" t="n">
        <v>14</v>
      </c>
      <c r="AJ1550" s="7" t="n">
        <v>7</v>
      </c>
      <c r="AK1550" s="7" t="n">
        <v>7</v>
      </c>
      <c r="AL1550" s="7" t="n">
        <v>15</v>
      </c>
      <c r="AM1550" s="7" t="n">
        <v>15</v>
      </c>
      <c r="AN1550" s="7" t="n">
        <v>3</v>
      </c>
      <c r="AO1550" s="7" t="n">
        <v>3</v>
      </c>
      <c r="AP1550" s="7" t="n">
        <v>0</v>
      </c>
      <c r="AQ1550" s="7" t="n">
        <v>0</v>
      </c>
      <c r="AR1550" s="6" t="s">
        <v>63</v>
      </c>
      <c r="AS1550" s="6" t="s">
        <v>57</v>
      </c>
      <c r="AT1550" s="9" t="str">
        <f aca="false">HYPERLINK("http://catalog.hathitrust.org/Record/001385881","HathiTrust Record")</f>
        <v>HathiTrust Record</v>
      </c>
      <c r="AU1550" s="9" t="str">
        <f aca="false">HYPERLINK("https://creighton-primo.hosted.exlibrisgroup.com/primo-explore/search?tab=default_tab&amp;search_scope=EVERYTHING&amp;vid=01CRU&amp;lang=en_US&amp;offset=0&amp;query=any,contains,991000873459702656","Catalog Record")</f>
        <v>Catalog Record</v>
      </c>
      <c r="AV1550" s="9" t="str">
        <f aca="false">HYPERLINK("http://www.worldcat.org/oclc/151633","WorldCat Record")</f>
        <v>WorldCat Record</v>
      </c>
      <c r="AW1550" s="6" t="s">
        <v>12813</v>
      </c>
      <c r="AX1550" s="6" t="s">
        <v>12814</v>
      </c>
      <c r="AY1550" s="6" t="s">
        <v>12815</v>
      </c>
      <c r="AZ1550" s="6" t="s">
        <v>12815</v>
      </c>
      <c r="BA1550" s="6" t="s">
        <v>12816</v>
      </c>
      <c r="BB1550" s="6" t="s">
        <v>12817</v>
      </c>
      <c r="BC1550" s="6" t="s">
        <v>12818</v>
      </c>
      <c r="BE1550" s="15" t="s">
        <v>2145</v>
      </c>
      <c r="BF1550" s="6" t="s">
        <v>12819</v>
      </c>
    </row>
    <row r="1551" customFormat="false" ht="82.5" hidden="false" customHeight="false" outlineLevel="0" collapsed="false">
      <c r="A1551" s="26" t="s">
        <v>63</v>
      </c>
      <c r="B1551" s="27" t="s">
        <v>2129</v>
      </c>
      <c r="C1551" s="27" t="s">
        <v>2130</v>
      </c>
      <c r="D1551" s="27" t="s">
        <v>12820</v>
      </c>
      <c r="E1551" s="27" t="s">
        <v>12821</v>
      </c>
      <c r="F1551" s="27" t="s">
        <v>12774</v>
      </c>
      <c r="G1551" s="28"/>
      <c r="H1551" s="6" t="s">
        <v>63</v>
      </c>
      <c r="I1551" s="6" t="s">
        <v>62</v>
      </c>
      <c r="J1551" s="6" t="s">
        <v>63</v>
      </c>
      <c r="K1551" s="6" t="s">
        <v>63</v>
      </c>
      <c r="L1551" s="6" t="s">
        <v>64</v>
      </c>
      <c r="M1551" s="27" t="s">
        <v>12822</v>
      </c>
      <c r="N1551" s="27" t="s">
        <v>12823</v>
      </c>
      <c r="O1551" s="6" t="s">
        <v>2426</v>
      </c>
      <c r="P1551" s="28"/>
      <c r="Q1551" s="6" t="s">
        <v>67</v>
      </c>
      <c r="R1551" s="6" t="s">
        <v>68</v>
      </c>
      <c r="S1551" s="27" t="s">
        <v>12824</v>
      </c>
      <c r="T1551" s="6" t="s">
        <v>6138</v>
      </c>
      <c r="U1551" s="7" t="n">
        <v>6</v>
      </c>
      <c r="V1551" s="7" t="n">
        <v>6</v>
      </c>
      <c r="W1551" s="8" t="s">
        <v>12825</v>
      </c>
      <c r="X1551" s="8" t="s">
        <v>12825</v>
      </c>
      <c r="Y1551" s="8" t="s">
        <v>4227</v>
      </c>
      <c r="Z1551" s="8" t="s">
        <v>4227</v>
      </c>
      <c r="AA1551" s="7" t="n">
        <v>946</v>
      </c>
      <c r="AB1551" s="7" t="n">
        <v>851</v>
      </c>
      <c r="AC1551" s="7" t="n">
        <v>938</v>
      </c>
      <c r="AD1551" s="7" t="n">
        <v>7</v>
      </c>
      <c r="AE1551" s="7" t="n">
        <v>7</v>
      </c>
      <c r="AF1551" s="7" t="n">
        <v>34</v>
      </c>
      <c r="AG1551" s="7" t="n">
        <v>36</v>
      </c>
      <c r="AH1551" s="7" t="n">
        <v>12</v>
      </c>
      <c r="AI1551" s="7" t="n">
        <v>13</v>
      </c>
      <c r="AJ1551" s="7" t="n">
        <v>7</v>
      </c>
      <c r="AK1551" s="7" t="n">
        <v>7</v>
      </c>
      <c r="AL1551" s="7" t="n">
        <v>17</v>
      </c>
      <c r="AM1551" s="7" t="n">
        <v>18</v>
      </c>
      <c r="AN1551" s="7" t="n">
        <v>6</v>
      </c>
      <c r="AO1551" s="7" t="n">
        <v>6</v>
      </c>
      <c r="AP1551" s="7" t="n">
        <v>0</v>
      </c>
      <c r="AQ1551" s="7" t="n">
        <v>0</v>
      </c>
      <c r="AR1551" s="6" t="s">
        <v>63</v>
      </c>
      <c r="AS1551" s="6" t="s">
        <v>63</v>
      </c>
      <c r="AT1551" s="28"/>
      <c r="AU1551" s="9" t="str">
        <f aca="false">HYPERLINK("https://creighton-primo.hosted.exlibrisgroup.com/primo-explore/search?tab=default_tab&amp;search_scope=EVERYTHING&amp;vid=01CRU&amp;lang=en_US&amp;offset=0&amp;query=any,contains,991003344539702656","Catalog Record")</f>
        <v>Catalog Record</v>
      </c>
      <c r="AV1551" s="9" t="str">
        <f aca="false">HYPERLINK("http://www.worldcat.org/oclc/876098","WorldCat Record")</f>
        <v>WorldCat Record</v>
      </c>
      <c r="AW1551" s="6" t="s">
        <v>12826</v>
      </c>
      <c r="AX1551" s="6" t="s">
        <v>12827</v>
      </c>
      <c r="AY1551" s="6" t="s">
        <v>12828</v>
      </c>
      <c r="AZ1551" s="6" t="s">
        <v>12828</v>
      </c>
      <c r="BA1551" s="6" t="s">
        <v>12829</v>
      </c>
      <c r="BB1551" s="6" t="s">
        <v>12830</v>
      </c>
      <c r="BC1551" s="6" t="s">
        <v>12831</v>
      </c>
      <c r="BE1551" s="15" t="s">
        <v>2145</v>
      </c>
      <c r="BF1551" s="6" t="s">
        <v>12832</v>
      </c>
    </row>
    <row r="1552" customFormat="false" ht="140" hidden="false" customHeight="false" outlineLevel="0" collapsed="false">
      <c r="A1552" s="26" t="s">
        <v>63</v>
      </c>
      <c r="B1552" s="27" t="s">
        <v>2129</v>
      </c>
      <c r="C1552" s="27" t="s">
        <v>2130</v>
      </c>
      <c r="D1552" s="27" t="s">
        <v>12833</v>
      </c>
      <c r="E1552" s="27" t="s">
        <v>12834</v>
      </c>
      <c r="F1552" s="27" t="s">
        <v>12835</v>
      </c>
      <c r="G1552" s="28"/>
      <c r="H1552" s="6" t="s">
        <v>63</v>
      </c>
      <c r="I1552" s="6" t="s">
        <v>62</v>
      </c>
      <c r="J1552" s="6" t="s">
        <v>63</v>
      </c>
      <c r="K1552" s="6" t="s">
        <v>63</v>
      </c>
      <c r="L1552" s="6" t="s">
        <v>64</v>
      </c>
      <c r="M1552" s="27" t="s">
        <v>12836</v>
      </c>
      <c r="N1552" s="27" t="s">
        <v>12837</v>
      </c>
      <c r="O1552" s="6" t="s">
        <v>2623</v>
      </c>
      <c r="P1552" s="28"/>
      <c r="Q1552" s="6" t="s">
        <v>67</v>
      </c>
      <c r="R1552" s="6" t="s">
        <v>1108</v>
      </c>
      <c r="S1552" s="28"/>
      <c r="T1552" s="6" t="s">
        <v>6138</v>
      </c>
      <c r="U1552" s="7" t="n">
        <v>4</v>
      </c>
      <c r="V1552" s="7" t="n">
        <v>4</v>
      </c>
      <c r="W1552" s="8" t="s">
        <v>12788</v>
      </c>
      <c r="X1552" s="8" t="s">
        <v>12788</v>
      </c>
      <c r="Y1552" s="8" t="s">
        <v>4227</v>
      </c>
      <c r="Z1552" s="8" t="s">
        <v>4227</v>
      </c>
      <c r="AA1552" s="7" t="n">
        <v>436</v>
      </c>
      <c r="AB1552" s="7" t="n">
        <v>372</v>
      </c>
      <c r="AC1552" s="7" t="n">
        <v>386</v>
      </c>
      <c r="AD1552" s="7" t="n">
        <v>3</v>
      </c>
      <c r="AE1552" s="7" t="n">
        <v>3</v>
      </c>
      <c r="AF1552" s="7" t="n">
        <v>20</v>
      </c>
      <c r="AG1552" s="7" t="n">
        <v>21</v>
      </c>
      <c r="AH1552" s="7" t="n">
        <v>6</v>
      </c>
      <c r="AI1552" s="7" t="n">
        <v>6</v>
      </c>
      <c r="AJ1552" s="7" t="n">
        <v>7</v>
      </c>
      <c r="AK1552" s="7" t="n">
        <v>8</v>
      </c>
      <c r="AL1552" s="7" t="n">
        <v>9</v>
      </c>
      <c r="AM1552" s="7" t="n">
        <v>10</v>
      </c>
      <c r="AN1552" s="7" t="n">
        <v>2</v>
      </c>
      <c r="AO1552" s="7" t="n">
        <v>2</v>
      </c>
      <c r="AP1552" s="7" t="n">
        <v>0</v>
      </c>
      <c r="AQ1552" s="7" t="n">
        <v>0</v>
      </c>
      <c r="AR1552" s="6" t="s">
        <v>63</v>
      </c>
      <c r="AS1552" s="6" t="s">
        <v>57</v>
      </c>
      <c r="AT1552" s="9" t="str">
        <f aca="false">HYPERLINK("http://catalog.hathitrust.org/Record/000139917","HathiTrust Record")</f>
        <v>HathiTrust Record</v>
      </c>
      <c r="AU1552" s="9" t="str">
        <f aca="false">HYPERLINK("https://creighton-primo.hosted.exlibrisgroup.com/primo-explore/search?tab=default_tab&amp;search_scope=EVERYTHING&amp;vid=01CRU&amp;lang=en_US&amp;offset=0&amp;query=any,contains,991004970039702656","Catalog Record")</f>
        <v>Catalog Record</v>
      </c>
      <c r="AV1552" s="9" t="str">
        <f aca="false">HYPERLINK("http://www.worldcat.org/oclc/6357005","WorldCat Record")</f>
        <v>WorldCat Record</v>
      </c>
      <c r="AW1552" s="6" t="s">
        <v>12838</v>
      </c>
      <c r="AX1552" s="6" t="s">
        <v>12839</v>
      </c>
      <c r="AY1552" s="6" t="s">
        <v>12840</v>
      </c>
      <c r="AZ1552" s="6" t="s">
        <v>12840</v>
      </c>
      <c r="BA1552" s="6" t="s">
        <v>12841</v>
      </c>
      <c r="BB1552" s="6" t="s">
        <v>12842</v>
      </c>
      <c r="BC1552" s="6" t="s">
        <v>12843</v>
      </c>
      <c r="BE1552" s="15" t="s">
        <v>2145</v>
      </c>
      <c r="BF1552" s="6" t="s">
        <v>12844</v>
      </c>
    </row>
    <row r="1553" customFormat="false" ht="174.5" hidden="false" customHeight="false" outlineLevel="0" collapsed="false">
      <c r="A1553" s="26" t="s">
        <v>63</v>
      </c>
      <c r="B1553" s="27" t="s">
        <v>2129</v>
      </c>
      <c r="C1553" s="27" t="s">
        <v>2130</v>
      </c>
      <c r="D1553" s="27" t="s">
        <v>12845</v>
      </c>
      <c r="E1553" s="27" t="s">
        <v>12846</v>
      </c>
      <c r="F1553" s="27" t="s">
        <v>12847</v>
      </c>
      <c r="G1553" s="28"/>
      <c r="H1553" s="6" t="s">
        <v>57</v>
      </c>
      <c r="I1553" s="6" t="s">
        <v>62</v>
      </c>
      <c r="J1553" s="6" t="s">
        <v>57</v>
      </c>
      <c r="K1553" s="6" t="s">
        <v>63</v>
      </c>
      <c r="L1553" s="6" t="s">
        <v>64</v>
      </c>
      <c r="M1553" s="27" t="s">
        <v>6743</v>
      </c>
      <c r="N1553" s="27" t="s">
        <v>12848</v>
      </c>
      <c r="O1553" s="6" t="s">
        <v>3068</v>
      </c>
      <c r="P1553" s="28"/>
      <c r="Q1553" s="6" t="s">
        <v>67</v>
      </c>
      <c r="R1553" s="6" t="s">
        <v>181</v>
      </c>
      <c r="S1553" s="28"/>
      <c r="T1553" s="6" t="s">
        <v>6138</v>
      </c>
      <c r="U1553" s="7" t="n">
        <v>0</v>
      </c>
      <c r="V1553" s="7" t="n">
        <v>3</v>
      </c>
      <c r="W1553" s="28"/>
      <c r="X1553" s="8" t="s">
        <v>12849</v>
      </c>
      <c r="Y1553" s="8" t="s">
        <v>4265</v>
      </c>
      <c r="Z1553" s="8" t="s">
        <v>4265</v>
      </c>
      <c r="AA1553" s="7" t="n">
        <v>1158</v>
      </c>
      <c r="AB1553" s="7" t="n">
        <v>1042</v>
      </c>
      <c r="AC1553" s="7" t="n">
        <v>1053</v>
      </c>
      <c r="AD1553" s="7" t="n">
        <v>10</v>
      </c>
      <c r="AE1553" s="7" t="n">
        <v>10</v>
      </c>
      <c r="AF1553" s="7" t="n">
        <v>52</v>
      </c>
      <c r="AG1553" s="7" t="n">
        <v>53</v>
      </c>
      <c r="AH1553" s="7" t="n">
        <v>20</v>
      </c>
      <c r="AI1553" s="7" t="n">
        <v>21</v>
      </c>
      <c r="AJ1553" s="7" t="n">
        <v>10</v>
      </c>
      <c r="AK1553" s="7" t="n">
        <v>10</v>
      </c>
      <c r="AL1553" s="7" t="n">
        <v>27</v>
      </c>
      <c r="AM1553" s="7" t="n">
        <v>27</v>
      </c>
      <c r="AN1553" s="7" t="n">
        <v>7</v>
      </c>
      <c r="AO1553" s="7" t="n">
        <v>7</v>
      </c>
      <c r="AP1553" s="7" t="n">
        <v>1</v>
      </c>
      <c r="AQ1553" s="7" t="n">
        <v>1</v>
      </c>
      <c r="AR1553" s="6" t="s">
        <v>63</v>
      </c>
      <c r="AS1553" s="6" t="s">
        <v>57</v>
      </c>
      <c r="AT1553" s="9" t="str">
        <f aca="false">HYPERLINK("http://catalog.hathitrust.org/Record/001385900","HathiTrust Record")</f>
        <v>HathiTrust Record</v>
      </c>
      <c r="AU1553" s="9" t="str">
        <f aca="false">HYPERLINK("https://creighton-primo.hosted.exlibrisgroup.com/primo-explore/search?tab=default_tab&amp;search_scope=EVERYTHING&amp;vid=01CRU&amp;lang=en_US&amp;offset=0&amp;query=any,contains,991002566849702656","Catalog Record")</f>
        <v>Catalog Record</v>
      </c>
      <c r="AV1553" s="9" t="str">
        <f aca="false">HYPERLINK("http://www.worldcat.org/oclc/372771","WorldCat Record")</f>
        <v>WorldCat Record</v>
      </c>
      <c r="AW1553" s="6" t="s">
        <v>12850</v>
      </c>
      <c r="AX1553" s="6" t="s">
        <v>12851</v>
      </c>
      <c r="AY1553" s="6" t="s">
        <v>12852</v>
      </c>
      <c r="AZ1553" s="6" t="s">
        <v>12852</v>
      </c>
      <c r="BA1553" s="6" t="s">
        <v>12853</v>
      </c>
      <c r="BB1553" s="28"/>
      <c r="BC1553" s="6" t="s">
        <v>12854</v>
      </c>
      <c r="BE1553" s="15" t="s">
        <v>2145</v>
      </c>
      <c r="BF1553" s="6" t="s">
        <v>12855</v>
      </c>
    </row>
    <row r="1554" customFormat="false" ht="174.5" hidden="false" customHeight="false" outlineLevel="0" collapsed="false">
      <c r="A1554" s="26" t="s">
        <v>63</v>
      </c>
      <c r="B1554" s="27" t="s">
        <v>2129</v>
      </c>
      <c r="C1554" s="27" t="s">
        <v>2130</v>
      </c>
      <c r="D1554" s="27" t="s">
        <v>12856</v>
      </c>
      <c r="E1554" s="27" t="s">
        <v>12857</v>
      </c>
      <c r="F1554" s="27" t="s">
        <v>12847</v>
      </c>
      <c r="G1554" s="28"/>
      <c r="H1554" s="6" t="s">
        <v>57</v>
      </c>
      <c r="I1554" s="6" t="s">
        <v>62</v>
      </c>
      <c r="J1554" s="6" t="s">
        <v>57</v>
      </c>
      <c r="K1554" s="6" t="s">
        <v>63</v>
      </c>
      <c r="L1554" s="6" t="s">
        <v>64</v>
      </c>
      <c r="M1554" s="27" t="s">
        <v>6743</v>
      </c>
      <c r="N1554" s="27" t="s">
        <v>12848</v>
      </c>
      <c r="O1554" s="6" t="s">
        <v>3068</v>
      </c>
      <c r="P1554" s="28"/>
      <c r="Q1554" s="6" t="s">
        <v>67</v>
      </c>
      <c r="R1554" s="6" t="s">
        <v>181</v>
      </c>
      <c r="S1554" s="28"/>
      <c r="T1554" s="6" t="s">
        <v>6138</v>
      </c>
      <c r="U1554" s="7" t="n">
        <v>0</v>
      </c>
      <c r="V1554" s="7" t="n">
        <v>3</v>
      </c>
      <c r="W1554" s="28"/>
      <c r="X1554" s="8" t="s">
        <v>12849</v>
      </c>
      <c r="Y1554" s="8" t="s">
        <v>4265</v>
      </c>
      <c r="Z1554" s="8" t="s">
        <v>4265</v>
      </c>
      <c r="AA1554" s="7" t="n">
        <v>1158</v>
      </c>
      <c r="AB1554" s="7" t="n">
        <v>1042</v>
      </c>
      <c r="AC1554" s="7" t="n">
        <v>1053</v>
      </c>
      <c r="AD1554" s="7" t="n">
        <v>10</v>
      </c>
      <c r="AE1554" s="7" t="n">
        <v>10</v>
      </c>
      <c r="AF1554" s="7" t="n">
        <v>52</v>
      </c>
      <c r="AG1554" s="7" t="n">
        <v>53</v>
      </c>
      <c r="AH1554" s="7" t="n">
        <v>20</v>
      </c>
      <c r="AI1554" s="7" t="n">
        <v>21</v>
      </c>
      <c r="AJ1554" s="7" t="n">
        <v>10</v>
      </c>
      <c r="AK1554" s="7" t="n">
        <v>10</v>
      </c>
      <c r="AL1554" s="7" t="n">
        <v>27</v>
      </c>
      <c r="AM1554" s="7" t="n">
        <v>27</v>
      </c>
      <c r="AN1554" s="7" t="n">
        <v>7</v>
      </c>
      <c r="AO1554" s="7" t="n">
        <v>7</v>
      </c>
      <c r="AP1554" s="7" t="n">
        <v>1</v>
      </c>
      <c r="AQ1554" s="7" t="n">
        <v>1</v>
      </c>
      <c r="AR1554" s="6" t="s">
        <v>63</v>
      </c>
      <c r="AS1554" s="6" t="s">
        <v>57</v>
      </c>
      <c r="AT1554" s="9" t="str">
        <f aca="false">HYPERLINK("http://catalog.hathitrust.org/Record/001385900","HathiTrust Record")</f>
        <v>HathiTrust Record</v>
      </c>
      <c r="AU1554" s="9" t="str">
        <f aca="false">HYPERLINK("https://creighton-primo.hosted.exlibrisgroup.com/primo-explore/search?tab=default_tab&amp;search_scope=EVERYTHING&amp;vid=01CRU&amp;lang=en_US&amp;offset=0&amp;query=any,contains,991002566849702656","Catalog Record")</f>
        <v>Catalog Record</v>
      </c>
      <c r="AV1554" s="9" t="str">
        <f aca="false">HYPERLINK("http://www.worldcat.org/oclc/372771","WorldCat Record")</f>
        <v>WorldCat Record</v>
      </c>
      <c r="AW1554" s="6" t="s">
        <v>12850</v>
      </c>
      <c r="AX1554" s="6" t="s">
        <v>12851</v>
      </c>
      <c r="AY1554" s="6" t="s">
        <v>12852</v>
      </c>
      <c r="AZ1554" s="6" t="s">
        <v>12852</v>
      </c>
      <c r="BA1554" s="6" t="s">
        <v>12853</v>
      </c>
      <c r="BB1554" s="28"/>
      <c r="BC1554" s="6" t="s">
        <v>12858</v>
      </c>
      <c r="BE1554" s="15" t="s">
        <v>2145</v>
      </c>
      <c r="BF1554" s="6" t="s">
        <v>12859</v>
      </c>
    </row>
    <row r="1555" customFormat="false" ht="174.5" hidden="false" customHeight="false" outlineLevel="0" collapsed="false">
      <c r="A1555" s="26" t="s">
        <v>63</v>
      </c>
      <c r="B1555" s="27" t="s">
        <v>2129</v>
      </c>
      <c r="C1555" s="27" t="s">
        <v>2130</v>
      </c>
      <c r="D1555" s="27" t="s">
        <v>12860</v>
      </c>
      <c r="E1555" s="27" t="s">
        <v>12861</v>
      </c>
      <c r="F1555" s="27" t="s">
        <v>12847</v>
      </c>
      <c r="G1555" s="28"/>
      <c r="H1555" s="6" t="s">
        <v>57</v>
      </c>
      <c r="I1555" s="6" t="s">
        <v>62</v>
      </c>
      <c r="J1555" s="6" t="s">
        <v>57</v>
      </c>
      <c r="K1555" s="6" t="s">
        <v>63</v>
      </c>
      <c r="L1555" s="6" t="s">
        <v>64</v>
      </c>
      <c r="M1555" s="27" t="s">
        <v>6743</v>
      </c>
      <c r="N1555" s="27" t="s">
        <v>12848</v>
      </c>
      <c r="O1555" s="6" t="s">
        <v>3068</v>
      </c>
      <c r="P1555" s="28"/>
      <c r="Q1555" s="6" t="s">
        <v>67</v>
      </c>
      <c r="R1555" s="6" t="s">
        <v>181</v>
      </c>
      <c r="S1555" s="28"/>
      <c r="T1555" s="6" t="s">
        <v>6138</v>
      </c>
      <c r="U1555" s="7" t="n">
        <v>3</v>
      </c>
      <c r="V1555" s="7" t="n">
        <v>3</v>
      </c>
      <c r="W1555" s="8" t="s">
        <v>12849</v>
      </c>
      <c r="X1555" s="8" t="s">
        <v>12849</v>
      </c>
      <c r="Y1555" s="8" t="s">
        <v>4265</v>
      </c>
      <c r="Z1555" s="8" t="s">
        <v>4265</v>
      </c>
      <c r="AA1555" s="7" t="n">
        <v>1158</v>
      </c>
      <c r="AB1555" s="7" t="n">
        <v>1042</v>
      </c>
      <c r="AC1555" s="7" t="n">
        <v>1053</v>
      </c>
      <c r="AD1555" s="7" t="n">
        <v>10</v>
      </c>
      <c r="AE1555" s="7" t="n">
        <v>10</v>
      </c>
      <c r="AF1555" s="7" t="n">
        <v>52</v>
      </c>
      <c r="AG1555" s="7" t="n">
        <v>53</v>
      </c>
      <c r="AH1555" s="7" t="n">
        <v>20</v>
      </c>
      <c r="AI1555" s="7" t="n">
        <v>21</v>
      </c>
      <c r="AJ1555" s="7" t="n">
        <v>10</v>
      </c>
      <c r="AK1555" s="7" t="n">
        <v>10</v>
      </c>
      <c r="AL1555" s="7" t="n">
        <v>27</v>
      </c>
      <c r="AM1555" s="7" t="n">
        <v>27</v>
      </c>
      <c r="AN1555" s="7" t="n">
        <v>7</v>
      </c>
      <c r="AO1555" s="7" t="n">
        <v>7</v>
      </c>
      <c r="AP1555" s="7" t="n">
        <v>1</v>
      </c>
      <c r="AQ1555" s="7" t="n">
        <v>1</v>
      </c>
      <c r="AR1555" s="6" t="s">
        <v>63</v>
      </c>
      <c r="AS1555" s="6" t="s">
        <v>57</v>
      </c>
      <c r="AT1555" s="9" t="str">
        <f aca="false">HYPERLINK("http://catalog.hathitrust.org/Record/001385900","HathiTrust Record")</f>
        <v>HathiTrust Record</v>
      </c>
      <c r="AU1555" s="9" t="str">
        <f aca="false">HYPERLINK("https://creighton-primo.hosted.exlibrisgroup.com/primo-explore/search?tab=default_tab&amp;search_scope=EVERYTHING&amp;vid=01CRU&amp;lang=en_US&amp;offset=0&amp;query=any,contains,991002566849702656","Catalog Record")</f>
        <v>Catalog Record</v>
      </c>
      <c r="AV1555" s="9" t="str">
        <f aca="false">HYPERLINK("http://www.worldcat.org/oclc/372771","WorldCat Record")</f>
        <v>WorldCat Record</v>
      </c>
      <c r="AW1555" s="6" t="s">
        <v>12850</v>
      </c>
      <c r="AX1555" s="6" t="s">
        <v>12851</v>
      </c>
      <c r="AY1555" s="6" t="s">
        <v>12852</v>
      </c>
      <c r="AZ1555" s="6" t="s">
        <v>12852</v>
      </c>
      <c r="BA1555" s="6" t="s">
        <v>12853</v>
      </c>
      <c r="BB1555" s="28"/>
      <c r="BC1555" s="6" t="s">
        <v>12862</v>
      </c>
      <c r="BE1555" s="15" t="s">
        <v>2145</v>
      </c>
      <c r="BF1555" s="6" t="s">
        <v>12863</v>
      </c>
    </row>
    <row r="1556" customFormat="false" ht="151.5" hidden="false" customHeight="false" outlineLevel="0" collapsed="false">
      <c r="A1556" s="26" t="s">
        <v>63</v>
      </c>
      <c r="B1556" s="27" t="s">
        <v>2129</v>
      </c>
      <c r="C1556" s="27" t="s">
        <v>2130</v>
      </c>
      <c r="D1556" s="27" t="s">
        <v>12864</v>
      </c>
      <c r="E1556" s="27" t="s">
        <v>12865</v>
      </c>
      <c r="F1556" s="27" t="s">
        <v>12866</v>
      </c>
      <c r="G1556" s="28"/>
      <c r="H1556" s="6" t="s">
        <v>63</v>
      </c>
      <c r="I1556" s="6" t="s">
        <v>62</v>
      </c>
      <c r="J1556" s="6" t="s">
        <v>63</v>
      </c>
      <c r="K1556" s="6" t="s">
        <v>63</v>
      </c>
      <c r="L1556" s="6" t="s">
        <v>64</v>
      </c>
      <c r="M1556" s="27" t="s">
        <v>12867</v>
      </c>
      <c r="N1556" s="27" t="s">
        <v>12868</v>
      </c>
      <c r="O1556" s="6" t="s">
        <v>108</v>
      </c>
      <c r="P1556" s="28"/>
      <c r="Q1556" s="6" t="s">
        <v>67</v>
      </c>
      <c r="R1556" s="6" t="s">
        <v>5017</v>
      </c>
      <c r="S1556" s="28"/>
      <c r="T1556" s="6" t="s">
        <v>6138</v>
      </c>
      <c r="U1556" s="7" t="n">
        <v>0</v>
      </c>
      <c r="V1556" s="7" t="n">
        <v>0</v>
      </c>
      <c r="W1556" s="8" t="s">
        <v>2236</v>
      </c>
      <c r="X1556" s="8" t="s">
        <v>2236</v>
      </c>
      <c r="Y1556" s="8" t="s">
        <v>4265</v>
      </c>
      <c r="Z1556" s="8" t="s">
        <v>4265</v>
      </c>
      <c r="AA1556" s="7" t="n">
        <v>501</v>
      </c>
      <c r="AB1556" s="7" t="n">
        <v>387</v>
      </c>
      <c r="AC1556" s="7" t="n">
        <v>433</v>
      </c>
      <c r="AD1556" s="7" t="n">
        <v>3</v>
      </c>
      <c r="AE1556" s="7" t="n">
        <v>3</v>
      </c>
      <c r="AF1556" s="7" t="n">
        <v>20</v>
      </c>
      <c r="AG1556" s="7" t="n">
        <v>25</v>
      </c>
      <c r="AH1556" s="7" t="n">
        <v>4</v>
      </c>
      <c r="AI1556" s="7" t="n">
        <v>9</v>
      </c>
      <c r="AJ1556" s="7" t="n">
        <v>7</v>
      </c>
      <c r="AK1556" s="7" t="n">
        <v>8</v>
      </c>
      <c r="AL1556" s="7" t="n">
        <v>13</v>
      </c>
      <c r="AM1556" s="7" t="n">
        <v>13</v>
      </c>
      <c r="AN1556" s="7" t="n">
        <v>2</v>
      </c>
      <c r="AO1556" s="7" t="n">
        <v>2</v>
      </c>
      <c r="AP1556" s="7" t="n">
        <v>0</v>
      </c>
      <c r="AQ1556" s="7" t="n">
        <v>0</v>
      </c>
      <c r="AR1556" s="6" t="s">
        <v>63</v>
      </c>
      <c r="AS1556" s="6" t="s">
        <v>57</v>
      </c>
      <c r="AT1556" s="9" t="str">
        <f aca="false">HYPERLINK("http://catalog.hathitrust.org/Record/000135274","HathiTrust Record")</f>
        <v>HathiTrust Record</v>
      </c>
      <c r="AU1556" s="9" t="str">
        <f aca="false">HYPERLINK("https://creighton-primo.hosted.exlibrisgroup.com/primo-explore/search?tab=default_tab&amp;search_scope=EVERYTHING&amp;vid=01CRU&amp;lang=en_US&amp;offset=0&amp;query=any,contains,991004526439702656","Catalog Record")</f>
        <v>Catalog Record</v>
      </c>
      <c r="AV1556" s="9" t="str">
        <f aca="false">HYPERLINK("http://www.worldcat.org/oclc/3843606","WorldCat Record")</f>
        <v>WorldCat Record</v>
      </c>
      <c r="AW1556" s="6" t="s">
        <v>12869</v>
      </c>
      <c r="AX1556" s="6" t="s">
        <v>12870</v>
      </c>
      <c r="AY1556" s="6" t="s">
        <v>12871</v>
      </c>
      <c r="AZ1556" s="6" t="s">
        <v>12871</v>
      </c>
      <c r="BA1556" s="6" t="s">
        <v>12872</v>
      </c>
      <c r="BB1556" s="6" t="s">
        <v>12873</v>
      </c>
      <c r="BC1556" s="6" t="s">
        <v>12874</v>
      </c>
      <c r="BE1556" s="15" t="s">
        <v>2145</v>
      </c>
      <c r="BF1556" s="6" t="s">
        <v>12875</v>
      </c>
    </row>
    <row r="1557" customFormat="false" ht="197.5" hidden="false" customHeight="false" outlineLevel="0" collapsed="false">
      <c r="A1557" s="26" t="s">
        <v>63</v>
      </c>
      <c r="B1557" s="27" t="s">
        <v>2129</v>
      </c>
      <c r="C1557" s="27" t="s">
        <v>2130</v>
      </c>
      <c r="D1557" s="27" t="s">
        <v>12876</v>
      </c>
      <c r="E1557" s="27" t="s">
        <v>12877</v>
      </c>
      <c r="F1557" s="27" t="s">
        <v>12878</v>
      </c>
      <c r="G1557" s="28"/>
      <c r="H1557" s="6" t="s">
        <v>57</v>
      </c>
      <c r="I1557" s="6" t="s">
        <v>62</v>
      </c>
      <c r="J1557" s="6" t="s">
        <v>57</v>
      </c>
      <c r="K1557" s="6" t="s">
        <v>63</v>
      </c>
      <c r="L1557" s="6" t="s">
        <v>64</v>
      </c>
      <c r="M1557" s="27" t="s">
        <v>12879</v>
      </c>
      <c r="N1557" s="27" t="s">
        <v>12880</v>
      </c>
      <c r="O1557" s="6" t="s">
        <v>12881</v>
      </c>
      <c r="P1557" s="28"/>
      <c r="Q1557" s="6" t="s">
        <v>67</v>
      </c>
      <c r="R1557" s="6" t="s">
        <v>1093</v>
      </c>
      <c r="S1557" s="27" t="s">
        <v>12882</v>
      </c>
      <c r="T1557" s="6" t="s">
        <v>6138</v>
      </c>
      <c r="U1557" s="7" t="n">
        <v>0</v>
      </c>
      <c r="V1557" s="7" t="n">
        <v>3</v>
      </c>
      <c r="W1557" s="28"/>
      <c r="X1557" s="8" t="s">
        <v>8814</v>
      </c>
      <c r="Y1557" s="8" t="s">
        <v>4265</v>
      </c>
      <c r="Z1557" s="8" t="s">
        <v>4265</v>
      </c>
      <c r="AA1557" s="7" t="n">
        <v>26</v>
      </c>
      <c r="AB1557" s="7" t="n">
        <v>22</v>
      </c>
      <c r="AC1557" s="7" t="n">
        <v>39</v>
      </c>
      <c r="AD1557" s="7" t="n">
        <v>1</v>
      </c>
      <c r="AE1557" s="7" t="n">
        <v>1</v>
      </c>
      <c r="AF1557" s="7" t="n">
        <v>3</v>
      </c>
      <c r="AG1557" s="7" t="n">
        <v>3</v>
      </c>
      <c r="AH1557" s="7" t="n">
        <v>2</v>
      </c>
      <c r="AI1557" s="7" t="n">
        <v>2</v>
      </c>
      <c r="AJ1557" s="7" t="n">
        <v>0</v>
      </c>
      <c r="AK1557" s="7" t="n">
        <v>0</v>
      </c>
      <c r="AL1557" s="7" t="n">
        <v>2</v>
      </c>
      <c r="AM1557" s="7" t="n">
        <v>2</v>
      </c>
      <c r="AN1557" s="7" t="n">
        <v>0</v>
      </c>
      <c r="AO1557" s="7" t="n">
        <v>0</v>
      </c>
      <c r="AP1557" s="7" t="n">
        <v>0</v>
      </c>
      <c r="AQ1557" s="7" t="n">
        <v>0</v>
      </c>
      <c r="AR1557" s="6" t="s">
        <v>57</v>
      </c>
      <c r="AS1557" s="6" t="s">
        <v>63</v>
      </c>
      <c r="AT1557" s="9" t="str">
        <f aca="false">HYPERLINK("http://catalog.hathitrust.org/Record/100343795","HathiTrust Record")</f>
        <v>HathiTrust Record</v>
      </c>
      <c r="AU1557" s="9" t="str">
        <f aca="false">HYPERLINK("https://creighton-primo.hosted.exlibrisgroup.com/primo-explore/search?tab=default_tab&amp;search_scope=EVERYTHING&amp;vid=01CRU&amp;lang=en_US&amp;offset=0&amp;query=any,contains,991005038919702656","Catalog Record")</f>
        <v>Catalog Record</v>
      </c>
      <c r="AV1557" s="9" t="str">
        <f aca="false">HYPERLINK("http://www.worldcat.org/oclc/6782062","WorldCat Record")</f>
        <v>WorldCat Record</v>
      </c>
      <c r="AW1557" s="6" t="s">
        <v>12883</v>
      </c>
      <c r="AX1557" s="6" t="s">
        <v>12884</v>
      </c>
      <c r="AY1557" s="6" t="s">
        <v>12885</v>
      </c>
      <c r="AZ1557" s="6" t="s">
        <v>12885</v>
      </c>
      <c r="BA1557" s="6" t="s">
        <v>12886</v>
      </c>
      <c r="BB1557" s="28"/>
      <c r="BC1557" s="6" t="s">
        <v>12887</v>
      </c>
      <c r="BE1557" s="15" t="s">
        <v>2145</v>
      </c>
      <c r="BF1557" s="6" t="s">
        <v>12888</v>
      </c>
    </row>
    <row r="1558" customFormat="false" ht="197.5" hidden="false" customHeight="false" outlineLevel="0" collapsed="false">
      <c r="A1558" s="26" t="s">
        <v>63</v>
      </c>
      <c r="B1558" s="27" t="s">
        <v>2129</v>
      </c>
      <c r="C1558" s="27" t="s">
        <v>2130</v>
      </c>
      <c r="D1558" s="27" t="s">
        <v>12889</v>
      </c>
      <c r="E1558" s="27" t="s">
        <v>12890</v>
      </c>
      <c r="F1558" s="27" t="s">
        <v>12878</v>
      </c>
      <c r="G1558" s="28"/>
      <c r="H1558" s="6" t="s">
        <v>57</v>
      </c>
      <c r="I1558" s="6" t="s">
        <v>62</v>
      </c>
      <c r="J1558" s="6" t="s">
        <v>57</v>
      </c>
      <c r="K1558" s="6" t="s">
        <v>63</v>
      </c>
      <c r="L1558" s="6" t="s">
        <v>64</v>
      </c>
      <c r="M1558" s="27" t="s">
        <v>12879</v>
      </c>
      <c r="N1558" s="27" t="s">
        <v>12880</v>
      </c>
      <c r="O1558" s="6" t="s">
        <v>12881</v>
      </c>
      <c r="P1558" s="28"/>
      <c r="Q1558" s="6" t="s">
        <v>67</v>
      </c>
      <c r="R1558" s="6" t="s">
        <v>1093</v>
      </c>
      <c r="S1558" s="27" t="s">
        <v>12882</v>
      </c>
      <c r="T1558" s="6" t="s">
        <v>6138</v>
      </c>
      <c r="U1558" s="7" t="n">
        <v>3</v>
      </c>
      <c r="V1558" s="7" t="n">
        <v>3</v>
      </c>
      <c r="W1558" s="8" t="s">
        <v>8814</v>
      </c>
      <c r="X1558" s="8" t="s">
        <v>8814</v>
      </c>
      <c r="Y1558" s="8" t="s">
        <v>4265</v>
      </c>
      <c r="Z1558" s="8" t="s">
        <v>4265</v>
      </c>
      <c r="AA1558" s="7" t="n">
        <v>26</v>
      </c>
      <c r="AB1558" s="7" t="n">
        <v>22</v>
      </c>
      <c r="AC1558" s="7" t="n">
        <v>39</v>
      </c>
      <c r="AD1558" s="7" t="n">
        <v>1</v>
      </c>
      <c r="AE1558" s="7" t="n">
        <v>1</v>
      </c>
      <c r="AF1558" s="7" t="n">
        <v>3</v>
      </c>
      <c r="AG1558" s="7" t="n">
        <v>3</v>
      </c>
      <c r="AH1558" s="7" t="n">
        <v>2</v>
      </c>
      <c r="AI1558" s="7" t="n">
        <v>2</v>
      </c>
      <c r="AJ1558" s="7" t="n">
        <v>0</v>
      </c>
      <c r="AK1558" s="7" t="n">
        <v>0</v>
      </c>
      <c r="AL1558" s="7" t="n">
        <v>2</v>
      </c>
      <c r="AM1558" s="7" t="n">
        <v>2</v>
      </c>
      <c r="AN1558" s="7" t="n">
        <v>0</v>
      </c>
      <c r="AO1558" s="7" t="n">
        <v>0</v>
      </c>
      <c r="AP1558" s="7" t="n">
        <v>0</v>
      </c>
      <c r="AQ1558" s="7" t="n">
        <v>0</v>
      </c>
      <c r="AR1558" s="6" t="s">
        <v>57</v>
      </c>
      <c r="AS1558" s="6" t="s">
        <v>63</v>
      </c>
      <c r="AT1558" s="9" t="str">
        <f aca="false">HYPERLINK("http://catalog.hathitrust.org/Record/100343795","HathiTrust Record")</f>
        <v>HathiTrust Record</v>
      </c>
      <c r="AU1558" s="9" t="str">
        <f aca="false">HYPERLINK("https://creighton-primo.hosted.exlibrisgroup.com/primo-explore/search?tab=default_tab&amp;search_scope=EVERYTHING&amp;vid=01CRU&amp;lang=en_US&amp;offset=0&amp;query=any,contains,991005038919702656","Catalog Record")</f>
        <v>Catalog Record</v>
      </c>
      <c r="AV1558" s="9" t="str">
        <f aca="false">HYPERLINK("http://www.worldcat.org/oclc/6782062","WorldCat Record")</f>
        <v>WorldCat Record</v>
      </c>
      <c r="AW1558" s="6" t="s">
        <v>12883</v>
      </c>
      <c r="AX1558" s="6" t="s">
        <v>12884</v>
      </c>
      <c r="AY1558" s="6" t="s">
        <v>12885</v>
      </c>
      <c r="AZ1558" s="6" t="s">
        <v>12885</v>
      </c>
      <c r="BA1558" s="6" t="s">
        <v>12886</v>
      </c>
      <c r="BB1558" s="28"/>
      <c r="BC1558" s="6" t="s">
        <v>12891</v>
      </c>
      <c r="BE1558" s="15" t="s">
        <v>2145</v>
      </c>
      <c r="BF1558" s="6" t="s">
        <v>12892</v>
      </c>
    </row>
    <row r="1559" customFormat="false" ht="232" hidden="false" customHeight="false" outlineLevel="0" collapsed="false">
      <c r="A1559" s="26" t="s">
        <v>63</v>
      </c>
      <c r="B1559" s="27" t="s">
        <v>2129</v>
      </c>
      <c r="C1559" s="27" t="s">
        <v>2130</v>
      </c>
      <c r="D1559" s="27" t="s">
        <v>12893</v>
      </c>
      <c r="E1559" s="27" t="s">
        <v>12894</v>
      </c>
      <c r="F1559" s="27" t="s">
        <v>12895</v>
      </c>
      <c r="G1559" s="28"/>
      <c r="H1559" s="6" t="s">
        <v>63</v>
      </c>
      <c r="I1559" s="6" t="s">
        <v>62</v>
      </c>
      <c r="J1559" s="6" t="s">
        <v>63</v>
      </c>
      <c r="K1559" s="6" t="s">
        <v>63</v>
      </c>
      <c r="L1559" s="6" t="s">
        <v>64</v>
      </c>
      <c r="M1559" s="27" t="s">
        <v>12896</v>
      </c>
      <c r="N1559" s="27" t="s">
        <v>12897</v>
      </c>
      <c r="O1559" s="6" t="s">
        <v>2665</v>
      </c>
      <c r="P1559" s="28"/>
      <c r="Q1559" s="6" t="s">
        <v>67</v>
      </c>
      <c r="R1559" s="6" t="s">
        <v>384</v>
      </c>
      <c r="S1559" s="28"/>
      <c r="T1559" s="6" t="s">
        <v>6138</v>
      </c>
      <c r="U1559" s="7" t="n">
        <v>1</v>
      </c>
      <c r="V1559" s="7" t="n">
        <v>1</v>
      </c>
      <c r="W1559" s="8" t="s">
        <v>12898</v>
      </c>
      <c r="X1559" s="8" t="s">
        <v>12898</v>
      </c>
      <c r="Y1559" s="8" t="s">
        <v>4265</v>
      </c>
      <c r="Z1559" s="8" t="s">
        <v>4265</v>
      </c>
      <c r="AA1559" s="7" t="n">
        <v>477</v>
      </c>
      <c r="AB1559" s="7" t="n">
        <v>329</v>
      </c>
      <c r="AC1559" s="7" t="n">
        <v>334</v>
      </c>
      <c r="AD1559" s="7" t="n">
        <v>3</v>
      </c>
      <c r="AE1559" s="7" t="n">
        <v>3</v>
      </c>
      <c r="AF1559" s="7" t="n">
        <v>21</v>
      </c>
      <c r="AG1559" s="7" t="n">
        <v>21</v>
      </c>
      <c r="AH1559" s="7" t="n">
        <v>6</v>
      </c>
      <c r="AI1559" s="7" t="n">
        <v>6</v>
      </c>
      <c r="AJ1559" s="7" t="n">
        <v>6</v>
      </c>
      <c r="AK1559" s="7" t="n">
        <v>6</v>
      </c>
      <c r="AL1559" s="7" t="n">
        <v>14</v>
      </c>
      <c r="AM1559" s="7" t="n">
        <v>14</v>
      </c>
      <c r="AN1559" s="7" t="n">
        <v>2</v>
      </c>
      <c r="AO1559" s="7" t="n">
        <v>2</v>
      </c>
      <c r="AP1559" s="7" t="n">
        <v>0</v>
      </c>
      <c r="AQ1559" s="7" t="n">
        <v>0</v>
      </c>
      <c r="AR1559" s="6" t="s">
        <v>63</v>
      </c>
      <c r="AS1559" s="6" t="s">
        <v>63</v>
      </c>
      <c r="AT1559" s="28"/>
      <c r="AU1559" s="9" t="str">
        <f aca="false">HYPERLINK("https://creighton-primo.hosted.exlibrisgroup.com/primo-explore/search?tab=default_tab&amp;search_scope=EVERYTHING&amp;vid=01CRU&amp;lang=en_US&amp;offset=0&amp;query=any,contains,991002976829702656","Catalog Record")</f>
        <v>Catalog Record</v>
      </c>
      <c r="AV1559" s="9" t="str">
        <f aca="false">HYPERLINK("http://www.worldcat.org/oclc/552345","WorldCat Record")</f>
        <v>WorldCat Record</v>
      </c>
      <c r="AW1559" s="6" t="s">
        <v>12899</v>
      </c>
      <c r="AX1559" s="6" t="s">
        <v>12900</v>
      </c>
      <c r="AY1559" s="6" t="s">
        <v>12901</v>
      </c>
      <c r="AZ1559" s="6" t="s">
        <v>12901</v>
      </c>
      <c r="BA1559" s="6" t="s">
        <v>12902</v>
      </c>
      <c r="BB1559" s="6" t="s">
        <v>12903</v>
      </c>
      <c r="BC1559" s="6" t="s">
        <v>12904</v>
      </c>
      <c r="BE1559" s="15" t="s">
        <v>2145</v>
      </c>
      <c r="BF1559" s="6" t="s">
        <v>12905</v>
      </c>
    </row>
    <row r="1560" customFormat="false" ht="94" hidden="false" customHeight="false" outlineLevel="0" collapsed="false">
      <c r="A1560" s="26" t="s">
        <v>63</v>
      </c>
      <c r="B1560" s="27" t="s">
        <v>2129</v>
      </c>
      <c r="C1560" s="27" t="s">
        <v>2130</v>
      </c>
      <c r="D1560" s="27" t="s">
        <v>12906</v>
      </c>
      <c r="E1560" s="27" t="s">
        <v>12907</v>
      </c>
      <c r="F1560" s="27" t="s">
        <v>12908</v>
      </c>
      <c r="G1560" s="28"/>
      <c r="H1560" s="6" t="s">
        <v>63</v>
      </c>
      <c r="I1560" s="6" t="s">
        <v>62</v>
      </c>
      <c r="J1560" s="6" t="s">
        <v>63</v>
      </c>
      <c r="K1560" s="6" t="s">
        <v>63</v>
      </c>
      <c r="L1560" s="6" t="s">
        <v>64</v>
      </c>
      <c r="M1560" s="27" t="s">
        <v>12909</v>
      </c>
      <c r="N1560" s="27" t="s">
        <v>12910</v>
      </c>
      <c r="O1560" s="6" t="s">
        <v>246</v>
      </c>
      <c r="P1560" s="28"/>
      <c r="Q1560" s="6" t="s">
        <v>67</v>
      </c>
      <c r="R1560" s="6" t="s">
        <v>384</v>
      </c>
      <c r="S1560" s="28"/>
      <c r="T1560" s="6" t="s">
        <v>6138</v>
      </c>
      <c r="U1560" s="7" t="n">
        <v>3</v>
      </c>
      <c r="V1560" s="7" t="n">
        <v>3</v>
      </c>
      <c r="W1560" s="8" t="s">
        <v>12911</v>
      </c>
      <c r="X1560" s="8" t="s">
        <v>12911</v>
      </c>
      <c r="Y1560" s="8" t="s">
        <v>9498</v>
      </c>
      <c r="Z1560" s="8" t="s">
        <v>9498</v>
      </c>
      <c r="AA1560" s="7" t="n">
        <v>535</v>
      </c>
      <c r="AB1560" s="7" t="n">
        <v>386</v>
      </c>
      <c r="AC1560" s="7" t="n">
        <v>397</v>
      </c>
      <c r="AD1560" s="7" t="n">
        <v>3</v>
      </c>
      <c r="AE1560" s="7" t="n">
        <v>3</v>
      </c>
      <c r="AF1560" s="7" t="n">
        <v>25</v>
      </c>
      <c r="AG1560" s="7" t="n">
        <v>25</v>
      </c>
      <c r="AH1560" s="7" t="n">
        <v>9</v>
      </c>
      <c r="AI1560" s="7" t="n">
        <v>9</v>
      </c>
      <c r="AJ1560" s="7" t="n">
        <v>7</v>
      </c>
      <c r="AK1560" s="7" t="n">
        <v>7</v>
      </c>
      <c r="AL1560" s="7" t="n">
        <v>16</v>
      </c>
      <c r="AM1560" s="7" t="n">
        <v>16</v>
      </c>
      <c r="AN1560" s="7" t="n">
        <v>2</v>
      </c>
      <c r="AO1560" s="7" t="n">
        <v>2</v>
      </c>
      <c r="AP1560" s="7" t="n">
        <v>0</v>
      </c>
      <c r="AQ1560" s="7" t="n">
        <v>0</v>
      </c>
      <c r="AR1560" s="6" t="s">
        <v>63</v>
      </c>
      <c r="AS1560" s="6" t="s">
        <v>63</v>
      </c>
      <c r="AT1560" s="28"/>
      <c r="AU1560" s="9" t="str">
        <f aca="false">HYPERLINK("https://creighton-primo.hosted.exlibrisgroup.com/primo-explore/search?tab=default_tab&amp;search_scope=EVERYTHING&amp;vid=01CRU&amp;lang=en_US&amp;offset=0&amp;query=any,contains,991004765389702656","Catalog Record")</f>
        <v>Catalog Record</v>
      </c>
      <c r="AV1560" s="9" t="str">
        <f aca="false">HYPERLINK("http://www.worldcat.org/oclc/5029024","WorldCat Record")</f>
        <v>WorldCat Record</v>
      </c>
      <c r="AW1560" s="6" t="s">
        <v>12912</v>
      </c>
      <c r="AX1560" s="6" t="s">
        <v>12913</v>
      </c>
      <c r="AY1560" s="6" t="s">
        <v>12914</v>
      </c>
      <c r="AZ1560" s="6" t="s">
        <v>12914</v>
      </c>
      <c r="BA1560" s="6" t="s">
        <v>12915</v>
      </c>
      <c r="BB1560" s="6" t="s">
        <v>12916</v>
      </c>
      <c r="BC1560" s="6" t="s">
        <v>12917</v>
      </c>
      <c r="BE1560" s="15" t="s">
        <v>2145</v>
      </c>
      <c r="BF1560" s="6" t="s">
        <v>12918</v>
      </c>
    </row>
    <row r="1561" customFormat="false" ht="105.5" hidden="false" customHeight="false" outlineLevel="0" collapsed="false">
      <c r="A1561" s="26" t="s">
        <v>63</v>
      </c>
      <c r="B1561" s="27" t="s">
        <v>2129</v>
      </c>
      <c r="C1561" s="27" t="s">
        <v>2130</v>
      </c>
      <c r="D1561" s="27" t="s">
        <v>12919</v>
      </c>
      <c r="E1561" s="27" t="s">
        <v>12920</v>
      </c>
      <c r="F1561" s="27" t="s">
        <v>12921</v>
      </c>
      <c r="G1561" s="28"/>
      <c r="H1561" s="6" t="s">
        <v>63</v>
      </c>
      <c r="I1561" s="6" t="s">
        <v>62</v>
      </c>
      <c r="J1561" s="6" t="s">
        <v>63</v>
      </c>
      <c r="K1561" s="6" t="s">
        <v>63</v>
      </c>
      <c r="L1561" s="6" t="s">
        <v>64</v>
      </c>
      <c r="M1561" s="27" t="s">
        <v>12922</v>
      </c>
      <c r="N1561" s="27" t="s">
        <v>6088</v>
      </c>
      <c r="O1561" s="6" t="s">
        <v>2975</v>
      </c>
      <c r="P1561" s="28"/>
      <c r="Q1561" s="6" t="s">
        <v>67</v>
      </c>
      <c r="R1561" s="6" t="s">
        <v>1059</v>
      </c>
      <c r="S1561" s="27" t="s">
        <v>4303</v>
      </c>
      <c r="T1561" s="6" t="s">
        <v>6138</v>
      </c>
      <c r="U1561" s="7" t="n">
        <v>2</v>
      </c>
      <c r="V1561" s="7" t="n">
        <v>2</v>
      </c>
      <c r="W1561" s="8" t="s">
        <v>12923</v>
      </c>
      <c r="X1561" s="8" t="s">
        <v>12923</v>
      </c>
      <c r="Y1561" s="8" t="s">
        <v>4265</v>
      </c>
      <c r="Z1561" s="8" t="s">
        <v>4265</v>
      </c>
      <c r="AA1561" s="7" t="n">
        <v>482</v>
      </c>
      <c r="AB1561" s="7" t="n">
        <v>380</v>
      </c>
      <c r="AC1561" s="7" t="n">
        <v>383</v>
      </c>
      <c r="AD1561" s="7" t="n">
        <v>4</v>
      </c>
      <c r="AE1561" s="7" t="n">
        <v>4</v>
      </c>
      <c r="AF1561" s="7" t="n">
        <v>26</v>
      </c>
      <c r="AG1561" s="7" t="n">
        <v>26</v>
      </c>
      <c r="AH1561" s="7" t="n">
        <v>8</v>
      </c>
      <c r="AI1561" s="7" t="n">
        <v>8</v>
      </c>
      <c r="AJ1561" s="7" t="n">
        <v>6</v>
      </c>
      <c r="AK1561" s="7" t="n">
        <v>6</v>
      </c>
      <c r="AL1561" s="7" t="n">
        <v>16</v>
      </c>
      <c r="AM1561" s="7" t="n">
        <v>16</v>
      </c>
      <c r="AN1561" s="7" t="n">
        <v>2</v>
      </c>
      <c r="AO1561" s="7" t="n">
        <v>2</v>
      </c>
      <c r="AP1561" s="7" t="n">
        <v>0</v>
      </c>
      <c r="AQ1561" s="7" t="n">
        <v>0</v>
      </c>
      <c r="AR1561" s="6" t="s">
        <v>63</v>
      </c>
      <c r="AS1561" s="6" t="s">
        <v>57</v>
      </c>
      <c r="AT1561" s="9" t="str">
        <f aca="false">HYPERLINK("http://catalog.hathitrust.org/Record/001385940","HathiTrust Record")</f>
        <v>HathiTrust Record</v>
      </c>
      <c r="AU1561" s="9" t="str">
        <f aca="false">HYPERLINK("https://creighton-primo.hosted.exlibrisgroup.com/primo-explore/search?tab=default_tab&amp;search_scope=EVERYTHING&amp;vid=01CRU&amp;lang=en_US&amp;offset=0&amp;query=any,contains,991000127959702656","Catalog Record")</f>
        <v>Catalog Record</v>
      </c>
      <c r="AV1561" s="9" t="str">
        <f aca="false">HYPERLINK("http://www.worldcat.org/oclc/52750","WorldCat Record")</f>
        <v>WorldCat Record</v>
      </c>
      <c r="AW1561" s="6" t="s">
        <v>12924</v>
      </c>
      <c r="AX1561" s="6" t="s">
        <v>12925</v>
      </c>
      <c r="AY1561" s="6" t="s">
        <v>12926</v>
      </c>
      <c r="AZ1561" s="6" t="s">
        <v>12926</v>
      </c>
      <c r="BA1561" s="6" t="s">
        <v>12927</v>
      </c>
      <c r="BB1561" s="6" t="s">
        <v>12928</v>
      </c>
      <c r="BC1561" s="6" t="s">
        <v>12929</v>
      </c>
      <c r="BE1561" s="15" t="s">
        <v>2145</v>
      </c>
      <c r="BF1561" s="6" t="s">
        <v>12930</v>
      </c>
    </row>
    <row r="1562" customFormat="false" ht="82.5" hidden="false" customHeight="false" outlineLevel="0" collapsed="false">
      <c r="A1562" s="26" t="s">
        <v>57</v>
      </c>
      <c r="B1562" s="27" t="s">
        <v>2129</v>
      </c>
      <c r="C1562" s="27" t="s">
        <v>2130</v>
      </c>
      <c r="D1562" s="27" t="s">
        <v>12931</v>
      </c>
      <c r="E1562" s="27" t="s">
        <v>12932</v>
      </c>
      <c r="F1562" s="27" t="s">
        <v>12933</v>
      </c>
      <c r="G1562" s="28"/>
      <c r="H1562" s="6" t="s">
        <v>63</v>
      </c>
      <c r="I1562" s="6" t="s">
        <v>62</v>
      </c>
      <c r="J1562" s="6" t="s">
        <v>63</v>
      </c>
      <c r="K1562" s="6" t="s">
        <v>63</v>
      </c>
      <c r="L1562" s="6" t="s">
        <v>64</v>
      </c>
      <c r="M1562" s="27" t="s">
        <v>12934</v>
      </c>
      <c r="N1562" s="27" t="s">
        <v>12935</v>
      </c>
      <c r="O1562" s="6" t="s">
        <v>2623</v>
      </c>
      <c r="P1562" s="28"/>
      <c r="Q1562" s="6" t="s">
        <v>67</v>
      </c>
      <c r="R1562" s="6" t="s">
        <v>384</v>
      </c>
      <c r="S1562" s="27" t="s">
        <v>7693</v>
      </c>
      <c r="T1562" s="6" t="s">
        <v>6138</v>
      </c>
      <c r="U1562" s="7" t="n">
        <v>2</v>
      </c>
      <c r="V1562" s="7" t="n">
        <v>2</v>
      </c>
      <c r="W1562" s="8" t="s">
        <v>12936</v>
      </c>
      <c r="X1562" s="8" t="s">
        <v>12936</v>
      </c>
      <c r="Y1562" s="8" t="s">
        <v>4265</v>
      </c>
      <c r="Z1562" s="8" t="s">
        <v>4265</v>
      </c>
      <c r="AA1562" s="7" t="n">
        <v>633</v>
      </c>
      <c r="AB1562" s="7" t="n">
        <v>456</v>
      </c>
      <c r="AC1562" s="7" t="n">
        <v>1202</v>
      </c>
      <c r="AD1562" s="7" t="n">
        <v>3</v>
      </c>
      <c r="AE1562" s="7" t="n">
        <v>15</v>
      </c>
      <c r="AF1562" s="7" t="n">
        <v>33</v>
      </c>
      <c r="AG1562" s="7" t="n">
        <v>51</v>
      </c>
      <c r="AH1562" s="7" t="n">
        <v>13</v>
      </c>
      <c r="AI1562" s="7" t="n">
        <v>18</v>
      </c>
      <c r="AJ1562" s="7" t="n">
        <v>9</v>
      </c>
      <c r="AK1562" s="7" t="n">
        <v>9</v>
      </c>
      <c r="AL1562" s="7" t="n">
        <v>21</v>
      </c>
      <c r="AM1562" s="7" t="n">
        <v>22</v>
      </c>
      <c r="AN1562" s="7" t="n">
        <v>2</v>
      </c>
      <c r="AO1562" s="7" t="n">
        <v>13</v>
      </c>
      <c r="AP1562" s="7" t="n">
        <v>0</v>
      </c>
      <c r="AQ1562" s="7" t="n">
        <v>1</v>
      </c>
      <c r="AR1562" s="6" t="s">
        <v>63</v>
      </c>
      <c r="AS1562" s="6" t="s">
        <v>57</v>
      </c>
      <c r="AT1562" s="9" t="str">
        <f aca="false">HYPERLINK("http://catalog.hathitrust.org/Record/002193184","HathiTrust Record")</f>
        <v>HathiTrust Record</v>
      </c>
      <c r="AU1562" s="9" t="str">
        <f aca="false">HYPERLINK("https://creighton-primo.hosted.exlibrisgroup.com/primo-explore/search?tab=default_tab&amp;search_scope=EVERYTHING&amp;vid=01CRU&amp;lang=en_US&amp;offset=0&amp;query=any,contains,991005062049702656","Catalog Record")</f>
        <v>Catalog Record</v>
      </c>
      <c r="AV1562" s="9" t="str">
        <f aca="false">HYPERLINK("http://www.worldcat.org/oclc/6927020","WorldCat Record")</f>
        <v>WorldCat Record</v>
      </c>
      <c r="AW1562" s="6" t="s">
        <v>12937</v>
      </c>
      <c r="AX1562" s="6" t="s">
        <v>12938</v>
      </c>
      <c r="AY1562" s="6" t="s">
        <v>12939</v>
      </c>
      <c r="AZ1562" s="6" t="s">
        <v>12939</v>
      </c>
      <c r="BA1562" s="6" t="s">
        <v>12940</v>
      </c>
      <c r="BB1562" s="6" t="s">
        <v>12941</v>
      </c>
      <c r="BC1562" s="6" t="s">
        <v>12942</v>
      </c>
      <c r="BE1562" s="15" t="s">
        <v>2145</v>
      </c>
      <c r="BF1562" s="6" t="s">
        <v>12943</v>
      </c>
    </row>
    <row r="1563" customFormat="false" ht="197.5" hidden="false" customHeight="false" outlineLevel="0" collapsed="false">
      <c r="A1563" s="26" t="s">
        <v>63</v>
      </c>
      <c r="B1563" s="27" t="s">
        <v>2129</v>
      </c>
      <c r="C1563" s="27" t="s">
        <v>2130</v>
      </c>
      <c r="D1563" s="27" t="s">
        <v>12944</v>
      </c>
      <c r="E1563" s="27" t="s">
        <v>12945</v>
      </c>
      <c r="F1563" s="27" t="s">
        <v>12946</v>
      </c>
      <c r="G1563" s="28"/>
      <c r="H1563" s="6" t="s">
        <v>63</v>
      </c>
      <c r="I1563" s="6" t="s">
        <v>62</v>
      </c>
      <c r="J1563" s="6" t="s">
        <v>63</v>
      </c>
      <c r="K1563" s="6" t="s">
        <v>63</v>
      </c>
      <c r="L1563" s="6" t="s">
        <v>64</v>
      </c>
      <c r="M1563" s="27" t="s">
        <v>12947</v>
      </c>
      <c r="N1563" s="27" t="s">
        <v>12948</v>
      </c>
      <c r="O1563" s="6" t="s">
        <v>66</v>
      </c>
      <c r="P1563" s="28"/>
      <c r="Q1563" s="6" t="s">
        <v>67</v>
      </c>
      <c r="R1563" s="6" t="s">
        <v>68</v>
      </c>
      <c r="S1563" s="27" t="s">
        <v>12949</v>
      </c>
      <c r="T1563" s="6" t="s">
        <v>6138</v>
      </c>
      <c r="U1563" s="7" t="n">
        <v>1</v>
      </c>
      <c r="V1563" s="7" t="n">
        <v>1</v>
      </c>
      <c r="W1563" s="8" t="s">
        <v>12950</v>
      </c>
      <c r="X1563" s="8" t="s">
        <v>12950</v>
      </c>
      <c r="Y1563" s="8" t="s">
        <v>2813</v>
      </c>
      <c r="Z1563" s="8" t="s">
        <v>2813</v>
      </c>
      <c r="AA1563" s="7" t="n">
        <v>250</v>
      </c>
      <c r="AB1563" s="7" t="n">
        <v>200</v>
      </c>
      <c r="AC1563" s="7" t="n">
        <v>213</v>
      </c>
      <c r="AD1563" s="7" t="n">
        <v>1</v>
      </c>
      <c r="AE1563" s="7" t="n">
        <v>1</v>
      </c>
      <c r="AF1563" s="7" t="n">
        <v>9</v>
      </c>
      <c r="AG1563" s="7" t="n">
        <v>9</v>
      </c>
      <c r="AH1563" s="7" t="n">
        <v>3</v>
      </c>
      <c r="AI1563" s="7" t="n">
        <v>3</v>
      </c>
      <c r="AJ1563" s="7" t="n">
        <v>2</v>
      </c>
      <c r="AK1563" s="7" t="n">
        <v>2</v>
      </c>
      <c r="AL1563" s="7" t="n">
        <v>7</v>
      </c>
      <c r="AM1563" s="7" t="n">
        <v>7</v>
      </c>
      <c r="AN1563" s="7" t="n">
        <v>0</v>
      </c>
      <c r="AO1563" s="7" t="n">
        <v>0</v>
      </c>
      <c r="AP1563" s="7" t="n">
        <v>0</v>
      </c>
      <c r="AQ1563" s="7" t="n">
        <v>0</v>
      </c>
      <c r="AR1563" s="6" t="s">
        <v>63</v>
      </c>
      <c r="AS1563" s="6" t="s">
        <v>63</v>
      </c>
      <c r="AT1563" s="28"/>
      <c r="AU1563" s="9" t="str">
        <f aca="false">HYPERLINK("https://creighton-primo.hosted.exlibrisgroup.com/primo-explore/search?tab=default_tab&amp;search_scope=EVERYTHING&amp;vid=01CRU&amp;lang=en_US&amp;offset=0&amp;query=any,contains,991002111269702656","Catalog Record")</f>
        <v>Catalog Record</v>
      </c>
      <c r="AV1563" s="9" t="str">
        <f aca="false">HYPERLINK("http://www.worldcat.org/oclc/27066324","WorldCat Record")</f>
        <v>WorldCat Record</v>
      </c>
      <c r="AW1563" s="6" t="s">
        <v>12951</v>
      </c>
      <c r="AX1563" s="6" t="s">
        <v>12952</v>
      </c>
      <c r="AY1563" s="6" t="s">
        <v>12953</v>
      </c>
      <c r="AZ1563" s="6" t="s">
        <v>12953</v>
      </c>
      <c r="BA1563" s="6" t="s">
        <v>12954</v>
      </c>
      <c r="BB1563" s="6" t="s">
        <v>12955</v>
      </c>
      <c r="BC1563" s="6" t="s">
        <v>12956</v>
      </c>
      <c r="BE1563" s="15" t="s">
        <v>2145</v>
      </c>
      <c r="BF1563" s="6" t="s">
        <v>12957</v>
      </c>
    </row>
    <row r="1564" customFormat="false" ht="105.5" hidden="false" customHeight="false" outlineLevel="0" collapsed="false">
      <c r="A1564" s="26" t="s">
        <v>57</v>
      </c>
      <c r="B1564" s="27" t="s">
        <v>2129</v>
      </c>
      <c r="C1564" s="27" t="s">
        <v>2130</v>
      </c>
      <c r="D1564" s="27" t="s">
        <v>12958</v>
      </c>
      <c r="E1564" s="27" t="s">
        <v>12959</v>
      </c>
      <c r="F1564" s="27" t="s">
        <v>12960</v>
      </c>
      <c r="G1564" s="28"/>
      <c r="H1564" s="6" t="s">
        <v>63</v>
      </c>
      <c r="I1564" s="6" t="s">
        <v>62</v>
      </c>
      <c r="J1564" s="6" t="s">
        <v>63</v>
      </c>
      <c r="K1564" s="6" t="s">
        <v>63</v>
      </c>
      <c r="L1564" s="6" t="s">
        <v>64</v>
      </c>
      <c r="M1564" s="27" t="s">
        <v>12961</v>
      </c>
      <c r="N1564" s="27" t="s">
        <v>12962</v>
      </c>
      <c r="O1564" s="6" t="s">
        <v>108</v>
      </c>
      <c r="P1564" s="28"/>
      <c r="Q1564" s="6" t="s">
        <v>67</v>
      </c>
      <c r="R1564" s="6" t="s">
        <v>222</v>
      </c>
      <c r="S1564" s="28"/>
      <c r="T1564" s="6" t="s">
        <v>6138</v>
      </c>
      <c r="U1564" s="7" t="n">
        <v>4</v>
      </c>
      <c r="V1564" s="7" t="n">
        <v>4</v>
      </c>
      <c r="W1564" s="8" t="s">
        <v>12963</v>
      </c>
      <c r="X1564" s="8" t="s">
        <v>12963</v>
      </c>
      <c r="Y1564" s="8" t="s">
        <v>9498</v>
      </c>
      <c r="Z1564" s="8" t="s">
        <v>9498</v>
      </c>
      <c r="AA1564" s="7" t="n">
        <v>676</v>
      </c>
      <c r="AB1564" s="7" t="n">
        <v>551</v>
      </c>
      <c r="AC1564" s="7" t="n">
        <v>961</v>
      </c>
      <c r="AD1564" s="7" t="n">
        <v>4</v>
      </c>
      <c r="AE1564" s="7" t="n">
        <v>7</v>
      </c>
      <c r="AF1564" s="7" t="n">
        <v>34</v>
      </c>
      <c r="AG1564" s="7" t="n">
        <v>43</v>
      </c>
      <c r="AH1564" s="7" t="n">
        <v>15</v>
      </c>
      <c r="AI1564" s="7" t="n">
        <v>18</v>
      </c>
      <c r="AJ1564" s="7" t="n">
        <v>8</v>
      </c>
      <c r="AK1564" s="7" t="n">
        <v>9</v>
      </c>
      <c r="AL1564" s="7" t="n">
        <v>22</v>
      </c>
      <c r="AM1564" s="7" t="n">
        <v>24</v>
      </c>
      <c r="AN1564" s="7" t="n">
        <v>2</v>
      </c>
      <c r="AO1564" s="7" t="n">
        <v>5</v>
      </c>
      <c r="AP1564" s="7" t="n">
        <v>0</v>
      </c>
      <c r="AQ1564" s="7" t="n">
        <v>0</v>
      </c>
      <c r="AR1564" s="6" t="s">
        <v>63</v>
      </c>
      <c r="AS1564" s="6" t="s">
        <v>63</v>
      </c>
      <c r="AT1564" s="28"/>
      <c r="AU1564" s="9" t="str">
        <f aca="false">HYPERLINK("https://creighton-primo.hosted.exlibrisgroup.com/primo-explore/search?tab=default_tab&amp;search_scope=EVERYTHING&amp;vid=01CRU&amp;lang=en_US&amp;offset=0&amp;query=any,contains,991005371509702656","Catalog Record")</f>
        <v>Catalog Record</v>
      </c>
      <c r="AV1564" s="9" t="str">
        <f aca="false">HYPERLINK("http://www.worldcat.org/oclc/3748385","WorldCat Record")</f>
        <v>WorldCat Record</v>
      </c>
      <c r="AW1564" s="6" t="s">
        <v>12964</v>
      </c>
      <c r="AX1564" s="6" t="s">
        <v>12965</v>
      </c>
      <c r="AY1564" s="6" t="s">
        <v>12966</v>
      </c>
      <c r="AZ1564" s="6" t="s">
        <v>12966</v>
      </c>
      <c r="BA1564" s="6" t="s">
        <v>12967</v>
      </c>
      <c r="BB1564" s="6" t="s">
        <v>12968</v>
      </c>
      <c r="BC1564" s="6" t="s">
        <v>12969</v>
      </c>
      <c r="BE1564" s="15" t="s">
        <v>2145</v>
      </c>
      <c r="BF1564" s="6" t="s">
        <v>12970</v>
      </c>
    </row>
    <row r="1565" customFormat="false" ht="94" hidden="false" customHeight="false" outlineLevel="0" collapsed="false">
      <c r="A1565" s="26" t="s">
        <v>63</v>
      </c>
      <c r="B1565" s="27" t="s">
        <v>2129</v>
      </c>
      <c r="C1565" s="27" t="s">
        <v>2130</v>
      </c>
      <c r="D1565" s="27" t="s">
        <v>12971</v>
      </c>
      <c r="E1565" s="27" t="s">
        <v>12972</v>
      </c>
      <c r="F1565" s="27" t="s">
        <v>12973</v>
      </c>
      <c r="G1565" s="28"/>
      <c r="H1565" s="6" t="s">
        <v>63</v>
      </c>
      <c r="I1565" s="6" t="s">
        <v>62</v>
      </c>
      <c r="J1565" s="6" t="s">
        <v>63</v>
      </c>
      <c r="K1565" s="6" t="s">
        <v>63</v>
      </c>
      <c r="L1565" s="6" t="s">
        <v>64</v>
      </c>
      <c r="M1565" s="27" t="s">
        <v>4782</v>
      </c>
      <c r="N1565" s="27" t="s">
        <v>12974</v>
      </c>
      <c r="O1565" s="6" t="s">
        <v>254</v>
      </c>
      <c r="P1565" s="27" t="s">
        <v>255</v>
      </c>
      <c r="Q1565" s="6" t="s">
        <v>67</v>
      </c>
      <c r="R1565" s="6" t="s">
        <v>68</v>
      </c>
      <c r="S1565" s="27" t="s">
        <v>12975</v>
      </c>
      <c r="T1565" s="6" t="s">
        <v>6138</v>
      </c>
      <c r="U1565" s="7" t="n">
        <v>4</v>
      </c>
      <c r="V1565" s="7" t="n">
        <v>4</v>
      </c>
      <c r="W1565" s="8" t="s">
        <v>12976</v>
      </c>
      <c r="X1565" s="8" t="s">
        <v>12976</v>
      </c>
      <c r="Y1565" s="8" t="s">
        <v>4265</v>
      </c>
      <c r="Z1565" s="8" t="s">
        <v>4265</v>
      </c>
      <c r="AA1565" s="7" t="n">
        <v>745</v>
      </c>
      <c r="AB1565" s="7" t="n">
        <v>668</v>
      </c>
      <c r="AC1565" s="7" t="n">
        <v>753</v>
      </c>
      <c r="AD1565" s="7" t="n">
        <v>5</v>
      </c>
      <c r="AE1565" s="7" t="n">
        <v>5</v>
      </c>
      <c r="AF1565" s="7" t="n">
        <v>39</v>
      </c>
      <c r="AG1565" s="7" t="n">
        <v>40</v>
      </c>
      <c r="AH1565" s="7" t="n">
        <v>15</v>
      </c>
      <c r="AI1565" s="7" t="n">
        <v>16</v>
      </c>
      <c r="AJ1565" s="7" t="n">
        <v>10</v>
      </c>
      <c r="AK1565" s="7" t="n">
        <v>10</v>
      </c>
      <c r="AL1565" s="7" t="n">
        <v>21</v>
      </c>
      <c r="AM1565" s="7" t="n">
        <v>21</v>
      </c>
      <c r="AN1565" s="7" t="n">
        <v>4</v>
      </c>
      <c r="AO1565" s="7" t="n">
        <v>4</v>
      </c>
      <c r="AP1565" s="7" t="n">
        <v>0</v>
      </c>
      <c r="AQ1565" s="7" t="n">
        <v>0</v>
      </c>
      <c r="AR1565" s="6" t="s">
        <v>63</v>
      </c>
      <c r="AS1565" s="6" t="s">
        <v>57</v>
      </c>
      <c r="AT1565" s="9" t="str">
        <f aca="false">HYPERLINK("http://catalog.hathitrust.org/Record/001385970","HathiTrust Record")</f>
        <v>HathiTrust Record</v>
      </c>
      <c r="AU1565" s="9" t="str">
        <f aca="false">HYPERLINK("https://creighton-primo.hosted.exlibrisgroup.com/primo-explore/search?tab=default_tab&amp;search_scope=EVERYTHING&amp;vid=01CRU&amp;lang=en_US&amp;offset=0&amp;query=any,contains,991003663409702656","Catalog Record")</f>
        <v>Catalog Record</v>
      </c>
      <c r="AV1565" s="9" t="str">
        <f aca="false">HYPERLINK("http://www.worldcat.org/oclc/1275384","WorldCat Record")</f>
        <v>WorldCat Record</v>
      </c>
      <c r="AW1565" s="6" t="s">
        <v>12977</v>
      </c>
      <c r="AX1565" s="6" t="s">
        <v>12978</v>
      </c>
      <c r="AY1565" s="6" t="s">
        <v>12979</v>
      </c>
      <c r="AZ1565" s="6" t="s">
        <v>12979</v>
      </c>
      <c r="BA1565" s="6" t="s">
        <v>12980</v>
      </c>
      <c r="BB1565" s="6" t="s">
        <v>12981</v>
      </c>
      <c r="BC1565" s="6" t="s">
        <v>12982</v>
      </c>
      <c r="BE1565" s="15" t="s">
        <v>2145</v>
      </c>
      <c r="BF1565" s="6" t="s">
        <v>12983</v>
      </c>
    </row>
    <row r="1566" customFormat="false" ht="209" hidden="false" customHeight="false" outlineLevel="0" collapsed="false">
      <c r="A1566" s="26" t="s">
        <v>63</v>
      </c>
      <c r="B1566" s="27" t="s">
        <v>2129</v>
      </c>
      <c r="C1566" s="27" t="s">
        <v>2130</v>
      </c>
      <c r="D1566" s="27" t="s">
        <v>12984</v>
      </c>
      <c r="E1566" s="27" t="s">
        <v>12985</v>
      </c>
      <c r="F1566" s="27" t="s">
        <v>12986</v>
      </c>
      <c r="G1566" s="28"/>
      <c r="H1566" s="6" t="s">
        <v>63</v>
      </c>
      <c r="I1566" s="6" t="s">
        <v>62</v>
      </c>
      <c r="J1566" s="6" t="s">
        <v>63</v>
      </c>
      <c r="K1566" s="6" t="s">
        <v>63</v>
      </c>
      <c r="L1566" s="6" t="s">
        <v>64</v>
      </c>
      <c r="M1566" s="27" t="s">
        <v>4782</v>
      </c>
      <c r="N1566" s="27" t="s">
        <v>12987</v>
      </c>
      <c r="O1566" s="6" t="s">
        <v>122</v>
      </c>
      <c r="P1566" s="28"/>
      <c r="Q1566" s="6" t="s">
        <v>67</v>
      </c>
      <c r="R1566" s="6" t="s">
        <v>68</v>
      </c>
      <c r="S1566" s="27" t="s">
        <v>12975</v>
      </c>
      <c r="T1566" s="6" t="s">
        <v>6138</v>
      </c>
      <c r="U1566" s="7" t="n">
        <v>5</v>
      </c>
      <c r="V1566" s="7" t="n">
        <v>5</v>
      </c>
      <c r="W1566" s="8" t="s">
        <v>12988</v>
      </c>
      <c r="X1566" s="8" t="s">
        <v>12988</v>
      </c>
      <c r="Y1566" s="8" t="s">
        <v>2208</v>
      </c>
      <c r="Z1566" s="8" t="s">
        <v>2208</v>
      </c>
      <c r="AA1566" s="7" t="n">
        <v>937</v>
      </c>
      <c r="AB1566" s="7" t="n">
        <v>839</v>
      </c>
      <c r="AC1566" s="7" t="n">
        <v>1092</v>
      </c>
      <c r="AD1566" s="7" t="n">
        <v>7</v>
      </c>
      <c r="AE1566" s="7" t="n">
        <v>8</v>
      </c>
      <c r="AF1566" s="7" t="n">
        <v>44</v>
      </c>
      <c r="AG1566" s="7" t="n">
        <v>50</v>
      </c>
      <c r="AH1566" s="7" t="n">
        <v>19</v>
      </c>
      <c r="AI1566" s="7" t="n">
        <v>22</v>
      </c>
      <c r="AJ1566" s="7" t="n">
        <v>7</v>
      </c>
      <c r="AK1566" s="7" t="n">
        <v>9</v>
      </c>
      <c r="AL1566" s="7" t="n">
        <v>21</v>
      </c>
      <c r="AM1566" s="7" t="n">
        <v>25</v>
      </c>
      <c r="AN1566" s="7" t="n">
        <v>4</v>
      </c>
      <c r="AO1566" s="7" t="n">
        <v>5</v>
      </c>
      <c r="AP1566" s="7" t="n">
        <v>0</v>
      </c>
      <c r="AQ1566" s="7" t="n">
        <v>0</v>
      </c>
      <c r="AR1566" s="6" t="s">
        <v>63</v>
      </c>
      <c r="AS1566" s="6" t="s">
        <v>57</v>
      </c>
      <c r="AT1566" s="9" t="str">
        <f aca="false">HYPERLINK("http://catalog.hathitrust.org/Record/001385975","HathiTrust Record")</f>
        <v>HathiTrust Record</v>
      </c>
      <c r="AU1566" s="9" t="str">
        <f aca="false">HYPERLINK("https://creighton-primo.hosted.exlibrisgroup.com/primo-explore/search?tab=default_tab&amp;search_scope=EVERYTHING&amp;vid=01CRU&amp;lang=en_US&amp;offset=0&amp;query=any,contains,991002579109702656","Catalog Record")</f>
        <v>Catalog Record</v>
      </c>
      <c r="AV1566" s="9" t="str">
        <f aca="false">HYPERLINK("http://www.worldcat.org/oclc/374973","WorldCat Record")</f>
        <v>WorldCat Record</v>
      </c>
      <c r="AW1566" s="6" t="s">
        <v>12989</v>
      </c>
      <c r="AX1566" s="6" t="s">
        <v>12990</v>
      </c>
      <c r="AY1566" s="6" t="s">
        <v>12991</v>
      </c>
      <c r="AZ1566" s="6" t="s">
        <v>12991</v>
      </c>
      <c r="BA1566" s="6" t="s">
        <v>12992</v>
      </c>
      <c r="BB1566" s="28"/>
      <c r="BC1566" s="6" t="s">
        <v>12993</v>
      </c>
      <c r="BE1566" s="15" t="s">
        <v>2145</v>
      </c>
      <c r="BF1566" s="6" t="s">
        <v>12994</v>
      </c>
    </row>
    <row r="1567" customFormat="false" ht="59.5" hidden="false" customHeight="false" outlineLevel="0" collapsed="false">
      <c r="A1567" s="26" t="s">
        <v>63</v>
      </c>
      <c r="B1567" s="27" t="s">
        <v>2129</v>
      </c>
      <c r="C1567" s="27" t="s">
        <v>2130</v>
      </c>
      <c r="D1567" s="27" t="s">
        <v>12995</v>
      </c>
      <c r="E1567" s="27" t="s">
        <v>12996</v>
      </c>
      <c r="F1567" s="27" t="s">
        <v>12997</v>
      </c>
      <c r="G1567" s="28"/>
      <c r="H1567" s="6" t="s">
        <v>63</v>
      </c>
      <c r="I1567" s="6" t="s">
        <v>62</v>
      </c>
      <c r="J1567" s="6" t="s">
        <v>63</v>
      </c>
      <c r="K1567" s="6" t="s">
        <v>63</v>
      </c>
      <c r="L1567" s="6" t="s">
        <v>64</v>
      </c>
      <c r="M1567" s="27" t="s">
        <v>4782</v>
      </c>
      <c r="N1567" s="27" t="s">
        <v>12998</v>
      </c>
      <c r="O1567" s="6" t="s">
        <v>264</v>
      </c>
      <c r="P1567" s="27" t="s">
        <v>255</v>
      </c>
      <c r="Q1567" s="6" t="s">
        <v>67</v>
      </c>
      <c r="R1567" s="6" t="s">
        <v>68</v>
      </c>
      <c r="S1567" s="28"/>
      <c r="T1567" s="6" t="s">
        <v>6138</v>
      </c>
      <c r="U1567" s="7" t="n">
        <v>6</v>
      </c>
      <c r="V1567" s="7" t="n">
        <v>6</v>
      </c>
      <c r="W1567" s="8" t="s">
        <v>12999</v>
      </c>
      <c r="X1567" s="8" t="s">
        <v>12999</v>
      </c>
      <c r="Y1567" s="8" t="s">
        <v>2208</v>
      </c>
      <c r="Z1567" s="8" t="s">
        <v>2208</v>
      </c>
      <c r="AA1567" s="7" t="n">
        <v>629</v>
      </c>
      <c r="AB1567" s="7" t="n">
        <v>547</v>
      </c>
      <c r="AC1567" s="7" t="n">
        <v>661</v>
      </c>
      <c r="AD1567" s="7" t="n">
        <v>3</v>
      </c>
      <c r="AE1567" s="7" t="n">
        <v>3</v>
      </c>
      <c r="AF1567" s="7" t="n">
        <v>34</v>
      </c>
      <c r="AG1567" s="7" t="n">
        <v>36</v>
      </c>
      <c r="AH1567" s="7" t="n">
        <v>14</v>
      </c>
      <c r="AI1567" s="7" t="n">
        <v>16</v>
      </c>
      <c r="AJ1567" s="7" t="n">
        <v>8</v>
      </c>
      <c r="AK1567" s="7" t="n">
        <v>8</v>
      </c>
      <c r="AL1567" s="7" t="n">
        <v>20</v>
      </c>
      <c r="AM1567" s="7" t="n">
        <v>21</v>
      </c>
      <c r="AN1567" s="7" t="n">
        <v>2</v>
      </c>
      <c r="AO1567" s="7" t="n">
        <v>2</v>
      </c>
      <c r="AP1567" s="7" t="n">
        <v>0</v>
      </c>
      <c r="AQ1567" s="7" t="n">
        <v>0</v>
      </c>
      <c r="AR1567" s="6" t="s">
        <v>63</v>
      </c>
      <c r="AS1567" s="6" t="s">
        <v>57</v>
      </c>
      <c r="AT1567" s="9" t="str">
        <f aca="false">HYPERLINK("http://catalog.hathitrust.org/Record/001917603","HathiTrust Record")</f>
        <v>HathiTrust Record</v>
      </c>
      <c r="AU1567" s="9" t="str">
        <f aca="false">HYPERLINK("https://creighton-primo.hosted.exlibrisgroup.com/primo-explore/search?tab=default_tab&amp;search_scope=EVERYTHING&amp;vid=01CRU&amp;lang=en_US&amp;offset=0&amp;query=any,contains,991000126809702656","Catalog Record")</f>
        <v>Catalog Record</v>
      </c>
      <c r="AV1567" s="9" t="str">
        <f aca="false">HYPERLINK("http://www.worldcat.org/oclc/52295","WorldCat Record")</f>
        <v>WorldCat Record</v>
      </c>
      <c r="AW1567" s="6" t="s">
        <v>13000</v>
      </c>
      <c r="AX1567" s="6" t="s">
        <v>13001</v>
      </c>
      <c r="AY1567" s="6" t="s">
        <v>13002</v>
      </c>
      <c r="AZ1567" s="6" t="s">
        <v>13002</v>
      </c>
      <c r="BA1567" s="6" t="s">
        <v>13003</v>
      </c>
      <c r="BB1567" s="28"/>
      <c r="BC1567" s="6" t="s">
        <v>13004</v>
      </c>
      <c r="BE1567" s="15" t="s">
        <v>2145</v>
      </c>
      <c r="BF1567" s="6" t="s">
        <v>13005</v>
      </c>
    </row>
    <row r="1568" customFormat="false" ht="128.5" hidden="false" customHeight="false" outlineLevel="0" collapsed="false">
      <c r="A1568" s="26" t="s">
        <v>63</v>
      </c>
      <c r="B1568" s="27" t="s">
        <v>2129</v>
      </c>
      <c r="C1568" s="27" t="s">
        <v>2130</v>
      </c>
      <c r="D1568" s="27" t="s">
        <v>13006</v>
      </c>
      <c r="E1568" s="27" t="s">
        <v>13007</v>
      </c>
      <c r="F1568" s="27" t="s">
        <v>13008</v>
      </c>
      <c r="G1568" s="28"/>
      <c r="H1568" s="6" t="s">
        <v>63</v>
      </c>
      <c r="I1568" s="6" t="s">
        <v>62</v>
      </c>
      <c r="J1568" s="6" t="s">
        <v>63</v>
      </c>
      <c r="K1568" s="6" t="s">
        <v>63</v>
      </c>
      <c r="L1568" s="6" t="s">
        <v>64</v>
      </c>
      <c r="M1568" s="27" t="s">
        <v>4782</v>
      </c>
      <c r="N1568" s="27" t="s">
        <v>13009</v>
      </c>
      <c r="O1568" s="6" t="s">
        <v>2975</v>
      </c>
      <c r="P1568" s="27" t="s">
        <v>13010</v>
      </c>
      <c r="Q1568" s="6" t="s">
        <v>67</v>
      </c>
      <c r="R1568" s="6" t="s">
        <v>1059</v>
      </c>
      <c r="S1568" s="27" t="s">
        <v>3145</v>
      </c>
      <c r="T1568" s="6" t="s">
        <v>6138</v>
      </c>
      <c r="U1568" s="7" t="n">
        <v>1</v>
      </c>
      <c r="V1568" s="7" t="n">
        <v>1</v>
      </c>
      <c r="W1568" s="8" t="s">
        <v>12976</v>
      </c>
      <c r="X1568" s="8" t="s">
        <v>12976</v>
      </c>
      <c r="Y1568" s="8" t="s">
        <v>2208</v>
      </c>
      <c r="Z1568" s="8" t="s">
        <v>2208</v>
      </c>
      <c r="AA1568" s="7" t="n">
        <v>799</v>
      </c>
      <c r="AB1568" s="7" t="n">
        <v>718</v>
      </c>
      <c r="AC1568" s="7" t="n">
        <v>724</v>
      </c>
      <c r="AD1568" s="7" t="n">
        <v>5</v>
      </c>
      <c r="AE1568" s="7" t="n">
        <v>5</v>
      </c>
      <c r="AF1568" s="7" t="n">
        <v>43</v>
      </c>
      <c r="AG1568" s="7" t="n">
        <v>43</v>
      </c>
      <c r="AH1568" s="7" t="n">
        <v>17</v>
      </c>
      <c r="AI1568" s="7" t="n">
        <v>17</v>
      </c>
      <c r="AJ1568" s="7" t="n">
        <v>9</v>
      </c>
      <c r="AK1568" s="7" t="n">
        <v>9</v>
      </c>
      <c r="AL1568" s="7" t="n">
        <v>24</v>
      </c>
      <c r="AM1568" s="7" t="n">
        <v>24</v>
      </c>
      <c r="AN1568" s="7" t="n">
        <v>4</v>
      </c>
      <c r="AO1568" s="7" t="n">
        <v>4</v>
      </c>
      <c r="AP1568" s="7" t="n">
        <v>0</v>
      </c>
      <c r="AQ1568" s="7" t="n">
        <v>0</v>
      </c>
      <c r="AR1568" s="6" t="s">
        <v>63</v>
      </c>
      <c r="AS1568" s="6" t="s">
        <v>57</v>
      </c>
      <c r="AT1568" s="9" t="str">
        <f aca="false">HYPERLINK("http://catalog.hathitrust.org/Record/001917607","HathiTrust Record")</f>
        <v>HathiTrust Record</v>
      </c>
      <c r="AU1568" s="9" t="str">
        <f aca="false">HYPERLINK("https://creighton-primo.hosted.exlibrisgroup.com/primo-explore/search?tab=default_tab&amp;search_scope=EVERYTHING&amp;vid=01CRU&amp;lang=en_US&amp;offset=0&amp;query=any,contains,991005436639702656","Catalog Record")</f>
        <v>Catalog Record</v>
      </c>
      <c r="AV1568" s="9" t="str">
        <f aca="false">HYPERLINK("http://www.worldcat.org/oclc/4598","WorldCat Record")</f>
        <v>WorldCat Record</v>
      </c>
      <c r="AW1568" s="6" t="s">
        <v>13011</v>
      </c>
      <c r="AX1568" s="6" t="s">
        <v>13012</v>
      </c>
      <c r="AY1568" s="6" t="s">
        <v>13013</v>
      </c>
      <c r="AZ1568" s="6" t="s">
        <v>13013</v>
      </c>
      <c r="BA1568" s="6" t="s">
        <v>13014</v>
      </c>
      <c r="BB1568" s="28"/>
      <c r="BC1568" s="6" t="s">
        <v>13015</v>
      </c>
      <c r="BE1568" s="15" t="s">
        <v>2145</v>
      </c>
      <c r="BF1568" s="6" t="s">
        <v>13016</v>
      </c>
    </row>
    <row r="1569" customFormat="false" ht="105.5" hidden="false" customHeight="false" outlineLevel="0" collapsed="false">
      <c r="A1569" s="26" t="s">
        <v>63</v>
      </c>
      <c r="B1569" s="27" t="s">
        <v>2129</v>
      </c>
      <c r="C1569" s="27" t="s">
        <v>2130</v>
      </c>
      <c r="D1569" s="27" t="s">
        <v>13017</v>
      </c>
      <c r="E1569" s="27" t="s">
        <v>13018</v>
      </c>
      <c r="F1569" s="27" t="s">
        <v>13019</v>
      </c>
      <c r="G1569" s="28"/>
      <c r="H1569" s="6" t="s">
        <v>63</v>
      </c>
      <c r="I1569" s="6" t="s">
        <v>62</v>
      </c>
      <c r="J1569" s="6" t="s">
        <v>63</v>
      </c>
      <c r="K1569" s="6" t="s">
        <v>63</v>
      </c>
      <c r="L1569" s="6" t="s">
        <v>64</v>
      </c>
      <c r="M1569" s="27" t="s">
        <v>13020</v>
      </c>
      <c r="N1569" s="27" t="s">
        <v>13021</v>
      </c>
      <c r="O1569" s="6" t="s">
        <v>66</v>
      </c>
      <c r="P1569" s="28"/>
      <c r="Q1569" s="6" t="s">
        <v>67</v>
      </c>
      <c r="R1569" s="6" t="s">
        <v>1108</v>
      </c>
      <c r="S1569" s="27" t="s">
        <v>13022</v>
      </c>
      <c r="T1569" s="6" t="s">
        <v>6138</v>
      </c>
      <c r="U1569" s="7" t="n">
        <v>2</v>
      </c>
      <c r="V1569" s="7" t="n">
        <v>2</v>
      </c>
      <c r="W1569" s="8" t="s">
        <v>12999</v>
      </c>
      <c r="X1569" s="8" t="s">
        <v>12999</v>
      </c>
      <c r="Y1569" s="8" t="s">
        <v>13023</v>
      </c>
      <c r="Z1569" s="8" t="s">
        <v>13023</v>
      </c>
      <c r="AA1569" s="7" t="n">
        <v>201</v>
      </c>
      <c r="AB1569" s="7" t="n">
        <v>144</v>
      </c>
      <c r="AC1569" s="7" t="n">
        <v>156</v>
      </c>
      <c r="AD1569" s="7" t="n">
        <v>3</v>
      </c>
      <c r="AE1569" s="7" t="n">
        <v>3</v>
      </c>
      <c r="AF1569" s="7" t="n">
        <v>14</v>
      </c>
      <c r="AG1569" s="7" t="n">
        <v>18</v>
      </c>
      <c r="AH1569" s="7" t="n">
        <v>4</v>
      </c>
      <c r="AI1569" s="7" t="n">
        <v>6</v>
      </c>
      <c r="AJ1569" s="7" t="n">
        <v>4</v>
      </c>
      <c r="AK1569" s="7" t="n">
        <v>4</v>
      </c>
      <c r="AL1569" s="7" t="n">
        <v>8</v>
      </c>
      <c r="AM1569" s="7" t="n">
        <v>11</v>
      </c>
      <c r="AN1569" s="7" t="n">
        <v>2</v>
      </c>
      <c r="AO1569" s="7" t="n">
        <v>2</v>
      </c>
      <c r="AP1569" s="7" t="n">
        <v>0</v>
      </c>
      <c r="AQ1569" s="7" t="n">
        <v>0</v>
      </c>
      <c r="AR1569" s="6" t="s">
        <v>63</v>
      </c>
      <c r="AS1569" s="6" t="s">
        <v>57</v>
      </c>
      <c r="AT1569" s="9" t="str">
        <f aca="false">HYPERLINK("http://catalog.hathitrust.org/Record/002726042","HathiTrust Record")</f>
        <v>HathiTrust Record</v>
      </c>
      <c r="AU1569" s="9" t="str">
        <f aca="false">HYPERLINK("https://creighton-primo.hosted.exlibrisgroup.com/primo-explore/search?tab=default_tab&amp;search_scope=EVERYTHING&amp;vid=01CRU&amp;lang=en_US&amp;offset=0&amp;query=any,contains,991002049689702656","Catalog Record")</f>
        <v>Catalog Record</v>
      </c>
      <c r="AV1569" s="9" t="str">
        <f aca="false">HYPERLINK("http://www.worldcat.org/oclc/26159876","WorldCat Record")</f>
        <v>WorldCat Record</v>
      </c>
      <c r="AW1569" s="6" t="s">
        <v>13024</v>
      </c>
      <c r="AX1569" s="6" t="s">
        <v>13025</v>
      </c>
      <c r="AY1569" s="6" t="s">
        <v>13026</v>
      </c>
      <c r="AZ1569" s="6" t="s">
        <v>13026</v>
      </c>
      <c r="BA1569" s="6" t="s">
        <v>13027</v>
      </c>
      <c r="BB1569" s="6" t="s">
        <v>13028</v>
      </c>
      <c r="BC1569" s="6" t="s">
        <v>13029</v>
      </c>
      <c r="BE1569" s="15" t="s">
        <v>2145</v>
      </c>
      <c r="BF1569" s="6" t="s">
        <v>13030</v>
      </c>
    </row>
    <row r="1570" customFormat="false" ht="140" hidden="false" customHeight="false" outlineLevel="0" collapsed="false">
      <c r="A1570" s="26" t="s">
        <v>63</v>
      </c>
      <c r="B1570" s="27" t="s">
        <v>2129</v>
      </c>
      <c r="C1570" s="27" t="s">
        <v>2130</v>
      </c>
      <c r="D1570" s="27" t="s">
        <v>13031</v>
      </c>
      <c r="E1570" s="27" t="s">
        <v>13032</v>
      </c>
      <c r="F1570" s="27" t="s">
        <v>13033</v>
      </c>
      <c r="G1570" s="28"/>
      <c r="H1570" s="6" t="s">
        <v>63</v>
      </c>
      <c r="I1570" s="6" t="s">
        <v>62</v>
      </c>
      <c r="J1570" s="6" t="s">
        <v>63</v>
      </c>
      <c r="K1570" s="6" t="s">
        <v>63</v>
      </c>
      <c r="L1570" s="6" t="s">
        <v>64</v>
      </c>
      <c r="M1570" s="27" t="s">
        <v>13034</v>
      </c>
      <c r="N1570" s="27" t="s">
        <v>13035</v>
      </c>
      <c r="O1570" s="6" t="s">
        <v>2411</v>
      </c>
      <c r="P1570" s="28"/>
      <c r="Q1570" s="6" t="s">
        <v>67</v>
      </c>
      <c r="R1570" s="6" t="s">
        <v>181</v>
      </c>
      <c r="S1570" s="28"/>
      <c r="T1570" s="6" t="s">
        <v>6138</v>
      </c>
      <c r="U1570" s="7" t="n">
        <v>2</v>
      </c>
      <c r="V1570" s="7" t="n">
        <v>2</v>
      </c>
      <c r="W1570" s="8" t="s">
        <v>13036</v>
      </c>
      <c r="X1570" s="8" t="s">
        <v>13036</v>
      </c>
      <c r="Y1570" s="8" t="s">
        <v>13037</v>
      </c>
      <c r="Z1570" s="8" t="s">
        <v>13037</v>
      </c>
      <c r="AA1570" s="7" t="n">
        <v>476</v>
      </c>
      <c r="AB1570" s="7" t="n">
        <v>373</v>
      </c>
      <c r="AC1570" s="7" t="n">
        <v>538</v>
      </c>
      <c r="AD1570" s="7" t="n">
        <v>3</v>
      </c>
      <c r="AE1570" s="7" t="n">
        <v>3</v>
      </c>
      <c r="AF1570" s="7" t="n">
        <v>28</v>
      </c>
      <c r="AG1570" s="7" t="n">
        <v>36</v>
      </c>
      <c r="AH1570" s="7" t="n">
        <v>9</v>
      </c>
      <c r="AI1570" s="7" t="n">
        <v>15</v>
      </c>
      <c r="AJ1570" s="7" t="n">
        <v>8</v>
      </c>
      <c r="AK1570" s="7" t="n">
        <v>10</v>
      </c>
      <c r="AL1570" s="7" t="n">
        <v>15</v>
      </c>
      <c r="AM1570" s="7" t="n">
        <v>17</v>
      </c>
      <c r="AN1570" s="7" t="n">
        <v>2</v>
      </c>
      <c r="AO1570" s="7" t="n">
        <v>2</v>
      </c>
      <c r="AP1570" s="7" t="n">
        <v>1</v>
      </c>
      <c r="AQ1570" s="7" t="n">
        <v>1</v>
      </c>
      <c r="AR1570" s="6" t="s">
        <v>63</v>
      </c>
      <c r="AS1570" s="6" t="s">
        <v>63</v>
      </c>
      <c r="AT1570" s="28"/>
      <c r="AU1570" s="9" t="str">
        <f aca="false">HYPERLINK("https://creighton-primo.hosted.exlibrisgroup.com/primo-explore/search?tab=default_tab&amp;search_scope=EVERYTHING&amp;vid=01CRU&amp;lang=en_US&amp;offset=0&amp;query=any,contains,991001344619702656","Catalog Record")</f>
        <v>Catalog Record</v>
      </c>
      <c r="AV1570" s="9" t="str">
        <f aca="false">HYPERLINK("http://www.worldcat.org/oclc/18412065","WorldCat Record")</f>
        <v>WorldCat Record</v>
      </c>
      <c r="AW1570" s="6" t="s">
        <v>13038</v>
      </c>
      <c r="AX1570" s="6" t="s">
        <v>13039</v>
      </c>
      <c r="AY1570" s="6" t="s">
        <v>13040</v>
      </c>
      <c r="AZ1570" s="6" t="s">
        <v>13040</v>
      </c>
      <c r="BA1570" s="6" t="s">
        <v>13041</v>
      </c>
      <c r="BB1570" s="6" t="s">
        <v>13042</v>
      </c>
      <c r="BC1570" s="6" t="s">
        <v>13043</v>
      </c>
      <c r="BE1570" s="15" t="s">
        <v>2145</v>
      </c>
      <c r="BF1570" s="6" t="s">
        <v>13044</v>
      </c>
    </row>
    <row r="1571" customFormat="false" ht="186" hidden="false" customHeight="false" outlineLevel="0" collapsed="false">
      <c r="A1571" s="26" t="s">
        <v>63</v>
      </c>
      <c r="B1571" s="27" t="s">
        <v>2129</v>
      </c>
      <c r="C1571" s="27" t="s">
        <v>2130</v>
      </c>
      <c r="D1571" s="27" t="s">
        <v>13045</v>
      </c>
      <c r="E1571" s="27" t="s">
        <v>13046</v>
      </c>
      <c r="F1571" s="27" t="s">
        <v>13047</v>
      </c>
      <c r="G1571" s="28"/>
      <c r="H1571" s="6" t="s">
        <v>63</v>
      </c>
      <c r="I1571" s="6" t="s">
        <v>62</v>
      </c>
      <c r="J1571" s="6" t="s">
        <v>63</v>
      </c>
      <c r="K1571" s="6" t="s">
        <v>63</v>
      </c>
      <c r="L1571" s="6" t="s">
        <v>64</v>
      </c>
      <c r="M1571" s="27" t="s">
        <v>13048</v>
      </c>
      <c r="N1571" s="27" t="s">
        <v>13049</v>
      </c>
      <c r="O1571" s="6" t="s">
        <v>246</v>
      </c>
      <c r="P1571" s="28"/>
      <c r="Q1571" s="6" t="s">
        <v>67</v>
      </c>
      <c r="R1571" s="6" t="s">
        <v>1059</v>
      </c>
      <c r="S1571" s="27" t="s">
        <v>13050</v>
      </c>
      <c r="T1571" s="6" t="s">
        <v>6138</v>
      </c>
      <c r="U1571" s="7" t="n">
        <v>3</v>
      </c>
      <c r="V1571" s="7" t="n">
        <v>3</v>
      </c>
      <c r="W1571" s="8" t="s">
        <v>13051</v>
      </c>
      <c r="X1571" s="8" t="s">
        <v>13051</v>
      </c>
      <c r="Y1571" s="8" t="s">
        <v>9498</v>
      </c>
      <c r="Z1571" s="8" t="s">
        <v>9498</v>
      </c>
      <c r="AA1571" s="7" t="n">
        <v>260</v>
      </c>
      <c r="AB1571" s="7" t="n">
        <v>214</v>
      </c>
      <c r="AC1571" s="7" t="n">
        <v>216</v>
      </c>
      <c r="AD1571" s="7" t="n">
        <v>2</v>
      </c>
      <c r="AE1571" s="7" t="n">
        <v>2</v>
      </c>
      <c r="AF1571" s="7" t="n">
        <v>18</v>
      </c>
      <c r="AG1571" s="7" t="n">
        <v>18</v>
      </c>
      <c r="AH1571" s="7" t="n">
        <v>4</v>
      </c>
      <c r="AI1571" s="7" t="n">
        <v>4</v>
      </c>
      <c r="AJ1571" s="7" t="n">
        <v>6</v>
      </c>
      <c r="AK1571" s="7" t="n">
        <v>6</v>
      </c>
      <c r="AL1571" s="7" t="n">
        <v>14</v>
      </c>
      <c r="AM1571" s="7" t="n">
        <v>14</v>
      </c>
      <c r="AN1571" s="7" t="n">
        <v>0</v>
      </c>
      <c r="AO1571" s="7" t="n">
        <v>0</v>
      </c>
      <c r="AP1571" s="7" t="n">
        <v>0</v>
      </c>
      <c r="AQ1571" s="7" t="n">
        <v>0</v>
      </c>
      <c r="AR1571" s="6" t="s">
        <v>63</v>
      </c>
      <c r="AS1571" s="6" t="s">
        <v>57</v>
      </c>
      <c r="AT1571" s="9" t="str">
        <f aca="false">HYPERLINK("http://catalog.hathitrust.org/Record/009913954","HathiTrust Record")</f>
        <v>HathiTrust Record</v>
      </c>
      <c r="AU1571" s="9" t="str">
        <f aca="false">HYPERLINK("https://creighton-primo.hosted.exlibrisgroup.com/primo-explore/search?tab=default_tab&amp;search_scope=EVERYTHING&amp;vid=01CRU&amp;lang=en_US&amp;offset=0&amp;query=any,contains,991004982429702656","Catalog Record")</f>
        <v>Catalog Record</v>
      </c>
      <c r="AV1571" s="9" t="str">
        <f aca="false">HYPERLINK("http://www.worldcat.org/oclc/6425215","WorldCat Record")</f>
        <v>WorldCat Record</v>
      </c>
      <c r="AW1571" s="6" t="s">
        <v>13052</v>
      </c>
      <c r="AX1571" s="6" t="s">
        <v>13053</v>
      </c>
      <c r="AY1571" s="6" t="s">
        <v>13054</v>
      </c>
      <c r="AZ1571" s="6" t="s">
        <v>13054</v>
      </c>
      <c r="BA1571" s="6" t="s">
        <v>13055</v>
      </c>
      <c r="BB1571" s="28"/>
      <c r="BC1571" s="6" t="s">
        <v>13056</v>
      </c>
      <c r="BE1571" s="15" t="s">
        <v>2145</v>
      </c>
      <c r="BF1571" s="6" t="s">
        <v>13057</v>
      </c>
    </row>
    <row r="1572" customFormat="false" ht="128.5" hidden="false" customHeight="false" outlineLevel="0" collapsed="false">
      <c r="A1572" s="26" t="s">
        <v>63</v>
      </c>
      <c r="B1572" s="27" t="s">
        <v>2129</v>
      </c>
      <c r="C1572" s="27" t="s">
        <v>2130</v>
      </c>
      <c r="D1572" s="27" t="s">
        <v>13058</v>
      </c>
      <c r="E1572" s="27" t="s">
        <v>13059</v>
      </c>
      <c r="F1572" s="27" t="s">
        <v>13060</v>
      </c>
      <c r="G1572" s="28"/>
      <c r="H1572" s="6" t="s">
        <v>63</v>
      </c>
      <c r="I1572" s="6" t="s">
        <v>62</v>
      </c>
      <c r="J1572" s="6" t="s">
        <v>63</v>
      </c>
      <c r="K1572" s="6" t="s">
        <v>63</v>
      </c>
      <c r="L1572" s="6" t="s">
        <v>64</v>
      </c>
      <c r="M1572" s="27" t="s">
        <v>13061</v>
      </c>
      <c r="N1572" s="27" t="s">
        <v>13062</v>
      </c>
      <c r="O1572" s="6" t="s">
        <v>3697</v>
      </c>
      <c r="P1572" s="28"/>
      <c r="Q1572" s="6" t="s">
        <v>67</v>
      </c>
      <c r="R1572" s="6" t="s">
        <v>1059</v>
      </c>
      <c r="S1572" s="28"/>
      <c r="T1572" s="6" t="s">
        <v>6138</v>
      </c>
      <c r="U1572" s="7" t="n">
        <v>4</v>
      </c>
      <c r="V1572" s="7" t="n">
        <v>4</v>
      </c>
      <c r="W1572" s="8" t="s">
        <v>13063</v>
      </c>
      <c r="X1572" s="8" t="s">
        <v>13063</v>
      </c>
      <c r="Y1572" s="8" t="s">
        <v>13064</v>
      </c>
      <c r="Z1572" s="8" t="s">
        <v>13064</v>
      </c>
      <c r="AA1572" s="7" t="n">
        <v>541</v>
      </c>
      <c r="AB1572" s="7" t="n">
        <v>428</v>
      </c>
      <c r="AC1572" s="7" t="n">
        <v>434</v>
      </c>
      <c r="AD1572" s="7" t="n">
        <v>2</v>
      </c>
      <c r="AE1572" s="7" t="n">
        <v>2</v>
      </c>
      <c r="AF1572" s="7" t="n">
        <v>34</v>
      </c>
      <c r="AG1572" s="7" t="n">
        <v>34</v>
      </c>
      <c r="AH1572" s="7" t="n">
        <v>16</v>
      </c>
      <c r="AI1572" s="7" t="n">
        <v>16</v>
      </c>
      <c r="AJ1572" s="7" t="n">
        <v>9</v>
      </c>
      <c r="AK1572" s="7" t="n">
        <v>9</v>
      </c>
      <c r="AL1572" s="7" t="n">
        <v>18</v>
      </c>
      <c r="AM1572" s="7" t="n">
        <v>18</v>
      </c>
      <c r="AN1572" s="7" t="n">
        <v>1</v>
      </c>
      <c r="AO1572" s="7" t="n">
        <v>1</v>
      </c>
      <c r="AP1572" s="7" t="n">
        <v>1</v>
      </c>
      <c r="AQ1572" s="7" t="n">
        <v>1</v>
      </c>
      <c r="AR1572" s="6" t="s">
        <v>63</v>
      </c>
      <c r="AS1572" s="6" t="s">
        <v>57</v>
      </c>
      <c r="AT1572" s="9" t="str">
        <f aca="false">HYPERLINK("http://catalog.hathitrust.org/Record/001952513","HathiTrust Record")</f>
        <v>HathiTrust Record</v>
      </c>
      <c r="AU1572" s="9" t="str">
        <f aca="false">HYPERLINK("https://creighton-primo.hosted.exlibrisgroup.com/primo-explore/search?tab=default_tab&amp;search_scope=EVERYTHING&amp;vid=01CRU&amp;lang=en_US&amp;offset=0&amp;query=any,contains,991001584219702656","Catalog Record")</f>
        <v>Catalog Record</v>
      </c>
      <c r="AV1572" s="9" t="str">
        <f aca="false">HYPERLINK("http://www.worldcat.org/oclc/20522613","WorldCat Record")</f>
        <v>WorldCat Record</v>
      </c>
      <c r="AW1572" s="6" t="s">
        <v>13065</v>
      </c>
      <c r="AX1572" s="6" t="s">
        <v>13066</v>
      </c>
      <c r="AY1572" s="6" t="s">
        <v>13067</v>
      </c>
      <c r="AZ1572" s="6" t="s">
        <v>13067</v>
      </c>
      <c r="BA1572" s="6" t="s">
        <v>13068</v>
      </c>
      <c r="BB1572" s="6" t="s">
        <v>13069</v>
      </c>
      <c r="BC1572" s="6" t="s">
        <v>13070</v>
      </c>
      <c r="BE1572" s="15" t="s">
        <v>2145</v>
      </c>
      <c r="BF1572" s="6" t="s">
        <v>13071</v>
      </c>
    </row>
    <row r="1573" customFormat="false" ht="105.5" hidden="false" customHeight="false" outlineLevel="0" collapsed="false">
      <c r="A1573" s="26" t="s">
        <v>63</v>
      </c>
      <c r="B1573" s="27" t="s">
        <v>2129</v>
      </c>
      <c r="C1573" s="27" t="s">
        <v>2130</v>
      </c>
      <c r="D1573" s="27" t="s">
        <v>13072</v>
      </c>
      <c r="E1573" s="27" t="s">
        <v>13073</v>
      </c>
      <c r="F1573" s="27" t="s">
        <v>13074</v>
      </c>
      <c r="G1573" s="28"/>
      <c r="H1573" s="6" t="s">
        <v>63</v>
      </c>
      <c r="I1573" s="6" t="s">
        <v>62</v>
      </c>
      <c r="J1573" s="6" t="s">
        <v>63</v>
      </c>
      <c r="K1573" s="6" t="s">
        <v>63</v>
      </c>
      <c r="L1573" s="6" t="s">
        <v>64</v>
      </c>
      <c r="M1573" s="27" t="s">
        <v>13075</v>
      </c>
      <c r="N1573" s="27" t="s">
        <v>13076</v>
      </c>
      <c r="O1573" s="6" t="s">
        <v>2343</v>
      </c>
      <c r="P1573" s="28"/>
      <c r="Q1573" s="6" t="s">
        <v>67</v>
      </c>
      <c r="R1573" s="6" t="s">
        <v>1059</v>
      </c>
      <c r="S1573" s="28"/>
      <c r="T1573" s="6" t="s">
        <v>6138</v>
      </c>
      <c r="U1573" s="7" t="n">
        <v>3</v>
      </c>
      <c r="V1573" s="7" t="n">
        <v>3</v>
      </c>
      <c r="W1573" s="8" t="s">
        <v>13063</v>
      </c>
      <c r="X1573" s="8" t="s">
        <v>13063</v>
      </c>
      <c r="Y1573" s="8" t="s">
        <v>9498</v>
      </c>
      <c r="Z1573" s="8" t="s">
        <v>9498</v>
      </c>
      <c r="AA1573" s="7" t="n">
        <v>471</v>
      </c>
      <c r="AB1573" s="7" t="n">
        <v>369</v>
      </c>
      <c r="AC1573" s="7" t="n">
        <v>369</v>
      </c>
      <c r="AD1573" s="7" t="n">
        <v>4</v>
      </c>
      <c r="AE1573" s="7" t="n">
        <v>4</v>
      </c>
      <c r="AF1573" s="7" t="n">
        <v>25</v>
      </c>
      <c r="AG1573" s="7" t="n">
        <v>25</v>
      </c>
      <c r="AH1573" s="7" t="n">
        <v>9</v>
      </c>
      <c r="AI1573" s="7" t="n">
        <v>9</v>
      </c>
      <c r="AJ1573" s="7" t="n">
        <v>7</v>
      </c>
      <c r="AK1573" s="7" t="n">
        <v>7</v>
      </c>
      <c r="AL1573" s="7" t="n">
        <v>15</v>
      </c>
      <c r="AM1573" s="7" t="n">
        <v>15</v>
      </c>
      <c r="AN1573" s="7" t="n">
        <v>2</v>
      </c>
      <c r="AO1573" s="7" t="n">
        <v>2</v>
      </c>
      <c r="AP1573" s="7" t="n">
        <v>0</v>
      </c>
      <c r="AQ1573" s="7" t="n">
        <v>0</v>
      </c>
      <c r="AR1573" s="6" t="s">
        <v>63</v>
      </c>
      <c r="AS1573" s="6" t="s">
        <v>63</v>
      </c>
      <c r="AT1573" s="28"/>
      <c r="AU1573" s="9" t="str">
        <f aca="false">HYPERLINK("https://creighton-primo.hosted.exlibrisgroup.com/primo-explore/search?tab=default_tab&amp;search_scope=EVERYTHING&amp;vid=01CRU&amp;lang=en_US&amp;offset=0&amp;query=any,contains,991005128089702656","Catalog Record")</f>
        <v>Catalog Record</v>
      </c>
      <c r="AV1573" s="9" t="str">
        <f aca="false">HYPERLINK("http://www.worldcat.org/oclc/7554879","WorldCat Record")</f>
        <v>WorldCat Record</v>
      </c>
      <c r="AW1573" s="6" t="s">
        <v>13077</v>
      </c>
      <c r="AX1573" s="6" t="s">
        <v>13078</v>
      </c>
      <c r="AY1573" s="6" t="s">
        <v>13079</v>
      </c>
      <c r="AZ1573" s="6" t="s">
        <v>13079</v>
      </c>
      <c r="BA1573" s="6" t="s">
        <v>13080</v>
      </c>
      <c r="BB1573" s="6" t="s">
        <v>13081</v>
      </c>
      <c r="BC1573" s="6" t="s">
        <v>13082</v>
      </c>
      <c r="BE1573" s="15" t="s">
        <v>2145</v>
      </c>
      <c r="BF1573" s="6" t="s">
        <v>13083</v>
      </c>
    </row>
    <row r="1574" customFormat="false" ht="117" hidden="false" customHeight="false" outlineLevel="0" collapsed="false">
      <c r="A1574" s="26" t="s">
        <v>63</v>
      </c>
      <c r="B1574" s="27" t="s">
        <v>2129</v>
      </c>
      <c r="C1574" s="27" t="s">
        <v>2130</v>
      </c>
      <c r="D1574" s="27" t="s">
        <v>13084</v>
      </c>
      <c r="E1574" s="27" t="s">
        <v>13085</v>
      </c>
      <c r="F1574" s="27" t="s">
        <v>13086</v>
      </c>
      <c r="G1574" s="28"/>
      <c r="H1574" s="6" t="s">
        <v>63</v>
      </c>
      <c r="I1574" s="6" t="s">
        <v>62</v>
      </c>
      <c r="J1574" s="6" t="s">
        <v>63</v>
      </c>
      <c r="K1574" s="6" t="s">
        <v>63</v>
      </c>
      <c r="L1574" s="6" t="s">
        <v>64</v>
      </c>
      <c r="M1574" s="28"/>
      <c r="N1574" s="27" t="s">
        <v>13087</v>
      </c>
      <c r="O1574" s="6" t="s">
        <v>108</v>
      </c>
      <c r="P1574" s="28"/>
      <c r="Q1574" s="6" t="s">
        <v>67</v>
      </c>
      <c r="R1574" s="6" t="s">
        <v>181</v>
      </c>
      <c r="S1574" s="27" t="s">
        <v>13088</v>
      </c>
      <c r="T1574" s="6" t="s">
        <v>6138</v>
      </c>
      <c r="U1574" s="7" t="n">
        <v>1</v>
      </c>
      <c r="V1574" s="7" t="n">
        <v>1</v>
      </c>
      <c r="W1574" s="8" t="s">
        <v>13089</v>
      </c>
      <c r="X1574" s="8" t="s">
        <v>13089</v>
      </c>
      <c r="Y1574" s="8" t="s">
        <v>2208</v>
      </c>
      <c r="Z1574" s="8" t="s">
        <v>2208</v>
      </c>
      <c r="AA1574" s="7" t="n">
        <v>909</v>
      </c>
      <c r="AB1574" s="7" t="n">
        <v>742</v>
      </c>
      <c r="AC1574" s="7" t="n">
        <v>744</v>
      </c>
      <c r="AD1574" s="7" t="n">
        <v>7</v>
      </c>
      <c r="AE1574" s="7" t="n">
        <v>7</v>
      </c>
      <c r="AF1574" s="7" t="n">
        <v>43</v>
      </c>
      <c r="AG1574" s="7" t="n">
        <v>43</v>
      </c>
      <c r="AH1574" s="7" t="n">
        <v>17</v>
      </c>
      <c r="AI1574" s="7" t="n">
        <v>17</v>
      </c>
      <c r="AJ1574" s="7" t="n">
        <v>10</v>
      </c>
      <c r="AK1574" s="7" t="n">
        <v>10</v>
      </c>
      <c r="AL1574" s="7" t="n">
        <v>24</v>
      </c>
      <c r="AM1574" s="7" t="n">
        <v>24</v>
      </c>
      <c r="AN1574" s="7" t="n">
        <v>5</v>
      </c>
      <c r="AO1574" s="7" t="n">
        <v>5</v>
      </c>
      <c r="AP1574" s="7" t="n">
        <v>0</v>
      </c>
      <c r="AQ1574" s="7" t="n">
        <v>0</v>
      </c>
      <c r="AR1574" s="6" t="s">
        <v>63</v>
      </c>
      <c r="AS1574" s="6" t="s">
        <v>63</v>
      </c>
      <c r="AT1574" s="28"/>
      <c r="AU1574" s="9" t="str">
        <f aca="false">HYPERLINK("https://creighton-primo.hosted.exlibrisgroup.com/primo-explore/search?tab=default_tab&amp;search_scope=EVERYTHING&amp;vid=01CRU&amp;lang=en_US&amp;offset=0&amp;query=any,contains,991004376969702656","Catalog Record")</f>
        <v>Catalog Record</v>
      </c>
      <c r="AV1574" s="9" t="str">
        <f aca="false">HYPERLINK("http://www.worldcat.org/oclc/3205476","WorldCat Record")</f>
        <v>WorldCat Record</v>
      </c>
      <c r="AW1574" s="6" t="s">
        <v>13090</v>
      </c>
      <c r="AX1574" s="6" t="s">
        <v>13091</v>
      </c>
      <c r="AY1574" s="6" t="s">
        <v>13092</v>
      </c>
      <c r="AZ1574" s="6" t="s">
        <v>13092</v>
      </c>
      <c r="BA1574" s="6" t="s">
        <v>13093</v>
      </c>
      <c r="BB1574" s="6" t="s">
        <v>13094</v>
      </c>
      <c r="BC1574" s="6" t="s">
        <v>13095</v>
      </c>
      <c r="BE1574" s="15" t="s">
        <v>2145</v>
      </c>
      <c r="BF1574" s="6" t="s">
        <v>13096</v>
      </c>
    </row>
    <row r="1575" customFormat="false" ht="105.5" hidden="false" customHeight="false" outlineLevel="0" collapsed="false">
      <c r="A1575" s="26" t="s">
        <v>63</v>
      </c>
      <c r="B1575" s="27" t="s">
        <v>2129</v>
      </c>
      <c r="C1575" s="27" t="s">
        <v>2130</v>
      </c>
      <c r="D1575" s="27" t="s">
        <v>13097</v>
      </c>
      <c r="E1575" s="27" t="s">
        <v>13098</v>
      </c>
      <c r="F1575" s="27" t="s">
        <v>13099</v>
      </c>
      <c r="G1575" s="28"/>
      <c r="H1575" s="6" t="s">
        <v>63</v>
      </c>
      <c r="I1575" s="6" t="s">
        <v>62</v>
      </c>
      <c r="J1575" s="6" t="s">
        <v>63</v>
      </c>
      <c r="K1575" s="6" t="s">
        <v>63</v>
      </c>
      <c r="L1575" s="6" t="s">
        <v>64</v>
      </c>
      <c r="M1575" s="28"/>
      <c r="N1575" s="27" t="s">
        <v>13100</v>
      </c>
      <c r="O1575" s="6" t="s">
        <v>2693</v>
      </c>
      <c r="P1575" s="28"/>
      <c r="Q1575" s="6" t="s">
        <v>67</v>
      </c>
      <c r="R1575" s="6" t="s">
        <v>1059</v>
      </c>
      <c r="S1575" s="28"/>
      <c r="T1575" s="6" t="s">
        <v>6138</v>
      </c>
      <c r="U1575" s="7" t="n">
        <v>3</v>
      </c>
      <c r="V1575" s="7" t="n">
        <v>3</v>
      </c>
      <c r="W1575" s="8" t="s">
        <v>13063</v>
      </c>
      <c r="X1575" s="8" t="s">
        <v>13063</v>
      </c>
      <c r="Y1575" s="8" t="s">
        <v>2208</v>
      </c>
      <c r="Z1575" s="8" t="s">
        <v>2208</v>
      </c>
      <c r="AA1575" s="7" t="n">
        <v>617</v>
      </c>
      <c r="AB1575" s="7" t="n">
        <v>543</v>
      </c>
      <c r="AC1575" s="7" t="n">
        <v>545</v>
      </c>
      <c r="AD1575" s="7" t="n">
        <v>4</v>
      </c>
      <c r="AE1575" s="7" t="n">
        <v>4</v>
      </c>
      <c r="AF1575" s="7" t="n">
        <v>34</v>
      </c>
      <c r="AG1575" s="7" t="n">
        <v>34</v>
      </c>
      <c r="AH1575" s="7" t="n">
        <v>11</v>
      </c>
      <c r="AI1575" s="7" t="n">
        <v>11</v>
      </c>
      <c r="AJ1575" s="7" t="n">
        <v>9</v>
      </c>
      <c r="AK1575" s="7" t="n">
        <v>9</v>
      </c>
      <c r="AL1575" s="7" t="n">
        <v>22</v>
      </c>
      <c r="AM1575" s="7" t="n">
        <v>22</v>
      </c>
      <c r="AN1575" s="7" t="n">
        <v>3</v>
      </c>
      <c r="AO1575" s="7" t="n">
        <v>3</v>
      </c>
      <c r="AP1575" s="7" t="n">
        <v>0</v>
      </c>
      <c r="AQ1575" s="7" t="n">
        <v>0</v>
      </c>
      <c r="AR1575" s="6" t="s">
        <v>63</v>
      </c>
      <c r="AS1575" s="6" t="s">
        <v>63</v>
      </c>
      <c r="AT1575" s="28"/>
      <c r="AU1575" s="9" t="str">
        <f aca="false">HYPERLINK("https://creighton-primo.hosted.exlibrisgroup.com/primo-explore/search?tab=default_tab&amp;search_scope=EVERYTHING&amp;vid=01CRU&amp;lang=en_US&amp;offset=0&amp;query=any,contains,991003184259702656","Catalog Record")</f>
        <v>Catalog Record</v>
      </c>
      <c r="AV1575" s="9" t="str">
        <f aca="false">HYPERLINK("http://www.worldcat.org/oclc/712470","WorldCat Record")</f>
        <v>WorldCat Record</v>
      </c>
      <c r="AW1575" s="6" t="s">
        <v>13101</v>
      </c>
      <c r="AX1575" s="6" t="s">
        <v>13102</v>
      </c>
      <c r="AY1575" s="6" t="s">
        <v>13103</v>
      </c>
      <c r="AZ1575" s="6" t="s">
        <v>13103</v>
      </c>
      <c r="BA1575" s="6" t="s">
        <v>13104</v>
      </c>
      <c r="BB1575" s="28"/>
      <c r="BC1575" s="6" t="s">
        <v>13105</v>
      </c>
      <c r="BE1575" s="15" t="s">
        <v>2145</v>
      </c>
      <c r="BF1575" s="6" t="s">
        <v>13106</v>
      </c>
    </row>
    <row r="1576" customFormat="false" ht="94" hidden="false" customHeight="false" outlineLevel="0" collapsed="false">
      <c r="A1576" s="26" t="s">
        <v>63</v>
      </c>
      <c r="B1576" s="27" t="s">
        <v>2129</v>
      </c>
      <c r="C1576" s="27" t="s">
        <v>2130</v>
      </c>
      <c r="D1576" s="27" t="s">
        <v>13107</v>
      </c>
      <c r="E1576" s="27" t="s">
        <v>13108</v>
      </c>
      <c r="F1576" s="27" t="s">
        <v>13109</v>
      </c>
      <c r="G1576" s="28"/>
      <c r="H1576" s="6" t="s">
        <v>63</v>
      </c>
      <c r="I1576" s="6" t="s">
        <v>62</v>
      </c>
      <c r="J1576" s="6" t="s">
        <v>63</v>
      </c>
      <c r="K1576" s="6" t="s">
        <v>63</v>
      </c>
      <c r="L1576" s="6" t="s">
        <v>64</v>
      </c>
      <c r="M1576" s="28"/>
      <c r="N1576" s="27" t="s">
        <v>13110</v>
      </c>
      <c r="O1576" s="6" t="s">
        <v>2343</v>
      </c>
      <c r="P1576" s="28"/>
      <c r="Q1576" s="6" t="s">
        <v>67</v>
      </c>
      <c r="R1576" s="6" t="s">
        <v>1059</v>
      </c>
      <c r="S1576" s="28"/>
      <c r="T1576" s="6" t="s">
        <v>6138</v>
      </c>
      <c r="U1576" s="7" t="n">
        <v>4</v>
      </c>
      <c r="V1576" s="7" t="n">
        <v>4</v>
      </c>
      <c r="W1576" s="8" t="s">
        <v>13111</v>
      </c>
      <c r="X1576" s="8" t="s">
        <v>13111</v>
      </c>
      <c r="Y1576" s="8" t="s">
        <v>9498</v>
      </c>
      <c r="Z1576" s="8" t="s">
        <v>9498</v>
      </c>
      <c r="AA1576" s="7" t="n">
        <v>512</v>
      </c>
      <c r="AB1576" s="7" t="n">
        <v>432</v>
      </c>
      <c r="AC1576" s="7" t="n">
        <v>492</v>
      </c>
      <c r="AD1576" s="7" t="n">
        <v>6</v>
      </c>
      <c r="AE1576" s="7" t="n">
        <v>6</v>
      </c>
      <c r="AF1576" s="7" t="n">
        <v>30</v>
      </c>
      <c r="AG1576" s="7" t="n">
        <v>30</v>
      </c>
      <c r="AH1576" s="7" t="n">
        <v>9</v>
      </c>
      <c r="AI1576" s="7" t="n">
        <v>9</v>
      </c>
      <c r="AJ1576" s="7" t="n">
        <v>10</v>
      </c>
      <c r="AK1576" s="7" t="n">
        <v>10</v>
      </c>
      <c r="AL1576" s="7" t="n">
        <v>16</v>
      </c>
      <c r="AM1576" s="7" t="n">
        <v>16</v>
      </c>
      <c r="AN1576" s="7" t="n">
        <v>4</v>
      </c>
      <c r="AO1576" s="7" t="n">
        <v>4</v>
      </c>
      <c r="AP1576" s="7" t="n">
        <v>0</v>
      </c>
      <c r="AQ1576" s="7" t="n">
        <v>0</v>
      </c>
      <c r="AR1576" s="6" t="s">
        <v>63</v>
      </c>
      <c r="AS1576" s="6" t="s">
        <v>57</v>
      </c>
      <c r="AT1576" s="9" t="str">
        <f aca="false">HYPERLINK("http://catalog.hathitrust.org/Record/000762989","HathiTrust Record")</f>
        <v>HathiTrust Record</v>
      </c>
      <c r="AU1576" s="9" t="str">
        <f aca="false">HYPERLINK("https://creighton-primo.hosted.exlibrisgroup.com/primo-explore/search?tab=default_tab&amp;search_scope=EVERYTHING&amp;vid=01CRU&amp;lang=en_US&amp;offset=0&amp;query=any,contains,991005222529702656","Catalog Record")</f>
        <v>Catalog Record</v>
      </c>
      <c r="AV1576" s="9" t="str">
        <f aca="false">HYPERLINK("http://www.worldcat.org/oclc/8242651","WorldCat Record")</f>
        <v>WorldCat Record</v>
      </c>
      <c r="AW1576" s="6" t="s">
        <v>13112</v>
      </c>
      <c r="AX1576" s="6" t="s">
        <v>13113</v>
      </c>
      <c r="AY1576" s="6" t="s">
        <v>13114</v>
      </c>
      <c r="AZ1576" s="6" t="s">
        <v>13114</v>
      </c>
      <c r="BA1576" s="6" t="s">
        <v>13115</v>
      </c>
      <c r="BB1576" s="6" t="s">
        <v>13116</v>
      </c>
      <c r="BC1576" s="6" t="s">
        <v>13117</v>
      </c>
      <c r="BE1576" s="15" t="s">
        <v>2145</v>
      </c>
      <c r="BF1576" s="6" t="s">
        <v>13118</v>
      </c>
    </row>
    <row r="1577" customFormat="false" ht="209" hidden="false" customHeight="false" outlineLevel="0" collapsed="false">
      <c r="A1577" s="26" t="s">
        <v>63</v>
      </c>
      <c r="B1577" s="27" t="s">
        <v>2129</v>
      </c>
      <c r="C1577" s="27" t="s">
        <v>2130</v>
      </c>
      <c r="D1577" s="27" t="s">
        <v>13119</v>
      </c>
      <c r="E1577" s="27" t="s">
        <v>13120</v>
      </c>
      <c r="F1577" s="27" t="s">
        <v>13121</v>
      </c>
      <c r="G1577" s="28"/>
      <c r="H1577" s="6" t="s">
        <v>63</v>
      </c>
      <c r="I1577" s="6" t="s">
        <v>62</v>
      </c>
      <c r="J1577" s="6" t="s">
        <v>63</v>
      </c>
      <c r="K1577" s="6" t="s">
        <v>63</v>
      </c>
      <c r="L1577" s="6" t="s">
        <v>64</v>
      </c>
      <c r="M1577" s="27" t="s">
        <v>13122</v>
      </c>
      <c r="N1577" s="27" t="s">
        <v>13123</v>
      </c>
      <c r="O1577" s="6" t="s">
        <v>2315</v>
      </c>
      <c r="P1577" s="28"/>
      <c r="Q1577" s="6" t="s">
        <v>67</v>
      </c>
      <c r="R1577" s="6" t="s">
        <v>802</v>
      </c>
      <c r="S1577" s="27" t="s">
        <v>13124</v>
      </c>
      <c r="T1577" s="6" t="s">
        <v>6138</v>
      </c>
      <c r="U1577" s="7" t="n">
        <v>6</v>
      </c>
      <c r="V1577" s="7" t="n">
        <v>6</v>
      </c>
      <c r="W1577" s="8" t="s">
        <v>10068</v>
      </c>
      <c r="X1577" s="8" t="s">
        <v>10068</v>
      </c>
      <c r="Y1577" s="8" t="s">
        <v>9498</v>
      </c>
      <c r="Z1577" s="8" t="s">
        <v>9498</v>
      </c>
      <c r="AA1577" s="7" t="n">
        <v>372</v>
      </c>
      <c r="AB1577" s="7" t="n">
        <v>249</v>
      </c>
      <c r="AC1577" s="7" t="n">
        <v>249</v>
      </c>
      <c r="AD1577" s="7" t="n">
        <v>3</v>
      </c>
      <c r="AE1577" s="7" t="n">
        <v>3</v>
      </c>
      <c r="AF1577" s="7" t="n">
        <v>20</v>
      </c>
      <c r="AG1577" s="7" t="n">
        <v>20</v>
      </c>
      <c r="AH1577" s="7" t="n">
        <v>6</v>
      </c>
      <c r="AI1577" s="7" t="n">
        <v>6</v>
      </c>
      <c r="AJ1577" s="7" t="n">
        <v>8</v>
      </c>
      <c r="AK1577" s="7" t="n">
        <v>8</v>
      </c>
      <c r="AL1577" s="7" t="n">
        <v>11</v>
      </c>
      <c r="AM1577" s="7" t="n">
        <v>11</v>
      </c>
      <c r="AN1577" s="7" t="n">
        <v>2</v>
      </c>
      <c r="AO1577" s="7" t="n">
        <v>2</v>
      </c>
      <c r="AP1577" s="7" t="n">
        <v>0</v>
      </c>
      <c r="AQ1577" s="7" t="n">
        <v>0</v>
      </c>
      <c r="AR1577" s="6" t="s">
        <v>63</v>
      </c>
      <c r="AS1577" s="6" t="s">
        <v>63</v>
      </c>
      <c r="AT1577" s="28"/>
      <c r="AU1577" s="9" t="str">
        <f aca="false">HYPERLINK("https://creighton-primo.hosted.exlibrisgroup.com/primo-explore/search?tab=default_tab&amp;search_scope=EVERYTHING&amp;vid=01CRU&amp;lang=en_US&amp;offset=0&amp;query=any,contains,991000521759702656","Catalog Record")</f>
        <v>Catalog Record</v>
      </c>
      <c r="AV1577" s="9" t="str">
        <f aca="false">HYPERLINK("http://www.worldcat.org/oclc/11344110","WorldCat Record")</f>
        <v>WorldCat Record</v>
      </c>
      <c r="AW1577" s="6" t="s">
        <v>13125</v>
      </c>
      <c r="AX1577" s="6" t="s">
        <v>13126</v>
      </c>
      <c r="AY1577" s="6" t="s">
        <v>13127</v>
      </c>
      <c r="AZ1577" s="6" t="s">
        <v>13127</v>
      </c>
      <c r="BA1577" s="6" t="s">
        <v>13128</v>
      </c>
      <c r="BB1577" s="6" t="s">
        <v>13129</v>
      </c>
      <c r="BC1577" s="6" t="s">
        <v>13130</v>
      </c>
      <c r="BE1577" s="15" t="s">
        <v>2145</v>
      </c>
      <c r="BF1577" s="6" t="s">
        <v>13131</v>
      </c>
    </row>
    <row r="1578" customFormat="false" ht="140" hidden="false" customHeight="false" outlineLevel="0" collapsed="false">
      <c r="A1578" s="26" t="s">
        <v>63</v>
      </c>
      <c r="B1578" s="27" t="s">
        <v>2129</v>
      </c>
      <c r="C1578" s="27" t="s">
        <v>2130</v>
      </c>
      <c r="D1578" s="27" t="s">
        <v>13132</v>
      </c>
      <c r="E1578" s="27" t="s">
        <v>13133</v>
      </c>
      <c r="F1578" s="27" t="s">
        <v>13134</v>
      </c>
      <c r="G1578" s="28"/>
      <c r="H1578" s="6" t="s">
        <v>63</v>
      </c>
      <c r="I1578" s="6" t="s">
        <v>62</v>
      </c>
      <c r="J1578" s="6" t="s">
        <v>63</v>
      </c>
      <c r="K1578" s="6" t="s">
        <v>63</v>
      </c>
      <c r="L1578" s="6" t="s">
        <v>64</v>
      </c>
      <c r="M1578" s="27" t="s">
        <v>13135</v>
      </c>
      <c r="N1578" s="27" t="s">
        <v>13136</v>
      </c>
      <c r="O1578" s="6" t="s">
        <v>3919</v>
      </c>
      <c r="P1578" s="28"/>
      <c r="Q1578" s="6" t="s">
        <v>67</v>
      </c>
      <c r="R1578" s="6" t="s">
        <v>68</v>
      </c>
      <c r="S1578" s="28"/>
      <c r="T1578" s="6" t="s">
        <v>6138</v>
      </c>
      <c r="U1578" s="7" t="n">
        <v>7</v>
      </c>
      <c r="V1578" s="7" t="n">
        <v>7</v>
      </c>
      <c r="W1578" s="8" t="s">
        <v>13137</v>
      </c>
      <c r="X1578" s="8" t="s">
        <v>13137</v>
      </c>
      <c r="Y1578" s="8" t="s">
        <v>2208</v>
      </c>
      <c r="Z1578" s="8" t="s">
        <v>2208</v>
      </c>
      <c r="AA1578" s="7" t="n">
        <v>809</v>
      </c>
      <c r="AB1578" s="7" t="n">
        <v>731</v>
      </c>
      <c r="AC1578" s="7" t="n">
        <v>838</v>
      </c>
      <c r="AD1578" s="7" t="n">
        <v>7</v>
      </c>
      <c r="AE1578" s="7" t="n">
        <v>7</v>
      </c>
      <c r="AF1578" s="7" t="n">
        <v>38</v>
      </c>
      <c r="AG1578" s="7" t="n">
        <v>41</v>
      </c>
      <c r="AH1578" s="7" t="n">
        <v>12</v>
      </c>
      <c r="AI1578" s="7" t="n">
        <v>14</v>
      </c>
      <c r="AJ1578" s="7" t="n">
        <v>7</v>
      </c>
      <c r="AK1578" s="7" t="n">
        <v>9</v>
      </c>
      <c r="AL1578" s="7" t="n">
        <v>23</v>
      </c>
      <c r="AM1578" s="7" t="n">
        <v>24</v>
      </c>
      <c r="AN1578" s="7" t="n">
        <v>5</v>
      </c>
      <c r="AO1578" s="7" t="n">
        <v>5</v>
      </c>
      <c r="AP1578" s="7" t="n">
        <v>0</v>
      </c>
      <c r="AQ1578" s="7" t="n">
        <v>0</v>
      </c>
      <c r="AR1578" s="6" t="s">
        <v>57</v>
      </c>
      <c r="AS1578" s="6" t="s">
        <v>63</v>
      </c>
      <c r="AT1578" s="9" t="str">
        <f aca="false">HYPERLINK("http://catalog.hathitrust.org/Record/001386008","HathiTrust Record")</f>
        <v>HathiTrust Record</v>
      </c>
      <c r="AU1578" s="9" t="str">
        <f aca="false">HYPERLINK("https://creighton-primo.hosted.exlibrisgroup.com/primo-explore/search?tab=default_tab&amp;search_scope=EVERYTHING&amp;vid=01CRU&amp;lang=en_US&amp;offset=0&amp;query=any,contains,991003374649702656","Catalog Record")</f>
        <v>Catalog Record</v>
      </c>
      <c r="AV1578" s="9" t="str">
        <f aca="false">HYPERLINK("http://www.worldcat.org/oclc/911354","WorldCat Record")</f>
        <v>WorldCat Record</v>
      </c>
      <c r="AW1578" s="6" t="s">
        <v>13138</v>
      </c>
      <c r="AX1578" s="6" t="s">
        <v>13139</v>
      </c>
      <c r="AY1578" s="6" t="s">
        <v>13140</v>
      </c>
      <c r="AZ1578" s="6" t="s">
        <v>13140</v>
      </c>
      <c r="BA1578" s="6" t="s">
        <v>13141</v>
      </c>
      <c r="BB1578" s="28"/>
      <c r="BC1578" s="6" t="s">
        <v>13142</v>
      </c>
      <c r="BE1578" s="15" t="s">
        <v>2145</v>
      </c>
      <c r="BF1578" s="6" t="s">
        <v>13143</v>
      </c>
    </row>
    <row r="1579" customFormat="false" ht="117" hidden="false" customHeight="false" outlineLevel="0" collapsed="false">
      <c r="A1579" s="26" t="s">
        <v>63</v>
      </c>
      <c r="B1579" s="27" t="s">
        <v>2129</v>
      </c>
      <c r="C1579" s="27" t="s">
        <v>2130</v>
      </c>
      <c r="D1579" s="27" t="s">
        <v>13144</v>
      </c>
      <c r="E1579" s="27" t="s">
        <v>13145</v>
      </c>
      <c r="F1579" s="27" t="s">
        <v>13146</v>
      </c>
      <c r="G1579" s="28"/>
      <c r="H1579" s="6" t="s">
        <v>63</v>
      </c>
      <c r="I1579" s="6" t="s">
        <v>62</v>
      </c>
      <c r="J1579" s="6" t="s">
        <v>63</v>
      </c>
      <c r="K1579" s="6" t="s">
        <v>63</v>
      </c>
      <c r="L1579" s="6" t="s">
        <v>64</v>
      </c>
      <c r="M1579" s="27" t="s">
        <v>13147</v>
      </c>
      <c r="N1579" s="27" t="s">
        <v>13148</v>
      </c>
      <c r="O1579" s="6" t="s">
        <v>2811</v>
      </c>
      <c r="P1579" s="28"/>
      <c r="Q1579" s="6" t="s">
        <v>67</v>
      </c>
      <c r="R1579" s="6" t="s">
        <v>802</v>
      </c>
      <c r="S1579" s="28"/>
      <c r="T1579" s="6" t="s">
        <v>6138</v>
      </c>
      <c r="U1579" s="7" t="n">
        <v>2</v>
      </c>
      <c r="V1579" s="7" t="n">
        <v>2</v>
      </c>
      <c r="W1579" s="8" t="s">
        <v>13149</v>
      </c>
      <c r="X1579" s="8" t="s">
        <v>13149</v>
      </c>
      <c r="Y1579" s="8" t="s">
        <v>2208</v>
      </c>
      <c r="Z1579" s="8" t="s">
        <v>2208</v>
      </c>
      <c r="AA1579" s="7" t="n">
        <v>302</v>
      </c>
      <c r="AB1579" s="7" t="n">
        <v>248</v>
      </c>
      <c r="AC1579" s="7" t="n">
        <v>310</v>
      </c>
      <c r="AD1579" s="7" t="n">
        <v>1</v>
      </c>
      <c r="AE1579" s="7" t="n">
        <v>3</v>
      </c>
      <c r="AF1579" s="7" t="n">
        <v>23</v>
      </c>
      <c r="AG1579" s="7" t="n">
        <v>27</v>
      </c>
      <c r="AH1579" s="7" t="n">
        <v>9</v>
      </c>
      <c r="AI1579" s="7" t="n">
        <v>9</v>
      </c>
      <c r="AJ1579" s="7" t="n">
        <v>5</v>
      </c>
      <c r="AK1579" s="7" t="n">
        <v>7</v>
      </c>
      <c r="AL1579" s="7" t="n">
        <v>16</v>
      </c>
      <c r="AM1579" s="7" t="n">
        <v>18</v>
      </c>
      <c r="AN1579" s="7" t="n">
        <v>0</v>
      </c>
      <c r="AO1579" s="7" t="n">
        <v>2</v>
      </c>
      <c r="AP1579" s="7" t="n">
        <v>0</v>
      </c>
      <c r="AQ1579" s="7" t="n">
        <v>0</v>
      </c>
      <c r="AR1579" s="6" t="s">
        <v>63</v>
      </c>
      <c r="AS1579" s="6" t="s">
        <v>57</v>
      </c>
      <c r="AT1579" s="9" t="str">
        <f aca="false">HYPERLINK("http://catalog.hathitrust.org/Record/001396313","HathiTrust Record")</f>
        <v>HathiTrust Record</v>
      </c>
      <c r="AU1579" s="9" t="str">
        <f aca="false">HYPERLINK("https://creighton-primo.hosted.exlibrisgroup.com/primo-explore/search?tab=default_tab&amp;search_scope=EVERYTHING&amp;vid=01CRU&amp;lang=en_US&amp;offset=0&amp;query=any,contains,991000797219702656","Catalog Record")</f>
        <v>Catalog Record</v>
      </c>
      <c r="AV1579" s="9" t="str">
        <f aca="false">HYPERLINK("http://www.worldcat.org/oclc/137613","WorldCat Record")</f>
        <v>WorldCat Record</v>
      </c>
      <c r="AW1579" s="6" t="s">
        <v>13150</v>
      </c>
      <c r="AX1579" s="6" t="s">
        <v>13151</v>
      </c>
      <c r="AY1579" s="6" t="s">
        <v>13152</v>
      </c>
      <c r="AZ1579" s="6" t="s">
        <v>13152</v>
      </c>
      <c r="BA1579" s="6" t="s">
        <v>13153</v>
      </c>
      <c r="BB1579" s="6" t="s">
        <v>13154</v>
      </c>
      <c r="BC1579" s="6" t="s">
        <v>13155</v>
      </c>
      <c r="BE1579" s="15" t="s">
        <v>2145</v>
      </c>
      <c r="BF1579" s="6" t="s">
        <v>13156</v>
      </c>
    </row>
    <row r="1580" customFormat="false" ht="197.5" hidden="false" customHeight="false" outlineLevel="0" collapsed="false">
      <c r="A1580" s="26" t="s">
        <v>63</v>
      </c>
      <c r="B1580" s="27" t="s">
        <v>2129</v>
      </c>
      <c r="C1580" s="27" t="s">
        <v>2130</v>
      </c>
      <c r="D1580" s="27" t="s">
        <v>13157</v>
      </c>
      <c r="E1580" s="27" t="s">
        <v>13158</v>
      </c>
      <c r="F1580" s="27" t="s">
        <v>13159</v>
      </c>
      <c r="G1580" s="28"/>
      <c r="H1580" s="6" t="s">
        <v>63</v>
      </c>
      <c r="I1580" s="6" t="s">
        <v>62</v>
      </c>
      <c r="J1580" s="6" t="s">
        <v>63</v>
      </c>
      <c r="K1580" s="6" t="s">
        <v>63</v>
      </c>
      <c r="L1580" s="6" t="s">
        <v>64</v>
      </c>
      <c r="M1580" s="28"/>
      <c r="N1580" s="27" t="s">
        <v>13160</v>
      </c>
      <c r="O1580" s="6" t="s">
        <v>246</v>
      </c>
      <c r="P1580" s="28"/>
      <c r="Q1580" s="6" t="s">
        <v>67</v>
      </c>
      <c r="R1580" s="6" t="s">
        <v>500</v>
      </c>
      <c r="S1580" s="27" t="s">
        <v>10625</v>
      </c>
      <c r="T1580" s="6" t="s">
        <v>6138</v>
      </c>
      <c r="U1580" s="7" t="n">
        <v>3</v>
      </c>
      <c r="V1580" s="7" t="n">
        <v>3</v>
      </c>
      <c r="W1580" s="8" t="s">
        <v>13161</v>
      </c>
      <c r="X1580" s="8" t="s">
        <v>13161</v>
      </c>
      <c r="Y1580" s="8" t="s">
        <v>2208</v>
      </c>
      <c r="Z1580" s="8" t="s">
        <v>2208</v>
      </c>
      <c r="AA1580" s="7" t="n">
        <v>725</v>
      </c>
      <c r="AB1580" s="7" t="n">
        <v>600</v>
      </c>
      <c r="AC1580" s="7" t="n">
        <v>609</v>
      </c>
      <c r="AD1580" s="7" t="n">
        <v>8</v>
      </c>
      <c r="AE1580" s="7" t="n">
        <v>8</v>
      </c>
      <c r="AF1580" s="7" t="n">
        <v>47</v>
      </c>
      <c r="AG1580" s="7" t="n">
        <v>47</v>
      </c>
      <c r="AH1580" s="7" t="n">
        <v>20</v>
      </c>
      <c r="AI1580" s="7" t="n">
        <v>20</v>
      </c>
      <c r="AJ1580" s="7" t="n">
        <v>9</v>
      </c>
      <c r="AK1580" s="7" t="n">
        <v>9</v>
      </c>
      <c r="AL1580" s="7" t="n">
        <v>25</v>
      </c>
      <c r="AM1580" s="7" t="n">
        <v>25</v>
      </c>
      <c r="AN1580" s="7" t="n">
        <v>6</v>
      </c>
      <c r="AO1580" s="7" t="n">
        <v>6</v>
      </c>
      <c r="AP1580" s="7" t="n">
        <v>0</v>
      </c>
      <c r="AQ1580" s="7" t="n">
        <v>0</v>
      </c>
      <c r="AR1580" s="6" t="s">
        <v>63</v>
      </c>
      <c r="AS1580" s="6" t="s">
        <v>57</v>
      </c>
      <c r="AT1580" s="9" t="str">
        <f aca="false">HYPERLINK("http://catalog.hathitrust.org/Record/000039054","HathiTrust Record")</f>
        <v>HathiTrust Record</v>
      </c>
      <c r="AU1580" s="9" t="str">
        <f aca="false">HYPERLINK("https://creighton-primo.hosted.exlibrisgroup.com/primo-explore/search?tab=default_tab&amp;search_scope=EVERYTHING&amp;vid=01CRU&amp;lang=en_US&amp;offset=0&amp;query=any,contains,991004764999702656","Catalog Record")</f>
        <v>Catalog Record</v>
      </c>
      <c r="AV1580" s="9" t="str">
        <f aca="false">HYPERLINK("http://www.worldcat.org/oclc/5028954","WorldCat Record")</f>
        <v>WorldCat Record</v>
      </c>
      <c r="AW1580" s="6" t="s">
        <v>13162</v>
      </c>
      <c r="AX1580" s="6" t="s">
        <v>13163</v>
      </c>
      <c r="AY1580" s="6" t="s">
        <v>13164</v>
      </c>
      <c r="AZ1580" s="6" t="s">
        <v>13164</v>
      </c>
      <c r="BA1580" s="6" t="s">
        <v>13165</v>
      </c>
      <c r="BB1580" s="6" t="s">
        <v>13166</v>
      </c>
      <c r="BC1580" s="6" t="s">
        <v>13167</v>
      </c>
      <c r="BE1580" s="15" t="s">
        <v>2145</v>
      </c>
      <c r="BF1580" s="6" t="s">
        <v>13168</v>
      </c>
    </row>
    <row r="1581" customFormat="false" ht="94" hidden="false" customHeight="false" outlineLevel="0" collapsed="false">
      <c r="A1581" s="26" t="s">
        <v>63</v>
      </c>
      <c r="B1581" s="27" t="s">
        <v>2129</v>
      </c>
      <c r="C1581" s="27" t="s">
        <v>2130</v>
      </c>
      <c r="D1581" s="27" t="s">
        <v>13169</v>
      </c>
      <c r="E1581" s="27" t="s">
        <v>13170</v>
      </c>
      <c r="F1581" s="27" t="s">
        <v>13171</v>
      </c>
      <c r="G1581" s="28"/>
      <c r="H1581" s="6" t="s">
        <v>63</v>
      </c>
      <c r="I1581" s="6" t="s">
        <v>62</v>
      </c>
      <c r="J1581" s="6" t="s">
        <v>63</v>
      </c>
      <c r="K1581" s="6" t="s">
        <v>63</v>
      </c>
      <c r="L1581" s="6" t="s">
        <v>64</v>
      </c>
      <c r="M1581" s="27" t="s">
        <v>13172</v>
      </c>
      <c r="N1581" s="27" t="s">
        <v>13173</v>
      </c>
      <c r="O1581" s="6" t="s">
        <v>2221</v>
      </c>
      <c r="P1581" s="28"/>
      <c r="Q1581" s="6" t="s">
        <v>67</v>
      </c>
      <c r="R1581" s="6" t="s">
        <v>1108</v>
      </c>
      <c r="S1581" s="28"/>
      <c r="T1581" s="6" t="s">
        <v>6138</v>
      </c>
      <c r="U1581" s="7" t="n">
        <v>2</v>
      </c>
      <c r="V1581" s="7" t="n">
        <v>2</v>
      </c>
      <c r="W1581" s="8" t="s">
        <v>13174</v>
      </c>
      <c r="X1581" s="8" t="s">
        <v>13174</v>
      </c>
      <c r="Y1581" s="8" t="s">
        <v>2208</v>
      </c>
      <c r="Z1581" s="8" t="s">
        <v>2208</v>
      </c>
      <c r="AA1581" s="7" t="n">
        <v>345</v>
      </c>
      <c r="AB1581" s="7" t="n">
        <v>278</v>
      </c>
      <c r="AC1581" s="7" t="n">
        <v>280</v>
      </c>
      <c r="AD1581" s="7" t="n">
        <v>3</v>
      </c>
      <c r="AE1581" s="7" t="n">
        <v>3</v>
      </c>
      <c r="AF1581" s="7" t="n">
        <v>26</v>
      </c>
      <c r="AG1581" s="7" t="n">
        <v>26</v>
      </c>
      <c r="AH1581" s="7" t="n">
        <v>8</v>
      </c>
      <c r="AI1581" s="7" t="n">
        <v>8</v>
      </c>
      <c r="AJ1581" s="7" t="n">
        <v>9</v>
      </c>
      <c r="AK1581" s="7" t="n">
        <v>9</v>
      </c>
      <c r="AL1581" s="7" t="n">
        <v>14</v>
      </c>
      <c r="AM1581" s="7" t="n">
        <v>14</v>
      </c>
      <c r="AN1581" s="7" t="n">
        <v>2</v>
      </c>
      <c r="AO1581" s="7" t="n">
        <v>2</v>
      </c>
      <c r="AP1581" s="7" t="n">
        <v>0</v>
      </c>
      <c r="AQ1581" s="7" t="n">
        <v>0</v>
      </c>
      <c r="AR1581" s="6" t="s">
        <v>63</v>
      </c>
      <c r="AS1581" s="6" t="s">
        <v>57</v>
      </c>
      <c r="AT1581" s="9" t="str">
        <f aca="false">HYPERLINK("http://catalog.hathitrust.org/Record/000917097","HathiTrust Record")</f>
        <v>HathiTrust Record</v>
      </c>
      <c r="AU1581" s="9" t="str">
        <f aca="false">HYPERLINK("https://creighton-primo.hosted.exlibrisgroup.com/primo-explore/search?tab=default_tab&amp;search_scope=EVERYTHING&amp;vid=01CRU&amp;lang=en_US&amp;offset=0&amp;query=any,contains,991000957529702656","Catalog Record")</f>
        <v>Catalog Record</v>
      </c>
      <c r="AV1581" s="9" t="str">
        <f aca="false">HYPERLINK("http://www.worldcat.org/oclc/14719681","WorldCat Record")</f>
        <v>WorldCat Record</v>
      </c>
      <c r="AW1581" s="6" t="s">
        <v>13175</v>
      </c>
      <c r="AX1581" s="6" t="s">
        <v>13176</v>
      </c>
      <c r="AY1581" s="6" t="s">
        <v>13177</v>
      </c>
      <c r="AZ1581" s="6" t="s">
        <v>13177</v>
      </c>
      <c r="BA1581" s="6" t="s">
        <v>13178</v>
      </c>
      <c r="BB1581" s="6" t="s">
        <v>13179</v>
      </c>
      <c r="BC1581" s="6" t="s">
        <v>13180</v>
      </c>
      <c r="BE1581" s="15" t="s">
        <v>2145</v>
      </c>
      <c r="BF1581" s="6" t="s">
        <v>13181</v>
      </c>
    </row>
    <row r="1582" customFormat="false" ht="163" hidden="false" customHeight="false" outlineLevel="0" collapsed="false">
      <c r="A1582" s="26" t="s">
        <v>63</v>
      </c>
      <c r="B1582" s="27" t="s">
        <v>2129</v>
      </c>
      <c r="C1582" s="27" t="s">
        <v>2130</v>
      </c>
      <c r="D1582" s="27" t="s">
        <v>13182</v>
      </c>
      <c r="E1582" s="27" t="s">
        <v>13183</v>
      </c>
      <c r="F1582" s="27" t="s">
        <v>13184</v>
      </c>
      <c r="G1582" s="28"/>
      <c r="H1582" s="6" t="s">
        <v>63</v>
      </c>
      <c r="I1582" s="6" t="s">
        <v>62</v>
      </c>
      <c r="J1582" s="6" t="s">
        <v>63</v>
      </c>
      <c r="K1582" s="6" t="s">
        <v>63</v>
      </c>
      <c r="L1582" s="6" t="s">
        <v>64</v>
      </c>
      <c r="M1582" s="27" t="s">
        <v>13185</v>
      </c>
      <c r="N1582" s="27" t="s">
        <v>13186</v>
      </c>
      <c r="O1582" s="6" t="s">
        <v>208</v>
      </c>
      <c r="P1582" s="28"/>
      <c r="Q1582" s="6" t="s">
        <v>67</v>
      </c>
      <c r="R1582" s="6" t="s">
        <v>1108</v>
      </c>
      <c r="S1582" s="27" t="s">
        <v>13187</v>
      </c>
      <c r="T1582" s="6" t="s">
        <v>6138</v>
      </c>
      <c r="U1582" s="7" t="n">
        <v>4</v>
      </c>
      <c r="V1582" s="7" t="n">
        <v>4</v>
      </c>
      <c r="W1582" s="8" t="s">
        <v>13188</v>
      </c>
      <c r="X1582" s="8" t="s">
        <v>13188</v>
      </c>
      <c r="Y1582" s="8" t="s">
        <v>12208</v>
      </c>
      <c r="Z1582" s="8" t="s">
        <v>12208</v>
      </c>
      <c r="AA1582" s="7" t="n">
        <v>405</v>
      </c>
      <c r="AB1582" s="7" t="n">
        <v>322</v>
      </c>
      <c r="AC1582" s="7" t="n">
        <v>357</v>
      </c>
      <c r="AD1582" s="7" t="n">
        <v>4</v>
      </c>
      <c r="AE1582" s="7" t="n">
        <v>4</v>
      </c>
      <c r="AF1582" s="7" t="n">
        <v>31</v>
      </c>
      <c r="AG1582" s="7" t="n">
        <v>34</v>
      </c>
      <c r="AH1582" s="7" t="n">
        <v>10</v>
      </c>
      <c r="AI1582" s="7" t="n">
        <v>13</v>
      </c>
      <c r="AJ1582" s="7" t="n">
        <v>9</v>
      </c>
      <c r="AK1582" s="7" t="n">
        <v>9</v>
      </c>
      <c r="AL1582" s="7" t="n">
        <v>18</v>
      </c>
      <c r="AM1582" s="7" t="n">
        <v>19</v>
      </c>
      <c r="AN1582" s="7" t="n">
        <v>3</v>
      </c>
      <c r="AO1582" s="7" t="n">
        <v>3</v>
      </c>
      <c r="AP1582" s="7" t="n">
        <v>0</v>
      </c>
      <c r="AQ1582" s="7" t="n">
        <v>0</v>
      </c>
      <c r="AR1582" s="6" t="s">
        <v>63</v>
      </c>
      <c r="AS1582" s="6" t="s">
        <v>57</v>
      </c>
      <c r="AT1582" s="9" t="str">
        <f aca="false">HYPERLINK("http://catalog.hathitrust.org/Record/000855802","HathiTrust Record")</f>
        <v>HathiTrust Record</v>
      </c>
      <c r="AU1582" s="9" t="str">
        <f aca="false">HYPERLINK("https://creighton-primo.hosted.exlibrisgroup.com/primo-explore/search?tab=default_tab&amp;search_scope=EVERYTHING&amp;vid=01CRU&amp;lang=en_US&amp;offset=0&amp;query=any,contains,991000749449702656","Catalog Record")</f>
        <v>Catalog Record</v>
      </c>
      <c r="AV1582" s="9" t="str">
        <f aca="false">HYPERLINK("http://www.worldcat.org/oclc/12907354","WorldCat Record")</f>
        <v>WorldCat Record</v>
      </c>
      <c r="AW1582" s="6" t="s">
        <v>13189</v>
      </c>
      <c r="AX1582" s="6" t="s">
        <v>13190</v>
      </c>
      <c r="AY1582" s="6" t="s">
        <v>13191</v>
      </c>
      <c r="AZ1582" s="6" t="s">
        <v>13191</v>
      </c>
      <c r="BA1582" s="6" t="s">
        <v>13192</v>
      </c>
      <c r="BB1582" s="6" t="s">
        <v>13193</v>
      </c>
      <c r="BC1582" s="6" t="s">
        <v>13194</v>
      </c>
      <c r="BE1582" s="15" t="s">
        <v>2145</v>
      </c>
      <c r="BF1582" s="6" t="s">
        <v>13195</v>
      </c>
    </row>
    <row r="1583" customFormat="false" ht="117" hidden="false" customHeight="false" outlineLevel="0" collapsed="false">
      <c r="A1583" s="26" t="s">
        <v>63</v>
      </c>
      <c r="B1583" s="27" t="s">
        <v>2129</v>
      </c>
      <c r="C1583" s="27" t="s">
        <v>2130</v>
      </c>
      <c r="D1583" s="27" t="s">
        <v>13196</v>
      </c>
      <c r="E1583" s="27" t="s">
        <v>13197</v>
      </c>
      <c r="F1583" s="27" t="s">
        <v>13198</v>
      </c>
      <c r="G1583" s="28"/>
      <c r="H1583" s="6" t="s">
        <v>63</v>
      </c>
      <c r="I1583" s="6" t="s">
        <v>62</v>
      </c>
      <c r="J1583" s="6" t="s">
        <v>63</v>
      </c>
      <c r="K1583" s="6" t="s">
        <v>63</v>
      </c>
      <c r="L1583" s="6" t="s">
        <v>64</v>
      </c>
      <c r="M1583" s="28"/>
      <c r="N1583" s="27" t="s">
        <v>13199</v>
      </c>
      <c r="O1583" s="6" t="s">
        <v>108</v>
      </c>
      <c r="P1583" s="28"/>
      <c r="Q1583" s="6" t="s">
        <v>67</v>
      </c>
      <c r="R1583" s="6" t="s">
        <v>1108</v>
      </c>
      <c r="S1583" s="28"/>
      <c r="T1583" s="6" t="s">
        <v>6138</v>
      </c>
      <c r="U1583" s="7" t="n">
        <v>3</v>
      </c>
      <c r="V1583" s="7" t="n">
        <v>3</v>
      </c>
      <c r="W1583" s="8" t="s">
        <v>13200</v>
      </c>
      <c r="X1583" s="8" t="s">
        <v>13200</v>
      </c>
      <c r="Y1583" s="8" t="s">
        <v>12208</v>
      </c>
      <c r="Z1583" s="8" t="s">
        <v>12208</v>
      </c>
      <c r="AA1583" s="7" t="n">
        <v>505</v>
      </c>
      <c r="AB1583" s="7" t="n">
        <v>432</v>
      </c>
      <c r="AC1583" s="7" t="n">
        <v>442</v>
      </c>
      <c r="AD1583" s="7" t="n">
        <v>5</v>
      </c>
      <c r="AE1583" s="7" t="n">
        <v>5</v>
      </c>
      <c r="AF1583" s="7" t="n">
        <v>33</v>
      </c>
      <c r="AG1583" s="7" t="n">
        <v>33</v>
      </c>
      <c r="AH1583" s="7" t="n">
        <v>13</v>
      </c>
      <c r="AI1583" s="7" t="n">
        <v>13</v>
      </c>
      <c r="AJ1583" s="7" t="n">
        <v>9</v>
      </c>
      <c r="AK1583" s="7" t="n">
        <v>9</v>
      </c>
      <c r="AL1583" s="7" t="n">
        <v>17</v>
      </c>
      <c r="AM1583" s="7" t="n">
        <v>17</v>
      </c>
      <c r="AN1583" s="7" t="n">
        <v>4</v>
      </c>
      <c r="AO1583" s="7" t="n">
        <v>4</v>
      </c>
      <c r="AP1583" s="7" t="n">
        <v>0</v>
      </c>
      <c r="AQ1583" s="7" t="n">
        <v>0</v>
      </c>
      <c r="AR1583" s="6" t="s">
        <v>63</v>
      </c>
      <c r="AS1583" s="6" t="s">
        <v>57</v>
      </c>
      <c r="AT1583" s="9" t="str">
        <f aca="false">HYPERLINK("http://catalog.hathitrust.org/Record/000705825","HathiTrust Record")</f>
        <v>HathiTrust Record</v>
      </c>
      <c r="AU1583" s="9" t="str">
        <f aca="false">HYPERLINK("https://creighton-primo.hosted.exlibrisgroup.com/primo-explore/search?tab=default_tab&amp;search_scope=EVERYTHING&amp;vid=01CRU&amp;lang=en_US&amp;offset=0&amp;query=any,contains,991004606449702656","Catalog Record")</f>
        <v>Catalog Record</v>
      </c>
      <c r="AV1583" s="9" t="str">
        <f aca="false">HYPERLINK("http://www.worldcat.org/oclc/4194713","WorldCat Record")</f>
        <v>WorldCat Record</v>
      </c>
      <c r="AW1583" s="6" t="s">
        <v>13201</v>
      </c>
      <c r="AX1583" s="6" t="s">
        <v>13202</v>
      </c>
      <c r="AY1583" s="6" t="s">
        <v>13203</v>
      </c>
      <c r="AZ1583" s="6" t="s">
        <v>13203</v>
      </c>
      <c r="BA1583" s="6" t="s">
        <v>13204</v>
      </c>
      <c r="BB1583" s="6" t="s">
        <v>13205</v>
      </c>
      <c r="BC1583" s="6" t="s">
        <v>13206</v>
      </c>
      <c r="BE1583" s="15" t="s">
        <v>2145</v>
      </c>
      <c r="BF1583" s="6" t="s">
        <v>13207</v>
      </c>
    </row>
    <row r="1584" customFormat="false" ht="151.5" hidden="false" customHeight="false" outlineLevel="0" collapsed="false">
      <c r="A1584" s="26" t="s">
        <v>63</v>
      </c>
      <c r="B1584" s="27" t="s">
        <v>2129</v>
      </c>
      <c r="C1584" s="27" t="s">
        <v>2130</v>
      </c>
      <c r="D1584" s="27" t="s">
        <v>13208</v>
      </c>
      <c r="E1584" s="27" t="s">
        <v>13209</v>
      </c>
      <c r="F1584" s="27" t="s">
        <v>13210</v>
      </c>
      <c r="G1584" s="28"/>
      <c r="H1584" s="6" t="s">
        <v>63</v>
      </c>
      <c r="I1584" s="6" t="s">
        <v>62</v>
      </c>
      <c r="J1584" s="6" t="s">
        <v>63</v>
      </c>
      <c r="K1584" s="6" t="s">
        <v>63</v>
      </c>
      <c r="L1584" s="6" t="s">
        <v>64</v>
      </c>
      <c r="M1584" s="27" t="s">
        <v>13211</v>
      </c>
      <c r="N1584" s="27" t="s">
        <v>13212</v>
      </c>
      <c r="O1584" s="6" t="s">
        <v>3029</v>
      </c>
      <c r="P1584" s="28"/>
      <c r="Q1584" s="6" t="s">
        <v>67</v>
      </c>
      <c r="R1584" s="6" t="s">
        <v>802</v>
      </c>
      <c r="S1584" s="27" t="s">
        <v>13213</v>
      </c>
      <c r="T1584" s="6" t="s">
        <v>6138</v>
      </c>
      <c r="U1584" s="7" t="n">
        <v>3</v>
      </c>
      <c r="V1584" s="7" t="n">
        <v>3</v>
      </c>
      <c r="W1584" s="8" t="s">
        <v>13200</v>
      </c>
      <c r="X1584" s="8" t="s">
        <v>13200</v>
      </c>
      <c r="Y1584" s="8" t="s">
        <v>8389</v>
      </c>
      <c r="Z1584" s="8" t="s">
        <v>8389</v>
      </c>
      <c r="AA1584" s="7" t="n">
        <v>452</v>
      </c>
      <c r="AB1584" s="7" t="n">
        <v>350</v>
      </c>
      <c r="AC1584" s="7" t="n">
        <v>918</v>
      </c>
      <c r="AD1584" s="7" t="n">
        <v>3</v>
      </c>
      <c r="AE1584" s="7" t="n">
        <v>5</v>
      </c>
      <c r="AF1584" s="7" t="n">
        <v>25</v>
      </c>
      <c r="AG1584" s="7" t="n">
        <v>46</v>
      </c>
      <c r="AH1584" s="7" t="n">
        <v>8</v>
      </c>
      <c r="AI1584" s="7" t="n">
        <v>20</v>
      </c>
      <c r="AJ1584" s="7" t="n">
        <v>5</v>
      </c>
      <c r="AK1584" s="7" t="n">
        <v>11</v>
      </c>
      <c r="AL1584" s="7" t="n">
        <v>17</v>
      </c>
      <c r="AM1584" s="7" t="n">
        <v>26</v>
      </c>
      <c r="AN1584" s="7" t="n">
        <v>1</v>
      </c>
      <c r="AO1584" s="7" t="n">
        <v>3</v>
      </c>
      <c r="AP1584" s="7" t="n">
        <v>0</v>
      </c>
      <c r="AQ1584" s="7" t="n">
        <v>0</v>
      </c>
      <c r="AR1584" s="6" t="s">
        <v>63</v>
      </c>
      <c r="AS1584" s="6" t="s">
        <v>63</v>
      </c>
      <c r="AT1584" s="28"/>
      <c r="AU1584" s="9" t="str">
        <f aca="false">HYPERLINK("https://creighton-primo.hosted.exlibrisgroup.com/primo-explore/search?tab=default_tab&amp;search_scope=EVERYTHING&amp;vid=01CRU&amp;lang=en_US&amp;offset=0&amp;query=any,contains,991004094049702656","Catalog Record")</f>
        <v>Catalog Record</v>
      </c>
      <c r="AV1584" s="9" t="str">
        <f aca="false">HYPERLINK("http://www.worldcat.org/oclc/2352634","WorldCat Record")</f>
        <v>WorldCat Record</v>
      </c>
      <c r="AW1584" s="6" t="s">
        <v>13214</v>
      </c>
      <c r="AX1584" s="6" t="s">
        <v>13215</v>
      </c>
      <c r="AY1584" s="6" t="s">
        <v>13216</v>
      </c>
      <c r="AZ1584" s="6" t="s">
        <v>13216</v>
      </c>
      <c r="BA1584" s="6" t="s">
        <v>13217</v>
      </c>
      <c r="BB1584" s="28"/>
      <c r="BC1584" s="6" t="s">
        <v>13218</v>
      </c>
      <c r="BE1584" s="15" t="s">
        <v>2145</v>
      </c>
      <c r="BF1584" s="6" t="s">
        <v>13219</v>
      </c>
    </row>
    <row r="1585" customFormat="false" ht="128.5" hidden="false" customHeight="false" outlineLevel="0" collapsed="false">
      <c r="A1585" s="26" t="s">
        <v>63</v>
      </c>
      <c r="B1585" s="27" t="s">
        <v>2129</v>
      </c>
      <c r="C1585" s="27" t="s">
        <v>2130</v>
      </c>
      <c r="D1585" s="27" t="s">
        <v>13220</v>
      </c>
      <c r="E1585" s="27" t="s">
        <v>13221</v>
      </c>
      <c r="F1585" s="27" t="s">
        <v>13222</v>
      </c>
      <c r="G1585" s="6" t="s">
        <v>498</v>
      </c>
      <c r="H1585" s="6" t="s">
        <v>63</v>
      </c>
      <c r="I1585" s="6" t="s">
        <v>62</v>
      </c>
      <c r="J1585" s="6" t="s">
        <v>63</v>
      </c>
      <c r="K1585" s="6" t="s">
        <v>63</v>
      </c>
      <c r="L1585" s="6" t="s">
        <v>64</v>
      </c>
      <c r="M1585" s="27" t="s">
        <v>13223</v>
      </c>
      <c r="N1585" s="27" t="s">
        <v>13224</v>
      </c>
      <c r="O1585" s="6" t="s">
        <v>3029</v>
      </c>
      <c r="P1585" s="27" t="s">
        <v>255</v>
      </c>
      <c r="Q1585" s="6" t="s">
        <v>67</v>
      </c>
      <c r="R1585" s="6" t="s">
        <v>68</v>
      </c>
      <c r="S1585" s="27" t="s">
        <v>13225</v>
      </c>
      <c r="T1585" s="6" t="s">
        <v>6138</v>
      </c>
      <c r="U1585" s="7" t="n">
        <v>2</v>
      </c>
      <c r="V1585" s="7" t="n">
        <v>2</v>
      </c>
      <c r="W1585" s="8" t="s">
        <v>13226</v>
      </c>
      <c r="X1585" s="8" t="s">
        <v>13226</v>
      </c>
      <c r="Y1585" s="8" t="s">
        <v>12208</v>
      </c>
      <c r="Z1585" s="8" t="s">
        <v>12208</v>
      </c>
      <c r="AA1585" s="7" t="n">
        <v>680</v>
      </c>
      <c r="AB1585" s="7" t="n">
        <v>588</v>
      </c>
      <c r="AC1585" s="7" t="n">
        <v>663</v>
      </c>
      <c r="AD1585" s="7" t="n">
        <v>7</v>
      </c>
      <c r="AE1585" s="7" t="n">
        <v>7</v>
      </c>
      <c r="AF1585" s="7" t="n">
        <v>41</v>
      </c>
      <c r="AG1585" s="7" t="n">
        <v>42</v>
      </c>
      <c r="AH1585" s="7" t="n">
        <v>15</v>
      </c>
      <c r="AI1585" s="7" t="n">
        <v>15</v>
      </c>
      <c r="AJ1585" s="7" t="n">
        <v>7</v>
      </c>
      <c r="AK1585" s="7" t="n">
        <v>8</v>
      </c>
      <c r="AL1585" s="7" t="n">
        <v>25</v>
      </c>
      <c r="AM1585" s="7" t="n">
        <v>25</v>
      </c>
      <c r="AN1585" s="7" t="n">
        <v>5</v>
      </c>
      <c r="AO1585" s="7" t="n">
        <v>5</v>
      </c>
      <c r="AP1585" s="7" t="n">
        <v>0</v>
      </c>
      <c r="AQ1585" s="7" t="n">
        <v>0</v>
      </c>
      <c r="AR1585" s="6" t="s">
        <v>63</v>
      </c>
      <c r="AS1585" s="6" t="s">
        <v>63</v>
      </c>
      <c r="AT1585" s="28"/>
      <c r="AU1585" s="9" t="str">
        <f aca="false">HYPERLINK("https://creighton-primo.hosted.exlibrisgroup.com/primo-explore/search?tab=default_tab&amp;search_scope=EVERYTHING&amp;vid=01CRU&amp;lang=en_US&amp;offset=0&amp;query=any,contains,991003489629702656","Catalog Record")</f>
        <v>Catalog Record</v>
      </c>
      <c r="AV1585" s="9" t="str">
        <f aca="false">HYPERLINK("http://www.worldcat.org/oclc/1038490","WorldCat Record")</f>
        <v>WorldCat Record</v>
      </c>
      <c r="AW1585" s="6" t="s">
        <v>13227</v>
      </c>
      <c r="AX1585" s="6" t="s">
        <v>13228</v>
      </c>
      <c r="AY1585" s="6" t="s">
        <v>13229</v>
      </c>
      <c r="AZ1585" s="6" t="s">
        <v>13229</v>
      </c>
      <c r="BA1585" s="6" t="s">
        <v>13230</v>
      </c>
      <c r="BB1585" s="28"/>
      <c r="BC1585" s="6" t="s">
        <v>13231</v>
      </c>
      <c r="BE1585" s="15" t="s">
        <v>2145</v>
      </c>
      <c r="BF1585" s="6" t="s">
        <v>13232</v>
      </c>
    </row>
    <row r="1586" customFormat="false" ht="128.5" hidden="false" customHeight="false" outlineLevel="0" collapsed="false">
      <c r="A1586" s="26" t="s">
        <v>63</v>
      </c>
      <c r="B1586" s="27" t="s">
        <v>2129</v>
      </c>
      <c r="C1586" s="27" t="s">
        <v>2130</v>
      </c>
      <c r="D1586" s="27" t="s">
        <v>13233</v>
      </c>
      <c r="E1586" s="27" t="s">
        <v>13234</v>
      </c>
      <c r="F1586" s="27" t="s">
        <v>13235</v>
      </c>
      <c r="G1586" s="6" t="s">
        <v>502</v>
      </c>
      <c r="H1586" s="6" t="s">
        <v>63</v>
      </c>
      <c r="I1586" s="6" t="s">
        <v>62</v>
      </c>
      <c r="J1586" s="6" t="s">
        <v>63</v>
      </c>
      <c r="K1586" s="6" t="s">
        <v>63</v>
      </c>
      <c r="L1586" s="6" t="s">
        <v>64</v>
      </c>
      <c r="M1586" s="27" t="s">
        <v>13223</v>
      </c>
      <c r="N1586" s="27" t="s">
        <v>13236</v>
      </c>
      <c r="O1586" s="6" t="s">
        <v>2369</v>
      </c>
      <c r="P1586" s="27" t="s">
        <v>255</v>
      </c>
      <c r="Q1586" s="6" t="s">
        <v>67</v>
      </c>
      <c r="R1586" s="6" t="s">
        <v>68</v>
      </c>
      <c r="S1586" s="27" t="s">
        <v>13237</v>
      </c>
      <c r="T1586" s="6" t="s">
        <v>6138</v>
      </c>
      <c r="U1586" s="7" t="n">
        <v>2</v>
      </c>
      <c r="V1586" s="7" t="n">
        <v>2</v>
      </c>
      <c r="W1586" s="8" t="s">
        <v>13226</v>
      </c>
      <c r="X1586" s="8" t="s">
        <v>13226</v>
      </c>
      <c r="Y1586" s="8" t="s">
        <v>12208</v>
      </c>
      <c r="Z1586" s="8" t="s">
        <v>12208</v>
      </c>
      <c r="AA1586" s="7" t="n">
        <v>785</v>
      </c>
      <c r="AB1586" s="7" t="n">
        <v>659</v>
      </c>
      <c r="AC1586" s="7" t="n">
        <v>665</v>
      </c>
      <c r="AD1586" s="7" t="n">
        <v>9</v>
      </c>
      <c r="AE1586" s="7" t="n">
        <v>9</v>
      </c>
      <c r="AF1586" s="7" t="n">
        <v>49</v>
      </c>
      <c r="AG1586" s="7" t="n">
        <v>49</v>
      </c>
      <c r="AH1586" s="7" t="n">
        <v>20</v>
      </c>
      <c r="AI1586" s="7" t="n">
        <v>20</v>
      </c>
      <c r="AJ1586" s="7" t="n">
        <v>9</v>
      </c>
      <c r="AK1586" s="7" t="n">
        <v>9</v>
      </c>
      <c r="AL1586" s="7" t="n">
        <v>27</v>
      </c>
      <c r="AM1586" s="7" t="n">
        <v>27</v>
      </c>
      <c r="AN1586" s="7" t="n">
        <v>6</v>
      </c>
      <c r="AO1586" s="7" t="n">
        <v>6</v>
      </c>
      <c r="AP1586" s="7" t="n">
        <v>0</v>
      </c>
      <c r="AQ1586" s="7" t="n">
        <v>0</v>
      </c>
      <c r="AR1586" s="6" t="s">
        <v>63</v>
      </c>
      <c r="AS1586" s="6" t="s">
        <v>63</v>
      </c>
      <c r="AT1586" s="28"/>
      <c r="AU1586" s="9" t="str">
        <f aca="false">HYPERLINK("https://creighton-primo.hosted.exlibrisgroup.com/primo-explore/search?tab=default_tab&amp;search_scope=EVERYTHING&amp;vid=01CRU&amp;lang=en_US&amp;offset=0&amp;query=any,contains,991003330989702656","Catalog Record")</f>
        <v>Catalog Record</v>
      </c>
      <c r="AV1586" s="9" t="str">
        <f aca="false">HYPERLINK("http://www.worldcat.org/oclc/861848","WorldCat Record")</f>
        <v>WorldCat Record</v>
      </c>
      <c r="AW1586" s="6" t="s">
        <v>13238</v>
      </c>
      <c r="AX1586" s="6" t="s">
        <v>13239</v>
      </c>
      <c r="AY1586" s="6" t="s">
        <v>13240</v>
      </c>
      <c r="AZ1586" s="6" t="s">
        <v>13240</v>
      </c>
      <c r="BA1586" s="6" t="s">
        <v>13241</v>
      </c>
      <c r="BB1586" s="28"/>
      <c r="BC1586" s="6" t="s">
        <v>13242</v>
      </c>
      <c r="BE1586" s="15" t="s">
        <v>2145</v>
      </c>
      <c r="BF1586" s="6" t="s">
        <v>13243</v>
      </c>
    </row>
    <row r="1587" customFormat="false" ht="71" hidden="false" customHeight="false" outlineLevel="0" collapsed="false">
      <c r="A1587" s="26" t="s">
        <v>63</v>
      </c>
      <c r="B1587" s="27" t="s">
        <v>2129</v>
      </c>
      <c r="C1587" s="27" t="s">
        <v>2130</v>
      </c>
      <c r="D1587" s="27" t="s">
        <v>13244</v>
      </c>
      <c r="E1587" s="27" t="s">
        <v>13245</v>
      </c>
      <c r="F1587" s="27" t="s">
        <v>13246</v>
      </c>
      <c r="G1587" s="28"/>
      <c r="H1587" s="6" t="s">
        <v>63</v>
      </c>
      <c r="I1587" s="6" t="s">
        <v>62</v>
      </c>
      <c r="J1587" s="6" t="s">
        <v>63</v>
      </c>
      <c r="K1587" s="6" t="s">
        <v>63</v>
      </c>
      <c r="L1587" s="6" t="s">
        <v>64</v>
      </c>
      <c r="M1587" s="27" t="s">
        <v>13247</v>
      </c>
      <c r="N1587" s="27" t="s">
        <v>13248</v>
      </c>
      <c r="O1587" s="6" t="s">
        <v>167</v>
      </c>
      <c r="P1587" s="28"/>
      <c r="Q1587" s="6" t="s">
        <v>67</v>
      </c>
      <c r="R1587" s="6" t="s">
        <v>181</v>
      </c>
      <c r="S1587" s="28"/>
      <c r="T1587" s="6" t="s">
        <v>6138</v>
      </c>
      <c r="U1587" s="7" t="n">
        <v>6</v>
      </c>
      <c r="V1587" s="7" t="n">
        <v>6</v>
      </c>
      <c r="W1587" s="8" t="s">
        <v>13249</v>
      </c>
      <c r="X1587" s="8" t="s">
        <v>13249</v>
      </c>
      <c r="Y1587" s="8" t="s">
        <v>12208</v>
      </c>
      <c r="Z1587" s="8" t="s">
        <v>12208</v>
      </c>
      <c r="AA1587" s="7" t="n">
        <v>718</v>
      </c>
      <c r="AB1587" s="7" t="n">
        <v>610</v>
      </c>
      <c r="AC1587" s="7" t="n">
        <v>615</v>
      </c>
      <c r="AD1587" s="7" t="n">
        <v>6</v>
      </c>
      <c r="AE1587" s="7" t="n">
        <v>6</v>
      </c>
      <c r="AF1587" s="7" t="n">
        <v>39</v>
      </c>
      <c r="AG1587" s="7" t="n">
        <v>39</v>
      </c>
      <c r="AH1587" s="7" t="n">
        <v>16</v>
      </c>
      <c r="AI1587" s="7" t="n">
        <v>16</v>
      </c>
      <c r="AJ1587" s="7" t="n">
        <v>8</v>
      </c>
      <c r="AK1587" s="7" t="n">
        <v>8</v>
      </c>
      <c r="AL1587" s="7" t="n">
        <v>22</v>
      </c>
      <c r="AM1587" s="7" t="n">
        <v>22</v>
      </c>
      <c r="AN1587" s="7" t="n">
        <v>4</v>
      </c>
      <c r="AO1587" s="7" t="n">
        <v>4</v>
      </c>
      <c r="AP1587" s="7" t="n">
        <v>0</v>
      </c>
      <c r="AQ1587" s="7" t="n">
        <v>0</v>
      </c>
      <c r="AR1587" s="6" t="s">
        <v>63</v>
      </c>
      <c r="AS1587" s="6" t="s">
        <v>57</v>
      </c>
      <c r="AT1587" s="9" t="str">
        <f aca="false">HYPERLINK("http://catalog.hathitrust.org/Record/001386032","HathiTrust Record")</f>
        <v>HathiTrust Record</v>
      </c>
      <c r="AU1587" s="9" t="str">
        <f aca="false">HYPERLINK("https://creighton-primo.hosted.exlibrisgroup.com/primo-explore/search?tab=default_tab&amp;search_scope=EVERYTHING&amp;vid=01CRU&amp;lang=en_US&amp;offset=0&amp;query=any,contains,991002918969702656","Catalog Record")</f>
        <v>Catalog Record</v>
      </c>
      <c r="AV1587" s="9" t="str">
        <f aca="false">HYPERLINK("http://www.worldcat.org/oclc/40712327","WorldCat Record")</f>
        <v>WorldCat Record</v>
      </c>
      <c r="AW1587" s="6" t="s">
        <v>13250</v>
      </c>
      <c r="AX1587" s="6" t="s">
        <v>13251</v>
      </c>
      <c r="AY1587" s="6" t="s">
        <v>13252</v>
      </c>
      <c r="AZ1587" s="6" t="s">
        <v>13252</v>
      </c>
      <c r="BA1587" s="6" t="s">
        <v>13253</v>
      </c>
      <c r="BB1587" s="28"/>
      <c r="BC1587" s="6" t="s">
        <v>13254</v>
      </c>
      <c r="BE1587" s="15" t="s">
        <v>2145</v>
      </c>
      <c r="BF1587" s="6" t="s">
        <v>13255</v>
      </c>
    </row>
    <row r="1588" customFormat="false" ht="105.5" hidden="false" customHeight="false" outlineLevel="0" collapsed="false">
      <c r="A1588" s="26" t="s">
        <v>63</v>
      </c>
      <c r="B1588" s="27" t="s">
        <v>2129</v>
      </c>
      <c r="C1588" s="27" t="s">
        <v>2130</v>
      </c>
      <c r="D1588" s="27" t="s">
        <v>13256</v>
      </c>
      <c r="E1588" s="27" t="s">
        <v>13257</v>
      </c>
      <c r="F1588" s="27" t="s">
        <v>13258</v>
      </c>
      <c r="G1588" s="28"/>
      <c r="H1588" s="6" t="s">
        <v>63</v>
      </c>
      <c r="I1588" s="6" t="s">
        <v>62</v>
      </c>
      <c r="J1588" s="6" t="s">
        <v>63</v>
      </c>
      <c r="K1588" s="6" t="s">
        <v>57</v>
      </c>
      <c r="L1588" s="6" t="s">
        <v>64</v>
      </c>
      <c r="M1588" s="27" t="s">
        <v>13259</v>
      </c>
      <c r="N1588" s="27" t="s">
        <v>13260</v>
      </c>
      <c r="O1588" s="6" t="s">
        <v>3094</v>
      </c>
      <c r="P1588" s="28"/>
      <c r="Q1588" s="6" t="s">
        <v>67</v>
      </c>
      <c r="R1588" s="6" t="s">
        <v>802</v>
      </c>
      <c r="S1588" s="28"/>
      <c r="T1588" s="6" t="s">
        <v>6138</v>
      </c>
      <c r="U1588" s="7" t="n">
        <v>4</v>
      </c>
      <c r="V1588" s="7" t="n">
        <v>4</v>
      </c>
      <c r="W1588" s="8" t="s">
        <v>5920</v>
      </c>
      <c r="X1588" s="8" t="s">
        <v>5920</v>
      </c>
      <c r="Y1588" s="8" t="s">
        <v>12208</v>
      </c>
      <c r="Z1588" s="8" t="s">
        <v>12208</v>
      </c>
      <c r="AA1588" s="7" t="n">
        <v>552</v>
      </c>
      <c r="AB1588" s="7" t="n">
        <v>438</v>
      </c>
      <c r="AC1588" s="7" t="n">
        <v>520</v>
      </c>
      <c r="AD1588" s="7" t="n">
        <v>2</v>
      </c>
      <c r="AE1588" s="7" t="n">
        <v>4</v>
      </c>
      <c r="AF1588" s="7" t="n">
        <v>32</v>
      </c>
      <c r="AG1588" s="7" t="n">
        <v>35</v>
      </c>
      <c r="AH1588" s="7" t="n">
        <v>12</v>
      </c>
      <c r="AI1588" s="7" t="n">
        <v>13</v>
      </c>
      <c r="AJ1588" s="7" t="n">
        <v>8</v>
      </c>
      <c r="AK1588" s="7" t="n">
        <v>9</v>
      </c>
      <c r="AL1588" s="7" t="n">
        <v>20</v>
      </c>
      <c r="AM1588" s="7" t="n">
        <v>21</v>
      </c>
      <c r="AN1588" s="7" t="n">
        <v>1</v>
      </c>
      <c r="AO1588" s="7" t="n">
        <v>2</v>
      </c>
      <c r="AP1588" s="7" t="n">
        <v>0</v>
      </c>
      <c r="AQ1588" s="7" t="n">
        <v>0</v>
      </c>
      <c r="AR1588" s="6" t="s">
        <v>63</v>
      </c>
      <c r="AS1588" s="6" t="s">
        <v>57</v>
      </c>
      <c r="AT1588" s="9" t="str">
        <f aca="false">HYPERLINK("http://catalog.hathitrust.org/Record/001917628","HathiTrust Record")</f>
        <v>HathiTrust Record</v>
      </c>
      <c r="AU1588" s="9" t="str">
        <f aca="false">HYPERLINK("https://creighton-primo.hosted.exlibrisgroup.com/primo-explore/search?tab=default_tab&amp;search_scope=EVERYTHING&amp;vid=01CRU&amp;lang=en_US&amp;offset=0&amp;query=any,contains,991003857729702656","Catalog Record")</f>
        <v>Catalog Record</v>
      </c>
      <c r="AV1588" s="9" t="str">
        <f aca="false">HYPERLINK("http://www.worldcat.org/oclc/1658702","WorldCat Record")</f>
        <v>WorldCat Record</v>
      </c>
      <c r="AW1588" s="6" t="s">
        <v>13261</v>
      </c>
      <c r="AX1588" s="6" t="s">
        <v>13262</v>
      </c>
      <c r="AY1588" s="6" t="s">
        <v>13263</v>
      </c>
      <c r="AZ1588" s="6" t="s">
        <v>13263</v>
      </c>
      <c r="BA1588" s="6" t="s">
        <v>13264</v>
      </c>
      <c r="BB1588" s="28"/>
      <c r="BC1588" s="6" t="s">
        <v>13265</v>
      </c>
      <c r="BE1588" s="15" t="s">
        <v>2145</v>
      </c>
      <c r="BF1588" s="6" t="s">
        <v>13266</v>
      </c>
    </row>
    <row r="1589" customFormat="false" ht="105.5" hidden="false" customHeight="false" outlineLevel="0" collapsed="false">
      <c r="A1589" s="26" t="s">
        <v>63</v>
      </c>
      <c r="B1589" s="27" t="s">
        <v>2129</v>
      </c>
      <c r="C1589" s="27" t="s">
        <v>2130</v>
      </c>
      <c r="D1589" s="27" t="s">
        <v>13267</v>
      </c>
      <c r="E1589" s="27" t="s">
        <v>13268</v>
      </c>
      <c r="F1589" s="27" t="s">
        <v>13258</v>
      </c>
      <c r="G1589" s="28"/>
      <c r="H1589" s="6" t="s">
        <v>63</v>
      </c>
      <c r="I1589" s="6" t="s">
        <v>62</v>
      </c>
      <c r="J1589" s="6" t="s">
        <v>63</v>
      </c>
      <c r="K1589" s="6" t="s">
        <v>57</v>
      </c>
      <c r="L1589" s="6" t="s">
        <v>64</v>
      </c>
      <c r="M1589" s="27" t="s">
        <v>13259</v>
      </c>
      <c r="N1589" s="27" t="s">
        <v>13269</v>
      </c>
      <c r="O1589" s="6" t="s">
        <v>2975</v>
      </c>
      <c r="P1589" s="28"/>
      <c r="Q1589" s="6" t="s">
        <v>67</v>
      </c>
      <c r="R1589" s="6" t="s">
        <v>123</v>
      </c>
      <c r="S1589" s="28"/>
      <c r="T1589" s="6" t="s">
        <v>6138</v>
      </c>
      <c r="U1589" s="7" t="n">
        <v>3</v>
      </c>
      <c r="V1589" s="7" t="n">
        <v>3</v>
      </c>
      <c r="W1589" s="8" t="s">
        <v>13089</v>
      </c>
      <c r="X1589" s="8" t="s">
        <v>13089</v>
      </c>
      <c r="Y1589" s="8" t="s">
        <v>12208</v>
      </c>
      <c r="Z1589" s="8" t="s">
        <v>12208</v>
      </c>
      <c r="AA1589" s="7" t="n">
        <v>91</v>
      </c>
      <c r="AB1589" s="7" t="n">
        <v>74</v>
      </c>
      <c r="AC1589" s="7" t="n">
        <v>520</v>
      </c>
      <c r="AD1589" s="7" t="n">
        <v>3</v>
      </c>
      <c r="AE1589" s="7" t="n">
        <v>4</v>
      </c>
      <c r="AF1589" s="7" t="n">
        <v>4</v>
      </c>
      <c r="AG1589" s="7" t="n">
        <v>35</v>
      </c>
      <c r="AH1589" s="7" t="n">
        <v>1</v>
      </c>
      <c r="AI1589" s="7" t="n">
        <v>13</v>
      </c>
      <c r="AJ1589" s="7" t="n">
        <v>1</v>
      </c>
      <c r="AK1589" s="7" t="n">
        <v>9</v>
      </c>
      <c r="AL1589" s="7" t="n">
        <v>2</v>
      </c>
      <c r="AM1589" s="7" t="n">
        <v>21</v>
      </c>
      <c r="AN1589" s="7" t="n">
        <v>1</v>
      </c>
      <c r="AO1589" s="7" t="n">
        <v>2</v>
      </c>
      <c r="AP1589" s="7" t="n">
        <v>0</v>
      </c>
      <c r="AQ1589" s="7" t="n">
        <v>0</v>
      </c>
      <c r="AR1589" s="6" t="s">
        <v>63</v>
      </c>
      <c r="AS1589" s="6" t="s">
        <v>57</v>
      </c>
      <c r="AT1589" s="9" t="str">
        <f aca="false">HYPERLINK("http://catalog.hathitrust.org/Record/102099362","HathiTrust Record")</f>
        <v>HathiTrust Record</v>
      </c>
      <c r="AU1589" s="9" t="str">
        <f aca="false">HYPERLINK("https://creighton-primo.hosted.exlibrisgroup.com/primo-explore/search?tab=default_tab&amp;search_scope=EVERYTHING&amp;vid=01CRU&amp;lang=en_US&amp;offset=0&amp;query=any,contains,991002893749702656","Catalog Record")</f>
        <v>Catalog Record</v>
      </c>
      <c r="AV1589" s="9" t="str">
        <f aca="false">HYPERLINK("http://www.worldcat.org/oclc/512816","WorldCat Record")</f>
        <v>WorldCat Record</v>
      </c>
      <c r="AW1589" s="6" t="s">
        <v>13261</v>
      </c>
      <c r="AX1589" s="6" t="s">
        <v>13270</v>
      </c>
      <c r="AY1589" s="6" t="s">
        <v>13271</v>
      </c>
      <c r="AZ1589" s="6" t="s">
        <v>13271</v>
      </c>
      <c r="BA1589" s="6" t="s">
        <v>13272</v>
      </c>
      <c r="BB1589" s="28"/>
      <c r="BC1589" s="6" t="s">
        <v>13273</v>
      </c>
      <c r="BE1589" s="15" t="s">
        <v>2145</v>
      </c>
      <c r="BF1589" s="6" t="s">
        <v>13274</v>
      </c>
    </row>
    <row r="1590" customFormat="false" ht="197.5" hidden="false" customHeight="false" outlineLevel="0" collapsed="false">
      <c r="A1590" s="26" t="s">
        <v>63</v>
      </c>
      <c r="B1590" s="27" t="s">
        <v>2129</v>
      </c>
      <c r="C1590" s="27" t="s">
        <v>2130</v>
      </c>
      <c r="D1590" s="27" t="s">
        <v>13275</v>
      </c>
      <c r="E1590" s="27" t="s">
        <v>13276</v>
      </c>
      <c r="F1590" s="27" t="s">
        <v>13277</v>
      </c>
      <c r="G1590" s="28"/>
      <c r="H1590" s="6" t="s">
        <v>63</v>
      </c>
      <c r="I1590" s="6" t="s">
        <v>62</v>
      </c>
      <c r="J1590" s="6" t="s">
        <v>63</v>
      </c>
      <c r="K1590" s="6" t="s">
        <v>63</v>
      </c>
      <c r="L1590" s="6" t="s">
        <v>64</v>
      </c>
      <c r="M1590" s="27" t="s">
        <v>13278</v>
      </c>
      <c r="N1590" s="27" t="s">
        <v>13279</v>
      </c>
      <c r="O1590" s="6" t="s">
        <v>2343</v>
      </c>
      <c r="P1590" s="28"/>
      <c r="Q1590" s="6" t="s">
        <v>67</v>
      </c>
      <c r="R1590" s="6" t="s">
        <v>384</v>
      </c>
      <c r="S1590" s="27" t="s">
        <v>10702</v>
      </c>
      <c r="T1590" s="6" t="s">
        <v>6138</v>
      </c>
      <c r="U1590" s="7" t="n">
        <v>6</v>
      </c>
      <c r="V1590" s="7" t="n">
        <v>6</v>
      </c>
      <c r="W1590" s="8" t="s">
        <v>13200</v>
      </c>
      <c r="X1590" s="8" t="s">
        <v>13200</v>
      </c>
      <c r="Y1590" s="8" t="s">
        <v>12208</v>
      </c>
      <c r="Z1590" s="8" t="s">
        <v>12208</v>
      </c>
      <c r="AA1590" s="7" t="n">
        <v>526</v>
      </c>
      <c r="AB1590" s="7" t="n">
        <v>401</v>
      </c>
      <c r="AC1590" s="7" t="n">
        <v>405</v>
      </c>
      <c r="AD1590" s="7" t="n">
        <v>3</v>
      </c>
      <c r="AE1590" s="7" t="n">
        <v>3</v>
      </c>
      <c r="AF1590" s="7" t="n">
        <v>23</v>
      </c>
      <c r="AG1590" s="7" t="n">
        <v>23</v>
      </c>
      <c r="AH1590" s="7" t="n">
        <v>9</v>
      </c>
      <c r="AI1590" s="7" t="n">
        <v>9</v>
      </c>
      <c r="AJ1590" s="7" t="n">
        <v>5</v>
      </c>
      <c r="AK1590" s="7" t="n">
        <v>5</v>
      </c>
      <c r="AL1590" s="7" t="n">
        <v>14</v>
      </c>
      <c r="AM1590" s="7" t="n">
        <v>14</v>
      </c>
      <c r="AN1590" s="7" t="n">
        <v>2</v>
      </c>
      <c r="AO1590" s="7" t="n">
        <v>2</v>
      </c>
      <c r="AP1590" s="7" t="n">
        <v>0</v>
      </c>
      <c r="AQ1590" s="7" t="n">
        <v>0</v>
      </c>
      <c r="AR1590" s="6" t="s">
        <v>63</v>
      </c>
      <c r="AS1590" s="6" t="s">
        <v>57</v>
      </c>
      <c r="AT1590" s="9" t="str">
        <f aca="false">HYPERLINK("http://catalog.hathitrust.org/Record/000101107","HathiTrust Record")</f>
        <v>HathiTrust Record</v>
      </c>
      <c r="AU1590" s="9" t="str">
        <f aca="false">HYPERLINK("https://creighton-primo.hosted.exlibrisgroup.com/primo-explore/search?tab=default_tab&amp;search_scope=EVERYTHING&amp;vid=01CRU&amp;lang=en_US&amp;offset=0&amp;query=any,contains,991005141939702656","Catalog Record")</f>
        <v>Catalog Record</v>
      </c>
      <c r="AV1590" s="9" t="str">
        <f aca="false">HYPERLINK("http://www.worldcat.org/oclc/7617470","WorldCat Record")</f>
        <v>WorldCat Record</v>
      </c>
      <c r="AW1590" s="6" t="s">
        <v>13280</v>
      </c>
      <c r="AX1590" s="6" t="s">
        <v>13281</v>
      </c>
      <c r="AY1590" s="6" t="s">
        <v>13282</v>
      </c>
      <c r="AZ1590" s="6" t="s">
        <v>13282</v>
      </c>
      <c r="BA1590" s="6" t="s">
        <v>13283</v>
      </c>
      <c r="BB1590" s="6" t="s">
        <v>13284</v>
      </c>
      <c r="BC1590" s="6" t="s">
        <v>13285</v>
      </c>
      <c r="BE1590" s="15" t="s">
        <v>2145</v>
      </c>
      <c r="BF1590" s="6" t="s">
        <v>13286</v>
      </c>
    </row>
    <row r="1591" customFormat="false" ht="174.5" hidden="false" customHeight="false" outlineLevel="0" collapsed="false">
      <c r="A1591" s="26" t="s">
        <v>63</v>
      </c>
      <c r="B1591" s="27" t="s">
        <v>2129</v>
      </c>
      <c r="C1591" s="27" t="s">
        <v>2130</v>
      </c>
      <c r="D1591" s="27" t="s">
        <v>13287</v>
      </c>
      <c r="E1591" s="27" t="s">
        <v>13288</v>
      </c>
      <c r="F1591" s="27" t="s">
        <v>13289</v>
      </c>
      <c r="G1591" s="28"/>
      <c r="H1591" s="6" t="s">
        <v>63</v>
      </c>
      <c r="I1591" s="6" t="s">
        <v>62</v>
      </c>
      <c r="J1591" s="6" t="s">
        <v>63</v>
      </c>
      <c r="K1591" s="6" t="s">
        <v>63</v>
      </c>
      <c r="L1591" s="6" t="s">
        <v>64</v>
      </c>
      <c r="M1591" s="27" t="s">
        <v>13290</v>
      </c>
      <c r="N1591" s="27" t="s">
        <v>13291</v>
      </c>
      <c r="O1591" s="6" t="s">
        <v>2343</v>
      </c>
      <c r="P1591" s="28"/>
      <c r="Q1591" s="6" t="s">
        <v>67</v>
      </c>
      <c r="R1591" s="6" t="s">
        <v>2894</v>
      </c>
      <c r="S1591" s="28"/>
      <c r="T1591" s="6" t="s">
        <v>6138</v>
      </c>
      <c r="U1591" s="7" t="n">
        <v>2</v>
      </c>
      <c r="V1591" s="7" t="n">
        <v>2</v>
      </c>
      <c r="W1591" s="8" t="s">
        <v>13292</v>
      </c>
      <c r="X1591" s="8" t="s">
        <v>13292</v>
      </c>
      <c r="Y1591" s="8" t="s">
        <v>12208</v>
      </c>
      <c r="Z1591" s="8" t="s">
        <v>12208</v>
      </c>
      <c r="AA1591" s="7" t="n">
        <v>542</v>
      </c>
      <c r="AB1591" s="7" t="n">
        <v>451</v>
      </c>
      <c r="AC1591" s="7" t="n">
        <v>519</v>
      </c>
      <c r="AD1591" s="7" t="n">
        <v>2</v>
      </c>
      <c r="AE1591" s="7" t="n">
        <v>5</v>
      </c>
      <c r="AF1591" s="7" t="n">
        <v>28</v>
      </c>
      <c r="AG1591" s="7" t="n">
        <v>35</v>
      </c>
      <c r="AH1591" s="7" t="n">
        <v>9</v>
      </c>
      <c r="AI1591" s="7" t="n">
        <v>13</v>
      </c>
      <c r="AJ1591" s="7" t="n">
        <v>7</v>
      </c>
      <c r="AK1591" s="7" t="n">
        <v>7</v>
      </c>
      <c r="AL1591" s="7" t="n">
        <v>20</v>
      </c>
      <c r="AM1591" s="7" t="n">
        <v>22</v>
      </c>
      <c r="AN1591" s="7" t="n">
        <v>1</v>
      </c>
      <c r="AO1591" s="7" t="n">
        <v>3</v>
      </c>
      <c r="AP1591" s="7" t="n">
        <v>0</v>
      </c>
      <c r="AQ1591" s="7" t="n">
        <v>0</v>
      </c>
      <c r="AR1591" s="6" t="s">
        <v>63</v>
      </c>
      <c r="AS1591" s="6" t="s">
        <v>57</v>
      </c>
      <c r="AT1591" s="9" t="str">
        <f aca="false">HYPERLINK("http://catalog.hathitrust.org/Record/000746934","HathiTrust Record")</f>
        <v>HathiTrust Record</v>
      </c>
      <c r="AU1591" s="9" t="str">
        <f aca="false">HYPERLINK("https://creighton-primo.hosted.exlibrisgroup.com/primo-explore/search?tab=default_tab&amp;search_scope=EVERYTHING&amp;vid=01CRU&amp;lang=en_US&amp;offset=0&amp;query=any,contains,991004999159702656","Catalog Record")</f>
        <v>Catalog Record</v>
      </c>
      <c r="AV1591" s="9" t="str">
        <f aca="false">HYPERLINK("http://www.worldcat.org/oclc/6532963","WorldCat Record")</f>
        <v>WorldCat Record</v>
      </c>
      <c r="AW1591" s="6" t="s">
        <v>13293</v>
      </c>
      <c r="AX1591" s="6" t="s">
        <v>13294</v>
      </c>
      <c r="AY1591" s="6" t="s">
        <v>13295</v>
      </c>
      <c r="AZ1591" s="6" t="s">
        <v>13295</v>
      </c>
      <c r="BA1591" s="6" t="s">
        <v>13296</v>
      </c>
      <c r="BB1591" s="6" t="s">
        <v>13297</v>
      </c>
      <c r="BC1591" s="6" t="s">
        <v>13298</v>
      </c>
      <c r="BE1591" s="15" t="s">
        <v>2145</v>
      </c>
      <c r="BF1591" s="6" t="s">
        <v>13299</v>
      </c>
    </row>
    <row r="1592" customFormat="false" ht="220.5" hidden="false" customHeight="false" outlineLevel="0" collapsed="false">
      <c r="A1592" s="26" t="s">
        <v>63</v>
      </c>
      <c r="B1592" s="27" t="s">
        <v>2129</v>
      </c>
      <c r="C1592" s="27" t="s">
        <v>2130</v>
      </c>
      <c r="D1592" s="27" t="s">
        <v>13300</v>
      </c>
      <c r="E1592" s="27" t="s">
        <v>13301</v>
      </c>
      <c r="F1592" s="27" t="s">
        <v>13302</v>
      </c>
      <c r="G1592" s="28"/>
      <c r="H1592" s="6" t="s">
        <v>63</v>
      </c>
      <c r="I1592" s="6" t="s">
        <v>62</v>
      </c>
      <c r="J1592" s="6" t="s">
        <v>57</v>
      </c>
      <c r="K1592" s="6" t="s">
        <v>63</v>
      </c>
      <c r="L1592" s="6" t="s">
        <v>64</v>
      </c>
      <c r="M1592" s="27" t="s">
        <v>13303</v>
      </c>
      <c r="N1592" s="27" t="s">
        <v>13304</v>
      </c>
      <c r="O1592" s="6" t="s">
        <v>2369</v>
      </c>
      <c r="P1592" s="28"/>
      <c r="Q1592" s="6" t="s">
        <v>67</v>
      </c>
      <c r="R1592" s="6" t="s">
        <v>500</v>
      </c>
      <c r="S1592" s="28"/>
      <c r="T1592" s="6" t="s">
        <v>6138</v>
      </c>
      <c r="U1592" s="7" t="n">
        <v>2</v>
      </c>
      <c r="V1592" s="7" t="n">
        <v>8</v>
      </c>
      <c r="W1592" s="8" t="s">
        <v>13161</v>
      </c>
      <c r="X1592" s="8" t="s">
        <v>13161</v>
      </c>
      <c r="Y1592" s="8" t="s">
        <v>12208</v>
      </c>
      <c r="Z1592" s="8" t="s">
        <v>12208</v>
      </c>
      <c r="AA1592" s="7" t="n">
        <v>917</v>
      </c>
      <c r="AB1592" s="7" t="n">
        <v>811</v>
      </c>
      <c r="AC1592" s="7" t="n">
        <v>974</v>
      </c>
      <c r="AD1592" s="7" t="n">
        <v>6</v>
      </c>
      <c r="AE1592" s="7" t="n">
        <v>6</v>
      </c>
      <c r="AF1592" s="7" t="n">
        <v>45</v>
      </c>
      <c r="AG1592" s="7" t="n">
        <v>52</v>
      </c>
      <c r="AH1592" s="7" t="n">
        <v>19</v>
      </c>
      <c r="AI1592" s="7" t="n">
        <v>23</v>
      </c>
      <c r="AJ1592" s="7" t="n">
        <v>9</v>
      </c>
      <c r="AK1592" s="7" t="n">
        <v>11</v>
      </c>
      <c r="AL1592" s="7" t="n">
        <v>25</v>
      </c>
      <c r="AM1592" s="7" t="n">
        <v>28</v>
      </c>
      <c r="AN1592" s="7" t="n">
        <v>4</v>
      </c>
      <c r="AO1592" s="7" t="n">
        <v>4</v>
      </c>
      <c r="AP1592" s="7" t="n">
        <v>0</v>
      </c>
      <c r="AQ1592" s="7" t="n">
        <v>0</v>
      </c>
      <c r="AR1592" s="6" t="s">
        <v>63</v>
      </c>
      <c r="AS1592" s="6" t="s">
        <v>57</v>
      </c>
      <c r="AT1592" s="9" t="str">
        <f aca="false">HYPERLINK("http://catalog.hathitrust.org/Record/000359831","HathiTrust Record")</f>
        <v>HathiTrust Record</v>
      </c>
      <c r="AU1592" s="9" t="str">
        <f aca="false">HYPERLINK("https://creighton-primo.hosted.exlibrisgroup.com/primo-explore/search?tab=default_tab&amp;search_scope=EVERYTHING&amp;vid=01CRU&amp;lang=en_US&amp;offset=0&amp;query=any,contains,991002563009702656","Catalog Record")</f>
        <v>Catalog Record</v>
      </c>
      <c r="AV1592" s="9" t="str">
        <f aca="false">HYPERLINK("http://www.worldcat.org/oclc/3611101","WorldCat Record")</f>
        <v>WorldCat Record</v>
      </c>
      <c r="AW1592" s="6" t="s">
        <v>13305</v>
      </c>
      <c r="AX1592" s="6" t="s">
        <v>13306</v>
      </c>
      <c r="AY1592" s="6" t="s">
        <v>13307</v>
      </c>
      <c r="AZ1592" s="6" t="s">
        <v>13307</v>
      </c>
      <c r="BA1592" s="6" t="s">
        <v>13308</v>
      </c>
      <c r="BB1592" s="28"/>
      <c r="BC1592" s="6" t="s">
        <v>13309</v>
      </c>
      <c r="BE1592" s="15" t="s">
        <v>2145</v>
      </c>
      <c r="BF1592" s="6" t="s">
        <v>13310</v>
      </c>
    </row>
    <row r="1593" customFormat="false" ht="359" hidden="false" customHeight="false" outlineLevel="0" collapsed="false">
      <c r="A1593" s="26" t="s">
        <v>63</v>
      </c>
      <c r="B1593" s="27" t="s">
        <v>2129</v>
      </c>
      <c r="C1593" s="27" t="s">
        <v>2130</v>
      </c>
      <c r="D1593" s="27" t="s">
        <v>13311</v>
      </c>
      <c r="E1593" s="27" t="s">
        <v>13312</v>
      </c>
      <c r="F1593" s="27" t="s">
        <v>13313</v>
      </c>
      <c r="G1593" s="6" t="s">
        <v>13314</v>
      </c>
      <c r="H1593" s="6" t="s">
        <v>63</v>
      </c>
      <c r="I1593" s="6" t="s">
        <v>62</v>
      </c>
      <c r="J1593" s="6" t="s">
        <v>63</v>
      </c>
      <c r="K1593" s="6" t="s">
        <v>63</v>
      </c>
      <c r="L1593" s="6" t="s">
        <v>64</v>
      </c>
      <c r="M1593" s="28"/>
      <c r="N1593" s="27" t="s">
        <v>13315</v>
      </c>
      <c r="O1593" s="6" t="s">
        <v>2343</v>
      </c>
      <c r="P1593" s="28"/>
      <c r="Q1593" s="6" t="s">
        <v>67</v>
      </c>
      <c r="R1593" s="6" t="s">
        <v>802</v>
      </c>
      <c r="S1593" s="27" t="s">
        <v>13316</v>
      </c>
      <c r="T1593" s="6" t="s">
        <v>6138</v>
      </c>
      <c r="U1593" s="7" t="n">
        <v>3</v>
      </c>
      <c r="V1593" s="7" t="n">
        <v>3</v>
      </c>
      <c r="W1593" s="8" t="s">
        <v>13317</v>
      </c>
      <c r="X1593" s="8" t="s">
        <v>13317</v>
      </c>
      <c r="Y1593" s="8" t="s">
        <v>13318</v>
      </c>
      <c r="Z1593" s="8" t="s">
        <v>13318</v>
      </c>
      <c r="AA1593" s="7" t="n">
        <v>208</v>
      </c>
      <c r="AB1593" s="7" t="n">
        <v>152</v>
      </c>
      <c r="AC1593" s="7" t="n">
        <v>154</v>
      </c>
      <c r="AD1593" s="7" t="n">
        <v>2</v>
      </c>
      <c r="AE1593" s="7" t="n">
        <v>2</v>
      </c>
      <c r="AF1593" s="7" t="n">
        <v>19</v>
      </c>
      <c r="AG1593" s="7" t="n">
        <v>19</v>
      </c>
      <c r="AH1593" s="7" t="n">
        <v>5</v>
      </c>
      <c r="AI1593" s="7" t="n">
        <v>5</v>
      </c>
      <c r="AJ1593" s="7" t="n">
        <v>7</v>
      </c>
      <c r="AK1593" s="7" t="n">
        <v>7</v>
      </c>
      <c r="AL1593" s="7" t="n">
        <v>14</v>
      </c>
      <c r="AM1593" s="7" t="n">
        <v>14</v>
      </c>
      <c r="AN1593" s="7" t="n">
        <v>1</v>
      </c>
      <c r="AO1593" s="7" t="n">
        <v>1</v>
      </c>
      <c r="AP1593" s="7" t="n">
        <v>0</v>
      </c>
      <c r="AQ1593" s="7" t="n">
        <v>0</v>
      </c>
      <c r="AR1593" s="6" t="s">
        <v>63</v>
      </c>
      <c r="AS1593" s="6" t="s">
        <v>63</v>
      </c>
      <c r="AT1593" s="28"/>
      <c r="AU1593" s="9" t="str">
        <f aca="false">HYPERLINK("https://creighton-primo.hosted.exlibrisgroup.com/primo-explore/search?tab=default_tab&amp;search_scope=EVERYTHING&amp;vid=01CRU&amp;lang=en_US&amp;offset=0&amp;query=any,contains,991005002239702656","Catalog Record")</f>
        <v>Catalog Record</v>
      </c>
      <c r="AV1593" s="9" t="str">
        <f aca="false">HYPERLINK("http://www.worldcat.org/oclc/6554455","WorldCat Record")</f>
        <v>WorldCat Record</v>
      </c>
      <c r="AW1593" s="6" t="s">
        <v>13319</v>
      </c>
      <c r="AX1593" s="6" t="s">
        <v>13320</v>
      </c>
      <c r="AY1593" s="6" t="s">
        <v>13321</v>
      </c>
      <c r="AZ1593" s="6" t="s">
        <v>13321</v>
      </c>
      <c r="BA1593" s="6" t="s">
        <v>13322</v>
      </c>
      <c r="BB1593" s="6" t="s">
        <v>13323</v>
      </c>
      <c r="BC1593" s="6" t="s">
        <v>13324</v>
      </c>
      <c r="BE1593" s="15" t="s">
        <v>2145</v>
      </c>
      <c r="BF1593" s="6" t="s">
        <v>13325</v>
      </c>
    </row>
    <row r="1594" customFormat="false" ht="359" hidden="false" customHeight="false" outlineLevel="0" collapsed="false">
      <c r="A1594" s="26" t="s">
        <v>63</v>
      </c>
      <c r="B1594" s="27" t="s">
        <v>2129</v>
      </c>
      <c r="C1594" s="27" t="s">
        <v>2130</v>
      </c>
      <c r="D1594" s="27" t="s">
        <v>13326</v>
      </c>
      <c r="E1594" s="27" t="s">
        <v>13327</v>
      </c>
      <c r="F1594" s="27" t="s">
        <v>13328</v>
      </c>
      <c r="G1594" s="6" t="s">
        <v>13329</v>
      </c>
      <c r="H1594" s="6" t="s">
        <v>63</v>
      </c>
      <c r="I1594" s="6" t="s">
        <v>62</v>
      </c>
      <c r="J1594" s="6" t="s">
        <v>63</v>
      </c>
      <c r="K1594" s="6" t="s">
        <v>63</v>
      </c>
      <c r="L1594" s="6" t="s">
        <v>64</v>
      </c>
      <c r="M1594" s="28"/>
      <c r="N1594" s="27" t="s">
        <v>13330</v>
      </c>
      <c r="O1594" s="6" t="s">
        <v>3301</v>
      </c>
      <c r="P1594" s="28"/>
      <c r="Q1594" s="6" t="s">
        <v>67</v>
      </c>
      <c r="R1594" s="6" t="s">
        <v>802</v>
      </c>
      <c r="S1594" s="27" t="s">
        <v>13331</v>
      </c>
      <c r="T1594" s="6" t="s">
        <v>6138</v>
      </c>
      <c r="U1594" s="7" t="n">
        <v>1</v>
      </c>
      <c r="V1594" s="7" t="n">
        <v>1</v>
      </c>
      <c r="W1594" s="8" t="s">
        <v>13332</v>
      </c>
      <c r="X1594" s="8" t="s">
        <v>13332</v>
      </c>
      <c r="Y1594" s="8" t="s">
        <v>13318</v>
      </c>
      <c r="Z1594" s="8" t="s">
        <v>13318</v>
      </c>
      <c r="AA1594" s="7" t="n">
        <v>219</v>
      </c>
      <c r="AB1594" s="7" t="n">
        <v>168</v>
      </c>
      <c r="AC1594" s="7" t="n">
        <v>171</v>
      </c>
      <c r="AD1594" s="7" t="n">
        <v>2</v>
      </c>
      <c r="AE1594" s="7" t="n">
        <v>2</v>
      </c>
      <c r="AF1594" s="7" t="n">
        <v>20</v>
      </c>
      <c r="AG1594" s="7" t="n">
        <v>20</v>
      </c>
      <c r="AH1594" s="7" t="n">
        <v>7</v>
      </c>
      <c r="AI1594" s="7" t="n">
        <v>7</v>
      </c>
      <c r="AJ1594" s="7" t="n">
        <v>6</v>
      </c>
      <c r="AK1594" s="7" t="n">
        <v>6</v>
      </c>
      <c r="AL1594" s="7" t="n">
        <v>16</v>
      </c>
      <c r="AM1594" s="7" t="n">
        <v>16</v>
      </c>
      <c r="AN1594" s="7" t="n">
        <v>1</v>
      </c>
      <c r="AO1594" s="7" t="n">
        <v>1</v>
      </c>
      <c r="AP1594" s="7" t="n">
        <v>0</v>
      </c>
      <c r="AQ1594" s="7" t="n">
        <v>0</v>
      </c>
      <c r="AR1594" s="6" t="s">
        <v>63</v>
      </c>
      <c r="AS1594" s="6" t="s">
        <v>57</v>
      </c>
      <c r="AT1594" s="9" t="str">
        <f aca="false">HYPERLINK("http://catalog.hathitrust.org/Record/000102349","HathiTrust Record")</f>
        <v>HathiTrust Record</v>
      </c>
      <c r="AU1594" s="9" t="str">
        <f aca="false">HYPERLINK("https://creighton-primo.hosted.exlibrisgroup.com/primo-explore/search?tab=default_tab&amp;search_scope=EVERYTHING&amp;vid=01CRU&amp;lang=en_US&amp;offset=0&amp;query=any,contains,991005147309702656","Catalog Record")</f>
        <v>Catalog Record</v>
      </c>
      <c r="AV1594" s="9" t="str">
        <f aca="false">HYPERLINK("http://www.worldcat.org/oclc/7672178","WorldCat Record")</f>
        <v>WorldCat Record</v>
      </c>
      <c r="AW1594" s="6" t="s">
        <v>13333</v>
      </c>
      <c r="AX1594" s="6" t="s">
        <v>13334</v>
      </c>
      <c r="AY1594" s="6" t="s">
        <v>13335</v>
      </c>
      <c r="AZ1594" s="6" t="s">
        <v>13335</v>
      </c>
      <c r="BA1594" s="6" t="s">
        <v>13336</v>
      </c>
      <c r="BB1594" s="6" t="s">
        <v>13337</v>
      </c>
      <c r="BC1594" s="6" t="s">
        <v>13338</v>
      </c>
      <c r="BE1594" s="15" t="s">
        <v>2145</v>
      </c>
      <c r="BF1594" s="6" t="s">
        <v>13339</v>
      </c>
    </row>
    <row r="1595" customFormat="false" ht="220.5" hidden="false" customHeight="false" outlineLevel="0" collapsed="false">
      <c r="A1595" s="26" t="s">
        <v>63</v>
      </c>
      <c r="B1595" s="27" t="s">
        <v>2129</v>
      </c>
      <c r="C1595" s="27" t="s">
        <v>2130</v>
      </c>
      <c r="D1595" s="27" t="s">
        <v>13340</v>
      </c>
      <c r="E1595" s="27" t="s">
        <v>13341</v>
      </c>
      <c r="F1595" s="27" t="s">
        <v>13342</v>
      </c>
      <c r="G1595" s="6" t="s">
        <v>13343</v>
      </c>
      <c r="H1595" s="6" t="s">
        <v>63</v>
      </c>
      <c r="I1595" s="6" t="s">
        <v>62</v>
      </c>
      <c r="J1595" s="6" t="s">
        <v>63</v>
      </c>
      <c r="K1595" s="6" t="s">
        <v>63</v>
      </c>
      <c r="L1595" s="6" t="s">
        <v>64</v>
      </c>
      <c r="M1595" s="27" t="s">
        <v>10636</v>
      </c>
      <c r="N1595" s="27" t="s">
        <v>13344</v>
      </c>
      <c r="O1595" s="6" t="s">
        <v>2343</v>
      </c>
      <c r="P1595" s="28"/>
      <c r="Q1595" s="6" t="s">
        <v>67</v>
      </c>
      <c r="R1595" s="6" t="s">
        <v>802</v>
      </c>
      <c r="S1595" s="27" t="s">
        <v>13345</v>
      </c>
      <c r="T1595" s="6" t="s">
        <v>6138</v>
      </c>
      <c r="U1595" s="7" t="n">
        <v>3</v>
      </c>
      <c r="V1595" s="7" t="n">
        <v>3</v>
      </c>
      <c r="W1595" s="8" t="s">
        <v>13346</v>
      </c>
      <c r="X1595" s="8" t="s">
        <v>13346</v>
      </c>
      <c r="Y1595" s="8" t="s">
        <v>13318</v>
      </c>
      <c r="Z1595" s="8" t="s">
        <v>13318</v>
      </c>
      <c r="AA1595" s="7" t="n">
        <v>280</v>
      </c>
      <c r="AB1595" s="7" t="n">
        <v>195</v>
      </c>
      <c r="AC1595" s="7" t="n">
        <v>196</v>
      </c>
      <c r="AD1595" s="7" t="n">
        <v>2</v>
      </c>
      <c r="AE1595" s="7" t="n">
        <v>2</v>
      </c>
      <c r="AF1595" s="7" t="n">
        <v>18</v>
      </c>
      <c r="AG1595" s="7" t="n">
        <v>18</v>
      </c>
      <c r="AH1595" s="7" t="n">
        <v>5</v>
      </c>
      <c r="AI1595" s="7" t="n">
        <v>5</v>
      </c>
      <c r="AJ1595" s="7" t="n">
        <v>6</v>
      </c>
      <c r="AK1595" s="7" t="n">
        <v>6</v>
      </c>
      <c r="AL1595" s="7" t="n">
        <v>14</v>
      </c>
      <c r="AM1595" s="7" t="n">
        <v>14</v>
      </c>
      <c r="AN1595" s="7" t="n">
        <v>1</v>
      </c>
      <c r="AO1595" s="7" t="n">
        <v>1</v>
      </c>
      <c r="AP1595" s="7" t="n">
        <v>0</v>
      </c>
      <c r="AQ1595" s="7" t="n">
        <v>0</v>
      </c>
      <c r="AR1595" s="6" t="s">
        <v>63</v>
      </c>
      <c r="AS1595" s="6" t="s">
        <v>63</v>
      </c>
      <c r="AT1595" s="28"/>
      <c r="AU1595" s="9" t="str">
        <f aca="false">HYPERLINK("https://creighton-primo.hosted.exlibrisgroup.com/primo-explore/search?tab=default_tab&amp;search_scope=EVERYTHING&amp;vid=01CRU&amp;lang=en_US&amp;offset=0&amp;query=any,contains,991005150799702656","Catalog Record")</f>
        <v>Catalog Record</v>
      </c>
      <c r="AV1595" s="9" t="str">
        <f aca="false">HYPERLINK("http://www.worldcat.org/oclc/7731856","WorldCat Record")</f>
        <v>WorldCat Record</v>
      </c>
      <c r="AW1595" s="6" t="s">
        <v>13347</v>
      </c>
      <c r="AX1595" s="6" t="s">
        <v>13348</v>
      </c>
      <c r="AY1595" s="6" t="s">
        <v>13349</v>
      </c>
      <c r="AZ1595" s="6" t="s">
        <v>13349</v>
      </c>
      <c r="BA1595" s="6" t="s">
        <v>13350</v>
      </c>
      <c r="BB1595" s="6" t="s">
        <v>13351</v>
      </c>
      <c r="BC1595" s="6" t="s">
        <v>13352</v>
      </c>
      <c r="BE1595" s="15" t="s">
        <v>2145</v>
      </c>
      <c r="BF1595" s="6" t="s">
        <v>13353</v>
      </c>
    </row>
    <row r="1596" customFormat="false" ht="209" hidden="false" customHeight="false" outlineLevel="0" collapsed="false">
      <c r="A1596" s="26" t="s">
        <v>63</v>
      </c>
      <c r="B1596" s="27" t="s">
        <v>2129</v>
      </c>
      <c r="C1596" s="27" t="s">
        <v>2130</v>
      </c>
      <c r="D1596" s="27" t="s">
        <v>13354</v>
      </c>
      <c r="E1596" s="27" t="s">
        <v>13355</v>
      </c>
      <c r="F1596" s="27" t="s">
        <v>13356</v>
      </c>
      <c r="G1596" s="6" t="s">
        <v>13357</v>
      </c>
      <c r="H1596" s="6" t="s">
        <v>63</v>
      </c>
      <c r="I1596" s="6" t="s">
        <v>62</v>
      </c>
      <c r="J1596" s="6" t="s">
        <v>63</v>
      </c>
      <c r="K1596" s="6" t="s">
        <v>63</v>
      </c>
      <c r="L1596" s="6" t="s">
        <v>64</v>
      </c>
      <c r="M1596" s="28"/>
      <c r="N1596" s="27" t="s">
        <v>13358</v>
      </c>
      <c r="O1596" s="6" t="s">
        <v>152</v>
      </c>
      <c r="P1596" s="28"/>
      <c r="Q1596" s="6" t="s">
        <v>67</v>
      </c>
      <c r="R1596" s="6" t="s">
        <v>802</v>
      </c>
      <c r="S1596" s="27" t="s">
        <v>13359</v>
      </c>
      <c r="T1596" s="6" t="s">
        <v>6138</v>
      </c>
      <c r="U1596" s="7" t="n">
        <v>1</v>
      </c>
      <c r="V1596" s="7" t="n">
        <v>1</v>
      </c>
      <c r="W1596" s="8" t="s">
        <v>13360</v>
      </c>
      <c r="X1596" s="8" t="s">
        <v>13360</v>
      </c>
      <c r="Y1596" s="8" t="s">
        <v>13318</v>
      </c>
      <c r="Z1596" s="8" t="s">
        <v>13318</v>
      </c>
      <c r="AA1596" s="7" t="n">
        <v>200</v>
      </c>
      <c r="AB1596" s="7" t="n">
        <v>154</v>
      </c>
      <c r="AC1596" s="7" t="n">
        <v>164</v>
      </c>
      <c r="AD1596" s="7" t="n">
        <v>2</v>
      </c>
      <c r="AE1596" s="7" t="n">
        <v>2</v>
      </c>
      <c r="AF1596" s="7" t="n">
        <v>18</v>
      </c>
      <c r="AG1596" s="7" t="n">
        <v>19</v>
      </c>
      <c r="AH1596" s="7" t="n">
        <v>6</v>
      </c>
      <c r="AI1596" s="7" t="n">
        <v>7</v>
      </c>
      <c r="AJ1596" s="7" t="n">
        <v>6</v>
      </c>
      <c r="AK1596" s="7" t="n">
        <v>6</v>
      </c>
      <c r="AL1596" s="7" t="n">
        <v>14</v>
      </c>
      <c r="AM1596" s="7" t="n">
        <v>15</v>
      </c>
      <c r="AN1596" s="7" t="n">
        <v>1</v>
      </c>
      <c r="AO1596" s="7" t="n">
        <v>1</v>
      </c>
      <c r="AP1596" s="7" t="n">
        <v>0</v>
      </c>
      <c r="AQ1596" s="7" t="n">
        <v>0</v>
      </c>
      <c r="AR1596" s="6" t="s">
        <v>63</v>
      </c>
      <c r="AS1596" s="6" t="s">
        <v>57</v>
      </c>
      <c r="AT1596" s="9" t="str">
        <f aca="false">HYPERLINK("http://catalog.hathitrust.org/Record/000327016","HathiTrust Record")</f>
        <v>HathiTrust Record</v>
      </c>
      <c r="AU1596" s="9" t="str">
        <f aca="false">HYPERLINK("https://creighton-primo.hosted.exlibrisgroup.com/primo-explore/search?tab=default_tab&amp;search_scope=EVERYTHING&amp;vid=01CRU&amp;lang=en_US&amp;offset=0&amp;query=any,contains,991000354339702656","Catalog Record")</f>
        <v>Catalog Record</v>
      </c>
      <c r="AV1596" s="9" t="str">
        <f aca="false">HYPERLINK("http://www.worldcat.org/oclc/10323742","WorldCat Record")</f>
        <v>WorldCat Record</v>
      </c>
      <c r="AW1596" s="6" t="s">
        <v>13361</v>
      </c>
      <c r="AX1596" s="6" t="s">
        <v>13362</v>
      </c>
      <c r="AY1596" s="6" t="s">
        <v>13363</v>
      </c>
      <c r="AZ1596" s="6" t="s">
        <v>13363</v>
      </c>
      <c r="BA1596" s="6" t="s">
        <v>13364</v>
      </c>
      <c r="BB1596" s="6" t="s">
        <v>13365</v>
      </c>
      <c r="BC1596" s="6" t="s">
        <v>13366</v>
      </c>
      <c r="BE1596" s="15" t="s">
        <v>2145</v>
      </c>
      <c r="BF1596" s="6" t="s">
        <v>13367</v>
      </c>
    </row>
    <row r="1597" customFormat="false" ht="301" hidden="false" customHeight="false" outlineLevel="0" collapsed="false">
      <c r="A1597" s="26" t="s">
        <v>63</v>
      </c>
      <c r="B1597" s="27" t="s">
        <v>2129</v>
      </c>
      <c r="C1597" s="27" t="s">
        <v>2130</v>
      </c>
      <c r="D1597" s="27" t="s">
        <v>13368</v>
      </c>
      <c r="E1597" s="27" t="s">
        <v>13369</v>
      </c>
      <c r="F1597" s="27" t="s">
        <v>13370</v>
      </c>
      <c r="G1597" s="6" t="s">
        <v>13371</v>
      </c>
      <c r="H1597" s="6" t="s">
        <v>63</v>
      </c>
      <c r="I1597" s="6" t="s">
        <v>62</v>
      </c>
      <c r="J1597" s="6" t="s">
        <v>63</v>
      </c>
      <c r="K1597" s="6" t="s">
        <v>63</v>
      </c>
      <c r="L1597" s="6" t="s">
        <v>64</v>
      </c>
      <c r="M1597" s="28"/>
      <c r="N1597" s="27" t="s">
        <v>4621</v>
      </c>
      <c r="O1597" s="6" t="s">
        <v>2221</v>
      </c>
      <c r="P1597" s="28"/>
      <c r="Q1597" s="6" t="s">
        <v>67</v>
      </c>
      <c r="R1597" s="6" t="s">
        <v>802</v>
      </c>
      <c r="S1597" s="27" t="s">
        <v>13372</v>
      </c>
      <c r="T1597" s="6" t="s">
        <v>6138</v>
      </c>
      <c r="U1597" s="7" t="n">
        <v>1</v>
      </c>
      <c r="V1597" s="7" t="n">
        <v>1</v>
      </c>
      <c r="W1597" s="8" t="s">
        <v>13373</v>
      </c>
      <c r="X1597" s="8" t="s">
        <v>13373</v>
      </c>
      <c r="Y1597" s="8" t="s">
        <v>13318</v>
      </c>
      <c r="Z1597" s="8" t="s">
        <v>13318</v>
      </c>
      <c r="AA1597" s="7" t="n">
        <v>27</v>
      </c>
      <c r="AB1597" s="7" t="n">
        <v>25</v>
      </c>
      <c r="AC1597" s="7" t="n">
        <v>40</v>
      </c>
      <c r="AD1597" s="7" t="n">
        <v>2</v>
      </c>
      <c r="AE1597" s="7" t="n">
        <v>2</v>
      </c>
      <c r="AF1597" s="7" t="n">
        <v>8</v>
      </c>
      <c r="AG1597" s="7" t="n">
        <v>9</v>
      </c>
      <c r="AH1597" s="7" t="n">
        <v>3</v>
      </c>
      <c r="AI1597" s="7" t="n">
        <v>4</v>
      </c>
      <c r="AJ1597" s="7" t="n">
        <v>1</v>
      </c>
      <c r="AK1597" s="7" t="n">
        <v>1</v>
      </c>
      <c r="AL1597" s="7" t="n">
        <v>5</v>
      </c>
      <c r="AM1597" s="7" t="n">
        <v>6</v>
      </c>
      <c r="AN1597" s="7" t="n">
        <v>1</v>
      </c>
      <c r="AO1597" s="7" t="n">
        <v>1</v>
      </c>
      <c r="AP1597" s="7" t="n">
        <v>0</v>
      </c>
      <c r="AQ1597" s="7" t="n">
        <v>0</v>
      </c>
      <c r="AR1597" s="6" t="s">
        <v>63</v>
      </c>
      <c r="AS1597" s="6" t="s">
        <v>63</v>
      </c>
      <c r="AT1597" s="28"/>
      <c r="AU1597" s="9" t="str">
        <f aca="false">HYPERLINK("https://creighton-primo.hosted.exlibrisgroup.com/primo-explore/search?tab=default_tab&amp;search_scope=EVERYTHING&amp;vid=01CRU&amp;lang=en_US&amp;offset=0&amp;query=any,contains,991001396349702656","Catalog Record")</f>
        <v>Catalog Record</v>
      </c>
      <c r="AV1597" s="9" t="str">
        <f aca="false">HYPERLINK("http://www.worldcat.org/oclc/18793888","WorldCat Record")</f>
        <v>WorldCat Record</v>
      </c>
      <c r="AW1597" s="6" t="s">
        <v>13374</v>
      </c>
      <c r="AX1597" s="6" t="s">
        <v>13375</v>
      </c>
      <c r="AY1597" s="6" t="s">
        <v>13376</v>
      </c>
      <c r="AZ1597" s="6" t="s">
        <v>13376</v>
      </c>
      <c r="BA1597" s="6" t="s">
        <v>13377</v>
      </c>
      <c r="BB1597" s="28"/>
      <c r="BC1597" s="6" t="s">
        <v>13378</v>
      </c>
      <c r="BE1597" s="15" t="s">
        <v>2145</v>
      </c>
      <c r="BF1597" s="6" t="s">
        <v>13379</v>
      </c>
    </row>
    <row r="1598" customFormat="false" ht="209" hidden="false" customHeight="false" outlineLevel="0" collapsed="false">
      <c r="A1598" s="26" t="s">
        <v>63</v>
      </c>
      <c r="B1598" s="27" t="s">
        <v>2129</v>
      </c>
      <c r="C1598" s="27" t="s">
        <v>2130</v>
      </c>
      <c r="D1598" s="27" t="s">
        <v>13380</v>
      </c>
      <c r="E1598" s="27" t="s">
        <v>13381</v>
      </c>
      <c r="F1598" s="27" t="s">
        <v>13382</v>
      </c>
      <c r="G1598" s="6" t="s">
        <v>13383</v>
      </c>
      <c r="H1598" s="6" t="s">
        <v>63</v>
      </c>
      <c r="I1598" s="6" t="s">
        <v>62</v>
      </c>
      <c r="J1598" s="6" t="s">
        <v>63</v>
      </c>
      <c r="K1598" s="6" t="s">
        <v>63</v>
      </c>
      <c r="L1598" s="6" t="s">
        <v>64</v>
      </c>
      <c r="M1598" s="28"/>
      <c r="N1598" s="27" t="s">
        <v>13384</v>
      </c>
      <c r="O1598" s="6" t="s">
        <v>2411</v>
      </c>
      <c r="P1598" s="28"/>
      <c r="Q1598" s="6" t="s">
        <v>67</v>
      </c>
      <c r="R1598" s="6" t="s">
        <v>802</v>
      </c>
      <c r="S1598" s="27" t="s">
        <v>13385</v>
      </c>
      <c r="T1598" s="6" t="s">
        <v>6138</v>
      </c>
      <c r="U1598" s="7" t="n">
        <v>3</v>
      </c>
      <c r="V1598" s="7" t="n">
        <v>3</v>
      </c>
      <c r="W1598" s="8" t="s">
        <v>13386</v>
      </c>
      <c r="X1598" s="8" t="s">
        <v>13386</v>
      </c>
      <c r="Y1598" s="8" t="s">
        <v>13318</v>
      </c>
      <c r="Z1598" s="8" t="s">
        <v>13318</v>
      </c>
      <c r="AA1598" s="7" t="n">
        <v>177</v>
      </c>
      <c r="AB1598" s="7" t="n">
        <v>136</v>
      </c>
      <c r="AC1598" s="7" t="n">
        <v>147</v>
      </c>
      <c r="AD1598" s="7" t="n">
        <v>2</v>
      </c>
      <c r="AE1598" s="7" t="n">
        <v>2</v>
      </c>
      <c r="AF1598" s="7" t="n">
        <v>17</v>
      </c>
      <c r="AG1598" s="7" t="n">
        <v>18</v>
      </c>
      <c r="AH1598" s="7" t="n">
        <v>5</v>
      </c>
      <c r="AI1598" s="7" t="n">
        <v>6</v>
      </c>
      <c r="AJ1598" s="7" t="n">
        <v>6</v>
      </c>
      <c r="AK1598" s="7" t="n">
        <v>6</v>
      </c>
      <c r="AL1598" s="7" t="n">
        <v>13</v>
      </c>
      <c r="AM1598" s="7" t="n">
        <v>14</v>
      </c>
      <c r="AN1598" s="7" t="n">
        <v>1</v>
      </c>
      <c r="AO1598" s="7" t="n">
        <v>1</v>
      </c>
      <c r="AP1598" s="7" t="n">
        <v>0</v>
      </c>
      <c r="AQ1598" s="7" t="n">
        <v>0</v>
      </c>
      <c r="AR1598" s="6" t="s">
        <v>63</v>
      </c>
      <c r="AS1598" s="6" t="s">
        <v>57</v>
      </c>
      <c r="AT1598" s="9" t="str">
        <f aca="false">HYPERLINK("http://catalog.hathitrust.org/Record/001539709","HathiTrust Record")</f>
        <v>HathiTrust Record</v>
      </c>
      <c r="AU1598" s="9" t="str">
        <f aca="false">HYPERLINK("https://creighton-primo.hosted.exlibrisgroup.com/primo-explore/search?tab=default_tab&amp;search_scope=EVERYTHING&amp;vid=01CRU&amp;lang=en_US&amp;offset=0&amp;query=any,contains,991001285249702656","Catalog Record")</f>
        <v>Catalog Record</v>
      </c>
      <c r="AV1598" s="9" t="str">
        <f aca="false">HYPERLINK("http://www.worldcat.org/oclc/17953641","WorldCat Record")</f>
        <v>WorldCat Record</v>
      </c>
      <c r="AW1598" s="6" t="s">
        <v>13387</v>
      </c>
      <c r="AX1598" s="6" t="s">
        <v>13388</v>
      </c>
      <c r="AY1598" s="6" t="s">
        <v>13389</v>
      </c>
      <c r="AZ1598" s="6" t="s">
        <v>13389</v>
      </c>
      <c r="BA1598" s="6" t="s">
        <v>13390</v>
      </c>
      <c r="BB1598" s="6" t="s">
        <v>13391</v>
      </c>
      <c r="BC1598" s="6" t="s">
        <v>13392</v>
      </c>
      <c r="BE1598" s="15" t="s">
        <v>2145</v>
      </c>
      <c r="BF1598" s="6" t="s">
        <v>13393</v>
      </c>
    </row>
    <row r="1599" customFormat="false" ht="197.5" hidden="false" customHeight="false" outlineLevel="0" collapsed="false">
      <c r="A1599" s="26" t="s">
        <v>63</v>
      </c>
      <c r="B1599" s="27" t="s">
        <v>2129</v>
      </c>
      <c r="C1599" s="27" t="s">
        <v>2130</v>
      </c>
      <c r="D1599" s="27" t="s">
        <v>13394</v>
      </c>
      <c r="E1599" s="27" t="s">
        <v>13395</v>
      </c>
      <c r="F1599" s="27" t="s">
        <v>13396</v>
      </c>
      <c r="G1599" s="6" t="s">
        <v>13397</v>
      </c>
      <c r="H1599" s="6" t="s">
        <v>63</v>
      </c>
      <c r="I1599" s="6" t="s">
        <v>62</v>
      </c>
      <c r="J1599" s="6" t="s">
        <v>63</v>
      </c>
      <c r="K1599" s="6" t="s">
        <v>63</v>
      </c>
      <c r="L1599" s="6" t="s">
        <v>64</v>
      </c>
      <c r="M1599" s="28"/>
      <c r="N1599" s="27" t="s">
        <v>13398</v>
      </c>
      <c r="O1599" s="6" t="s">
        <v>3697</v>
      </c>
      <c r="P1599" s="28"/>
      <c r="Q1599" s="6" t="s">
        <v>67</v>
      </c>
      <c r="R1599" s="6" t="s">
        <v>802</v>
      </c>
      <c r="S1599" s="27" t="s">
        <v>13399</v>
      </c>
      <c r="T1599" s="6" t="s">
        <v>6138</v>
      </c>
      <c r="U1599" s="7" t="n">
        <v>1</v>
      </c>
      <c r="V1599" s="7" t="n">
        <v>1</v>
      </c>
      <c r="W1599" s="8" t="s">
        <v>13400</v>
      </c>
      <c r="X1599" s="8" t="s">
        <v>13400</v>
      </c>
      <c r="Y1599" s="8" t="s">
        <v>13318</v>
      </c>
      <c r="Z1599" s="8" t="s">
        <v>13318</v>
      </c>
      <c r="AA1599" s="7" t="n">
        <v>23</v>
      </c>
      <c r="AB1599" s="7" t="n">
        <v>19</v>
      </c>
      <c r="AC1599" s="7" t="n">
        <v>22</v>
      </c>
      <c r="AD1599" s="7" t="n">
        <v>1</v>
      </c>
      <c r="AE1599" s="7" t="n">
        <v>1</v>
      </c>
      <c r="AF1599" s="7" t="n">
        <v>4</v>
      </c>
      <c r="AG1599" s="7" t="n">
        <v>4</v>
      </c>
      <c r="AH1599" s="7" t="n">
        <v>2</v>
      </c>
      <c r="AI1599" s="7" t="n">
        <v>2</v>
      </c>
      <c r="AJ1599" s="7" t="n">
        <v>0</v>
      </c>
      <c r="AK1599" s="7" t="n">
        <v>0</v>
      </c>
      <c r="AL1599" s="7" t="n">
        <v>4</v>
      </c>
      <c r="AM1599" s="7" t="n">
        <v>4</v>
      </c>
      <c r="AN1599" s="7" t="n">
        <v>0</v>
      </c>
      <c r="AO1599" s="7" t="n">
        <v>0</v>
      </c>
      <c r="AP1599" s="7" t="n">
        <v>0</v>
      </c>
      <c r="AQ1599" s="7" t="n">
        <v>0</v>
      </c>
      <c r="AR1599" s="6" t="s">
        <v>63</v>
      </c>
      <c r="AS1599" s="6" t="s">
        <v>57</v>
      </c>
      <c r="AT1599" s="9" t="str">
        <f aca="false">HYPERLINK("http://catalog.hathitrust.org/Record/002437562","HathiTrust Record")</f>
        <v>HathiTrust Record</v>
      </c>
      <c r="AU1599" s="9" t="str">
        <f aca="false">HYPERLINK("https://creighton-primo.hosted.exlibrisgroup.com/primo-explore/search?tab=default_tab&amp;search_scope=EVERYTHING&amp;vid=01CRU&amp;lang=en_US&amp;offset=0&amp;query=any,contains,991001731449702656","Catalog Record")</f>
        <v>Catalog Record</v>
      </c>
      <c r="AV1599" s="9" t="str">
        <f aca="false">HYPERLINK("http://www.worldcat.org/oclc/21925142","WorldCat Record")</f>
        <v>WorldCat Record</v>
      </c>
      <c r="AW1599" s="6" t="s">
        <v>13401</v>
      </c>
      <c r="AX1599" s="6" t="s">
        <v>13402</v>
      </c>
      <c r="AY1599" s="6" t="s">
        <v>13403</v>
      </c>
      <c r="AZ1599" s="6" t="s">
        <v>13403</v>
      </c>
      <c r="BA1599" s="6" t="s">
        <v>13404</v>
      </c>
      <c r="BB1599" s="28"/>
      <c r="BC1599" s="6" t="s">
        <v>13405</v>
      </c>
      <c r="BE1599" s="15" t="s">
        <v>2145</v>
      </c>
      <c r="BF1599" s="6" t="s">
        <v>13406</v>
      </c>
    </row>
    <row r="1600" customFormat="false" ht="255" hidden="false" customHeight="false" outlineLevel="0" collapsed="false">
      <c r="A1600" s="26" t="s">
        <v>63</v>
      </c>
      <c r="B1600" s="27" t="s">
        <v>2129</v>
      </c>
      <c r="C1600" s="27" t="s">
        <v>2130</v>
      </c>
      <c r="D1600" s="27" t="s">
        <v>13407</v>
      </c>
      <c r="E1600" s="27" t="s">
        <v>13408</v>
      </c>
      <c r="F1600" s="27" t="s">
        <v>13409</v>
      </c>
      <c r="G1600" s="6" t="s">
        <v>13410</v>
      </c>
      <c r="H1600" s="6" t="s">
        <v>63</v>
      </c>
      <c r="I1600" s="6" t="s">
        <v>62</v>
      </c>
      <c r="J1600" s="6" t="s">
        <v>63</v>
      </c>
      <c r="K1600" s="6" t="s">
        <v>63</v>
      </c>
      <c r="L1600" s="6" t="s">
        <v>64</v>
      </c>
      <c r="M1600" s="28"/>
      <c r="N1600" s="27" t="s">
        <v>13398</v>
      </c>
      <c r="O1600" s="6" t="s">
        <v>3697</v>
      </c>
      <c r="P1600" s="28"/>
      <c r="Q1600" s="6" t="s">
        <v>67</v>
      </c>
      <c r="R1600" s="6" t="s">
        <v>802</v>
      </c>
      <c r="S1600" s="27" t="s">
        <v>13411</v>
      </c>
      <c r="T1600" s="6" t="s">
        <v>6138</v>
      </c>
      <c r="U1600" s="7" t="n">
        <v>2</v>
      </c>
      <c r="V1600" s="7" t="n">
        <v>2</v>
      </c>
      <c r="W1600" s="8" t="s">
        <v>13412</v>
      </c>
      <c r="X1600" s="8" t="s">
        <v>13412</v>
      </c>
      <c r="Y1600" s="8" t="s">
        <v>13318</v>
      </c>
      <c r="Z1600" s="8" t="s">
        <v>13318</v>
      </c>
      <c r="AA1600" s="7" t="n">
        <v>165</v>
      </c>
      <c r="AB1600" s="7" t="n">
        <v>128</v>
      </c>
      <c r="AC1600" s="7" t="n">
        <v>138</v>
      </c>
      <c r="AD1600" s="7" t="n">
        <v>2</v>
      </c>
      <c r="AE1600" s="7" t="n">
        <v>2</v>
      </c>
      <c r="AF1600" s="7" t="n">
        <v>18</v>
      </c>
      <c r="AG1600" s="7" t="n">
        <v>19</v>
      </c>
      <c r="AH1600" s="7" t="n">
        <v>5</v>
      </c>
      <c r="AI1600" s="7" t="n">
        <v>6</v>
      </c>
      <c r="AJ1600" s="7" t="n">
        <v>7</v>
      </c>
      <c r="AK1600" s="7" t="n">
        <v>7</v>
      </c>
      <c r="AL1600" s="7" t="n">
        <v>13</v>
      </c>
      <c r="AM1600" s="7" t="n">
        <v>14</v>
      </c>
      <c r="AN1600" s="7" t="n">
        <v>1</v>
      </c>
      <c r="AO1600" s="7" t="n">
        <v>1</v>
      </c>
      <c r="AP1600" s="7" t="n">
        <v>0</v>
      </c>
      <c r="AQ1600" s="7" t="n">
        <v>0</v>
      </c>
      <c r="AR1600" s="6" t="s">
        <v>63</v>
      </c>
      <c r="AS1600" s="6" t="s">
        <v>63</v>
      </c>
      <c r="AT1600" s="28"/>
      <c r="AU1600" s="9" t="str">
        <f aca="false">HYPERLINK("https://creighton-primo.hosted.exlibrisgroup.com/primo-explore/search?tab=default_tab&amp;search_scope=EVERYTHING&amp;vid=01CRU&amp;lang=en_US&amp;offset=0&amp;query=any,contains,991001502789702656","Catalog Record")</f>
        <v>Catalog Record</v>
      </c>
      <c r="AV1600" s="9" t="str">
        <f aca="false">HYPERLINK("http://www.worldcat.org/oclc/19814296","WorldCat Record")</f>
        <v>WorldCat Record</v>
      </c>
      <c r="AW1600" s="6" t="s">
        <v>13413</v>
      </c>
      <c r="AX1600" s="6" t="s">
        <v>13414</v>
      </c>
      <c r="AY1600" s="6" t="s">
        <v>13415</v>
      </c>
      <c r="AZ1600" s="6" t="s">
        <v>13415</v>
      </c>
      <c r="BA1600" s="6" t="s">
        <v>13416</v>
      </c>
      <c r="BB1600" s="6" t="s">
        <v>13417</v>
      </c>
      <c r="BC1600" s="6" t="s">
        <v>13418</v>
      </c>
      <c r="BE1600" s="15" t="s">
        <v>2145</v>
      </c>
      <c r="BF1600" s="6" t="s">
        <v>13419</v>
      </c>
    </row>
    <row r="1601" customFormat="false" ht="151.5" hidden="false" customHeight="false" outlineLevel="0" collapsed="false">
      <c r="A1601" s="26" t="s">
        <v>63</v>
      </c>
      <c r="B1601" s="27" t="s">
        <v>2129</v>
      </c>
      <c r="C1601" s="27" t="s">
        <v>2130</v>
      </c>
      <c r="D1601" s="27" t="s">
        <v>13420</v>
      </c>
      <c r="E1601" s="27" t="s">
        <v>13421</v>
      </c>
      <c r="F1601" s="27" t="s">
        <v>13422</v>
      </c>
      <c r="G1601" s="6" t="s">
        <v>13423</v>
      </c>
      <c r="H1601" s="6" t="s">
        <v>63</v>
      </c>
      <c r="I1601" s="6" t="s">
        <v>62</v>
      </c>
      <c r="J1601" s="6" t="s">
        <v>63</v>
      </c>
      <c r="K1601" s="6" t="s">
        <v>63</v>
      </c>
      <c r="L1601" s="6" t="s">
        <v>64</v>
      </c>
      <c r="M1601" s="28"/>
      <c r="N1601" s="27" t="s">
        <v>13424</v>
      </c>
      <c r="O1601" s="6" t="s">
        <v>3697</v>
      </c>
      <c r="P1601" s="28"/>
      <c r="Q1601" s="6" t="s">
        <v>67</v>
      </c>
      <c r="R1601" s="6" t="s">
        <v>802</v>
      </c>
      <c r="S1601" s="27" t="s">
        <v>13425</v>
      </c>
      <c r="T1601" s="6" t="s">
        <v>6138</v>
      </c>
      <c r="U1601" s="7" t="n">
        <v>2</v>
      </c>
      <c r="V1601" s="7" t="n">
        <v>2</v>
      </c>
      <c r="W1601" s="8" t="s">
        <v>13426</v>
      </c>
      <c r="X1601" s="8" t="s">
        <v>13426</v>
      </c>
      <c r="Y1601" s="8" t="s">
        <v>13318</v>
      </c>
      <c r="Z1601" s="8" t="s">
        <v>13318</v>
      </c>
      <c r="AA1601" s="7" t="n">
        <v>163</v>
      </c>
      <c r="AB1601" s="7" t="n">
        <v>130</v>
      </c>
      <c r="AC1601" s="7" t="n">
        <v>144</v>
      </c>
      <c r="AD1601" s="7" t="n">
        <v>2</v>
      </c>
      <c r="AE1601" s="7" t="n">
        <v>2</v>
      </c>
      <c r="AF1601" s="7" t="n">
        <v>17</v>
      </c>
      <c r="AG1601" s="7" t="n">
        <v>19</v>
      </c>
      <c r="AH1601" s="7" t="n">
        <v>5</v>
      </c>
      <c r="AI1601" s="7" t="n">
        <v>6</v>
      </c>
      <c r="AJ1601" s="7" t="n">
        <v>6</v>
      </c>
      <c r="AK1601" s="7" t="n">
        <v>7</v>
      </c>
      <c r="AL1601" s="7" t="n">
        <v>12</v>
      </c>
      <c r="AM1601" s="7" t="n">
        <v>14</v>
      </c>
      <c r="AN1601" s="7" t="n">
        <v>1</v>
      </c>
      <c r="AO1601" s="7" t="n">
        <v>1</v>
      </c>
      <c r="AP1601" s="7" t="n">
        <v>0</v>
      </c>
      <c r="AQ1601" s="7" t="n">
        <v>0</v>
      </c>
      <c r="AR1601" s="6" t="s">
        <v>63</v>
      </c>
      <c r="AS1601" s="6" t="s">
        <v>63</v>
      </c>
      <c r="AT1601" s="28"/>
      <c r="AU1601" s="9" t="str">
        <f aca="false">HYPERLINK("https://creighton-primo.hosted.exlibrisgroup.com/primo-explore/search?tab=default_tab&amp;search_scope=EVERYTHING&amp;vid=01CRU&amp;lang=en_US&amp;offset=0&amp;query=any,contains,991001615309702656","Catalog Record")</f>
        <v>Catalog Record</v>
      </c>
      <c r="AV1601" s="9" t="str">
        <f aca="false">HYPERLINK("http://www.worldcat.org/oclc/20759858","WorldCat Record")</f>
        <v>WorldCat Record</v>
      </c>
      <c r="AW1601" s="6" t="s">
        <v>13427</v>
      </c>
      <c r="AX1601" s="6" t="s">
        <v>13428</v>
      </c>
      <c r="AY1601" s="6" t="s">
        <v>13429</v>
      </c>
      <c r="AZ1601" s="6" t="s">
        <v>13429</v>
      </c>
      <c r="BA1601" s="6" t="s">
        <v>13430</v>
      </c>
      <c r="BB1601" s="6" t="s">
        <v>13431</v>
      </c>
      <c r="BC1601" s="6" t="s">
        <v>13432</v>
      </c>
      <c r="BE1601" s="15" t="s">
        <v>2145</v>
      </c>
      <c r="BF1601" s="6" t="s">
        <v>13433</v>
      </c>
    </row>
    <row r="1602" customFormat="false" ht="243.5" hidden="false" customHeight="false" outlineLevel="0" collapsed="false">
      <c r="A1602" s="26" t="s">
        <v>63</v>
      </c>
      <c r="B1602" s="27" t="s">
        <v>2129</v>
      </c>
      <c r="C1602" s="27" t="s">
        <v>2130</v>
      </c>
      <c r="D1602" s="27" t="s">
        <v>13434</v>
      </c>
      <c r="E1602" s="27" t="s">
        <v>13435</v>
      </c>
      <c r="F1602" s="27" t="s">
        <v>13436</v>
      </c>
      <c r="G1602" s="6" t="s">
        <v>13437</v>
      </c>
      <c r="H1602" s="6" t="s">
        <v>63</v>
      </c>
      <c r="I1602" s="6" t="s">
        <v>62</v>
      </c>
      <c r="J1602" s="6" t="s">
        <v>63</v>
      </c>
      <c r="K1602" s="6" t="s">
        <v>63</v>
      </c>
      <c r="L1602" s="6" t="s">
        <v>64</v>
      </c>
      <c r="M1602" s="28"/>
      <c r="N1602" s="27" t="s">
        <v>13438</v>
      </c>
      <c r="O1602" s="6" t="s">
        <v>4025</v>
      </c>
      <c r="P1602" s="28"/>
      <c r="Q1602" s="6" t="s">
        <v>67</v>
      </c>
      <c r="R1602" s="6" t="s">
        <v>802</v>
      </c>
      <c r="S1602" s="27" t="s">
        <v>13439</v>
      </c>
      <c r="T1602" s="6" t="s">
        <v>6138</v>
      </c>
      <c r="U1602" s="7" t="n">
        <v>1</v>
      </c>
      <c r="V1602" s="7" t="n">
        <v>1</v>
      </c>
      <c r="W1602" s="8" t="s">
        <v>13426</v>
      </c>
      <c r="X1602" s="8" t="s">
        <v>13426</v>
      </c>
      <c r="Y1602" s="8" t="s">
        <v>13318</v>
      </c>
      <c r="Z1602" s="8" t="s">
        <v>13318</v>
      </c>
      <c r="AA1602" s="7" t="n">
        <v>174</v>
      </c>
      <c r="AB1602" s="7" t="n">
        <v>125</v>
      </c>
      <c r="AC1602" s="7" t="n">
        <v>139</v>
      </c>
      <c r="AD1602" s="7" t="n">
        <v>2</v>
      </c>
      <c r="AE1602" s="7" t="n">
        <v>2</v>
      </c>
      <c r="AF1602" s="7" t="n">
        <v>18</v>
      </c>
      <c r="AG1602" s="7" t="n">
        <v>19</v>
      </c>
      <c r="AH1602" s="7" t="n">
        <v>5</v>
      </c>
      <c r="AI1602" s="7" t="n">
        <v>6</v>
      </c>
      <c r="AJ1602" s="7" t="n">
        <v>7</v>
      </c>
      <c r="AK1602" s="7" t="n">
        <v>7</v>
      </c>
      <c r="AL1602" s="7" t="n">
        <v>13</v>
      </c>
      <c r="AM1602" s="7" t="n">
        <v>14</v>
      </c>
      <c r="AN1602" s="7" t="n">
        <v>1</v>
      </c>
      <c r="AO1602" s="7" t="n">
        <v>1</v>
      </c>
      <c r="AP1602" s="7" t="n">
        <v>0</v>
      </c>
      <c r="AQ1602" s="7" t="n">
        <v>0</v>
      </c>
      <c r="AR1602" s="6" t="s">
        <v>63</v>
      </c>
      <c r="AS1602" s="6" t="s">
        <v>63</v>
      </c>
      <c r="AT1602" s="28"/>
      <c r="AU1602" s="9" t="str">
        <f aca="false">HYPERLINK("https://creighton-primo.hosted.exlibrisgroup.com/primo-explore/search?tab=default_tab&amp;search_scope=EVERYTHING&amp;vid=01CRU&amp;lang=en_US&amp;offset=0&amp;query=any,contains,991001678529702656","Catalog Record")</f>
        <v>Catalog Record</v>
      </c>
      <c r="AV1602" s="9" t="str">
        <f aca="false">HYPERLINK("http://www.worldcat.org/oclc/21335481","WorldCat Record")</f>
        <v>WorldCat Record</v>
      </c>
      <c r="AW1602" s="6" t="s">
        <v>13440</v>
      </c>
      <c r="AX1602" s="6" t="s">
        <v>13441</v>
      </c>
      <c r="AY1602" s="6" t="s">
        <v>13442</v>
      </c>
      <c r="AZ1602" s="6" t="s">
        <v>13442</v>
      </c>
      <c r="BA1602" s="6" t="s">
        <v>13443</v>
      </c>
      <c r="BB1602" s="6" t="s">
        <v>13444</v>
      </c>
      <c r="BC1602" s="6" t="s">
        <v>13445</v>
      </c>
      <c r="BE1602" s="15" t="s">
        <v>2145</v>
      </c>
      <c r="BF1602" s="6" t="s">
        <v>13446</v>
      </c>
    </row>
    <row r="1603" customFormat="false" ht="289.5" hidden="false" customHeight="false" outlineLevel="0" collapsed="false">
      <c r="A1603" s="26" t="s">
        <v>63</v>
      </c>
      <c r="B1603" s="27" t="s">
        <v>2129</v>
      </c>
      <c r="C1603" s="27" t="s">
        <v>2130</v>
      </c>
      <c r="D1603" s="27" t="s">
        <v>13447</v>
      </c>
      <c r="E1603" s="27" t="s">
        <v>13448</v>
      </c>
      <c r="F1603" s="27" t="s">
        <v>13449</v>
      </c>
      <c r="G1603" s="6" t="s">
        <v>13450</v>
      </c>
      <c r="H1603" s="6" t="s">
        <v>63</v>
      </c>
      <c r="I1603" s="6" t="s">
        <v>62</v>
      </c>
      <c r="J1603" s="6" t="s">
        <v>63</v>
      </c>
      <c r="K1603" s="6" t="s">
        <v>63</v>
      </c>
      <c r="L1603" s="6" t="s">
        <v>64</v>
      </c>
      <c r="M1603" s="28"/>
      <c r="N1603" s="27" t="s">
        <v>13451</v>
      </c>
      <c r="O1603" s="6" t="s">
        <v>4025</v>
      </c>
      <c r="P1603" s="28"/>
      <c r="Q1603" s="6" t="s">
        <v>67</v>
      </c>
      <c r="R1603" s="6" t="s">
        <v>802</v>
      </c>
      <c r="S1603" s="27" t="s">
        <v>13452</v>
      </c>
      <c r="T1603" s="6" t="s">
        <v>6138</v>
      </c>
      <c r="U1603" s="7" t="n">
        <v>0</v>
      </c>
      <c r="V1603" s="7" t="n">
        <v>0</v>
      </c>
      <c r="W1603" s="8" t="s">
        <v>13453</v>
      </c>
      <c r="X1603" s="8" t="s">
        <v>13453</v>
      </c>
      <c r="Y1603" s="8" t="s">
        <v>13454</v>
      </c>
      <c r="Z1603" s="8" t="s">
        <v>13454</v>
      </c>
      <c r="AA1603" s="7" t="n">
        <v>158</v>
      </c>
      <c r="AB1603" s="7" t="n">
        <v>122</v>
      </c>
      <c r="AC1603" s="7" t="n">
        <v>131</v>
      </c>
      <c r="AD1603" s="7" t="n">
        <v>1</v>
      </c>
      <c r="AE1603" s="7" t="n">
        <v>1</v>
      </c>
      <c r="AF1603" s="7" t="n">
        <v>16</v>
      </c>
      <c r="AG1603" s="7" t="n">
        <v>17</v>
      </c>
      <c r="AH1603" s="7" t="n">
        <v>5</v>
      </c>
      <c r="AI1603" s="7" t="n">
        <v>6</v>
      </c>
      <c r="AJ1603" s="7" t="n">
        <v>6</v>
      </c>
      <c r="AK1603" s="7" t="n">
        <v>6</v>
      </c>
      <c r="AL1603" s="7" t="n">
        <v>13</v>
      </c>
      <c r="AM1603" s="7" t="n">
        <v>14</v>
      </c>
      <c r="AN1603" s="7" t="n">
        <v>0</v>
      </c>
      <c r="AO1603" s="7" t="n">
        <v>0</v>
      </c>
      <c r="AP1603" s="7" t="n">
        <v>0</v>
      </c>
      <c r="AQ1603" s="7" t="n">
        <v>0</v>
      </c>
      <c r="AR1603" s="6" t="s">
        <v>63</v>
      </c>
      <c r="AS1603" s="6" t="s">
        <v>63</v>
      </c>
      <c r="AT1603" s="28"/>
      <c r="AU1603" s="9" t="str">
        <f aca="false">HYPERLINK("https://creighton-primo.hosted.exlibrisgroup.com/primo-explore/search?tab=default_tab&amp;search_scope=EVERYTHING&amp;vid=01CRU&amp;lang=en_US&amp;offset=0&amp;query=any,contains,991001783989702656","Catalog Record")</f>
        <v>Catalog Record</v>
      </c>
      <c r="AV1603" s="9" t="str">
        <f aca="false">HYPERLINK("http://www.worldcat.org/oclc/22491337","WorldCat Record")</f>
        <v>WorldCat Record</v>
      </c>
      <c r="AW1603" s="6" t="s">
        <v>13455</v>
      </c>
      <c r="AX1603" s="6" t="s">
        <v>13456</v>
      </c>
      <c r="AY1603" s="6" t="s">
        <v>13457</v>
      </c>
      <c r="AZ1603" s="6" t="s">
        <v>13457</v>
      </c>
      <c r="BA1603" s="6" t="s">
        <v>13458</v>
      </c>
      <c r="BB1603" s="6" t="s">
        <v>13459</v>
      </c>
      <c r="BC1603" s="6" t="s">
        <v>13460</v>
      </c>
      <c r="BE1603" s="15" t="s">
        <v>2145</v>
      </c>
      <c r="BF1603" s="6" t="s">
        <v>13461</v>
      </c>
    </row>
    <row r="1604" customFormat="false" ht="232" hidden="false" customHeight="false" outlineLevel="0" collapsed="false">
      <c r="A1604" s="26" t="s">
        <v>63</v>
      </c>
      <c r="B1604" s="27" t="s">
        <v>2129</v>
      </c>
      <c r="C1604" s="27" t="s">
        <v>2130</v>
      </c>
      <c r="D1604" s="27" t="s">
        <v>13462</v>
      </c>
      <c r="E1604" s="27" t="s">
        <v>13463</v>
      </c>
      <c r="F1604" s="27" t="s">
        <v>13464</v>
      </c>
      <c r="G1604" s="6" t="s">
        <v>364</v>
      </c>
      <c r="H1604" s="6" t="s">
        <v>63</v>
      </c>
      <c r="I1604" s="6" t="s">
        <v>62</v>
      </c>
      <c r="J1604" s="6" t="s">
        <v>63</v>
      </c>
      <c r="K1604" s="6" t="s">
        <v>63</v>
      </c>
      <c r="L1604" s="6" t="s">
        <v>64</v>
      </c>
      <c r="M1604" s="28"/>
      <c r="N1604" s="27" t="s">
        <v>13438</v>
      </c>
      <c r="O1604" s="6" t="s">
        <v>4025</v>
      </c>
      <c r="P1604" s="28"/>
      <c r="Q1604" s="6" t="s">
        <v>67</v>
      </c>
      <c r="R1604" s="6" t="s">
        <v>802</v>
      </c>
      <c r="S1604" s="27" t="s">
        <v>13465</v>
      </c>
      <c r="T1604" s="6" t="s">
        <v>6138</v>
      </c>
      <c r="U1604" s="7" t="n">
        <v>2</v>
      </c>
      <c r="V1604" s="7" t="n">
        <v>2</v>
      </c>
      <c r="W1604" s="8" t="s">
        <v>13426</v>
      </c>
      <c r="X1604" s="8" t="s">
        <v>13426</v>
      </c>
      <c r="Y1604" s="8" t="s">
        <v>10233</v>
      </c>
      <c r="Z1604" s="8" t="s">
        <v>10233</v>
      </c>
      <c r="AA1604" s="7" t="n">
        <v>146</v>
      </c>
      <c r="AB1604" s="7" t="n">
        <v>108</v>
      </c>
      <c r="AC1604" s="7" t="n">
        <v>111</v>
      </c>
      <c r="AD1604" s="7" t="n">
        <v>1</v>
      </c>
      <c r="AE1604" s="7" t="n">
        <v>1</v>
      </c>
      <c r="AF1604" s="7" t="n">
        <v>15</v>
      </c>
      <c r="AG1604" s="7" t="n">
        <v>15</v>
      </c>
      <c r="AH1604" s="7" t="n">
        <v>5</v>
      </c>
      <c r="AI1604" s="7" t="n">
        <v>5</v>
      </c>
      <c r="AJ1604" s="7" t="n">
        <v>6</v>
      </c>
      <c r="AK1604" s="7" t="n">
        <v>6</v>
      </c>
      <c r="AL1604" s="7" t="n">
        <v>12</v>
      </c>
      <c r="AM1604" s="7" t="n">
        <v>12</v>
      </c>
      <c r="AN1604" s="7" t="n">
        <v>0</v>
      </c>
      <c r="AO1604" s="7" t="n">
        <v>0</v>
      </c>
      <c r="AP1604" s="7" t="n">
        <v>0</v>
      </c>
      <c r="AQ1604" s="7" t="n">
        <v>0</v>
      </c>
      <c r="AR1604" s="6" t="s">
        <v>63</v>
      </c>
      <c r="AS1604" s="6" t="s">
        <v>63</v>
      </c>
      <c r="AT1604" s="28"/>
      <c r="AU1604" s="9" t="str">
        <f aca="false">HYPERLINK("https://creighton-primo.hosted.exlibrisgroup.com/primo-explore/search?tab=default_tab&amp;search_scope=EVERYTHING&amp;vid=01CRU&amp;lang=en_US&amp;offset=0&amp;query=any,contains,991001904039702656","Catalog Record")</f>
        <v>Catalog Record</v>
      </c>
      <c r="AV1604" s="9" t="str">
        <f aca="false">HYPERLINK("http://www.worldcat.org/oclc/24065721","WorldCat Record")</f>
        <v>WorldCat Record</v>
      </c>
      <c r="AW1604" s="6" t="s">
        <v>13466</v>
      </c>
      <c r="AX1604" s="6" t="s">
        <v>13467</v>
      </c>
      <c r="AY1604" s="6" t="s">
        <v>13468</v>
      </c>
      <c r="AZ1604" s="6" t="s">
        <v>13468</v>
      </c>
      <c r="BA1604" s="6" t="s">
        <v>13469</v>
      </c>
      <c r="BB1604" s="6" t="s">
        <v>13470</v>
      </c>
      <c r="BC1604" s="6" t="s">
        <v>13471</v>
      </c>
      <c r="BE1604" s="15" t="s">
        <v>2145</v>
      </c>
      <c r="BF1604" s="6" t="s">
        <v>13472</v>
      </c>
    </row>
    <row r="1605" customFormat="false" ht="370.5" hidden="false" customHeight="false" outlineLevel="0" collapsed="false">
      <c r="A1605" s="26" t="s">
        <v>63</v>
      </c>
      <c r="B1605" s="27" t="s">
        <v>2129</v>
      </c>
      <c r="C1605" s="27" t="s">
        <v>2130</v>
      </c>
      <c r="D1605" s="27" t="s">
        <v>13473</v>
      </c>
      <c r="E1605" s="27" t="s">
        <v>13474</v>
      </c>
      <c r="F1605" s="27" t="s">
        <v>13475</v>
      </c>
      <c r="G1605" s="6" t="s">
        <v>13476</v>
      </c>
      <c r="H1605" s="6" t="s">
        <v>63</v>
      </c>
      <c r="I1605" s="6" t="s">
        <v>62</v>
      </c>
      <c r="J1605" s="6" t="s">
        <v>63</v>
      </c>
      <c r="K1605" s="6" t="s">
        <v>63</v>
      </c>
      <c r="L1605" s="6" t="s">
        <v>64</v>
      </c>
      <c r="M1605" s="28"/>
      <c r="N1605" s="27" t="s">
        <v>13477</v>
      </c>
      <c r="O1605" s="6" t="s">
        <v>246</v>
      </c>
      <c r="P1605" s="28"/>
      <c r="Q1605" s="6" t="s">
        <v>67</v>
      </c>
      <c r="R1605" s="6" t="s">
        <v>802</v>
      </c>
      <c r="S1605" s="27" t="s">
        <v>13478</v>
      </c>
      <c r="T1605" s="6" t="s">
        <v>6138</v>
      </c>
      <c r="U1605" s="7" t="n">
        <v>3</v>
      </c>
      <c r="V1605" s="7" t="n">
        <v>3</v>
      </c>
      <c r="W1605" s="8" t="s">
        <v>13479</v>
      </c>
      <c r="X1605" s="8" t="s">
        <v>13479</v>
      </c>
      <c r="Y1605" s="8" t="s">
        <v>13318</v>
      </c>
      <c r="Z1605" s="8" t="s">
        <v>13318</v>
      </c>
      <c r="AA1605" s="7" t="n">
        <v>229</v>
      </c>
      <c r="AB1605" s="7" t="n">
        <v>157</v>
      </c>
      <c r="AC1605" s="7" t="n">
        <v>165</v>
      </c>
      <c r="AD1605" s="7" t="n">
        <v>2</v>
      </c>
      <c r="AE1605" s="7" t="n">
        <v>2</v>
      </c>
      <c r="AF1605" s="7" t="n">
        <v>17</v>
      </c>
      <c r="AG1605" s="7" t="n">
        <v>19</v>
      </c>
      <c r="AH1605" s="7" t="n">
        <v>6</v>
      </c>
      <c r="AI1605" s="7" t="n">
        <v>7</v>
      </c>
      <c r="AJ1605" s="7" t="n">
        <v>5</v>
      </c>
      <c r="AK1605" s="7" t="n">
        <v>6</v>
      </c>
      <c r="AL1605" s="7" t="n">
        <v>12</v>
      </c>
      <c r="AM1605" s="7" t="n">
        <v>14</v>
      </c>
      <c r="AN1605" s="7" t="n">
        <v>1</v>
      </c>
      <c r="AO1605" s="7" t="n">
        <v>1</v>
      </c>
      <c r="AP1605" s="7" t="n">
        <v>0</v>
      </c>
      <c r="AQ1605" s="7" t="n">
        <v>0</v>
      </c>
      <c r="AR1605" s="6" t="s">
        <v>63</v>
      </c>
      <c r="AS1605" s="6" t="s">
        <v>63</v>
      </c>
      <c r="AT1605" s="28"/>
      <c r="AU1605" s="9" t="str">
        <f aca="false">HYPERLINK("https://creighton-primo.hosted.exlibrisgroup.com/primo-explore/search?tab=default_tab&amp;search_scope=EVERYTHING&amp;vid=01CRU&amp;lang=en_US&amp;offset=0&amp;query=any,contains,991004662429702656","Catalog Record")</f>
        <v>Catalog Record</v>
      </c>
      <c r="AV1605" s="9" t="str">
        <f aca="false">HYPERLINK("http://www.worldcat.org/oclc/4497718","WorldCat Record")</f>
        <v>WorldCat Record</v>
      </c>
      <c r="AW1605" s="6" t="s">
        <v>13480</v>
      </c>
      <c r="AX1605" s="6" t="s">
        <v>13481</v>
      </c>
      <c r="AY1605" s="6" t="s">
        <v>13482</v>
      </c>
      <c r="AZ1605" s="6" t="s">
        <v>13482</v>
      </c>
      <c r="BA1605" s="6" t="s">
        <v>13483</v>
      </c>
      <c r="BB1605" s="6" t="s">
        <v>13484</v>
      </c>
      <c r="BC1605" s="6" t="s">
        <v>13485</v>
      </c>
      <c r="BE1605" s="15" t="s">
        <v>2145</v>
      </c>
      <c r="BF1605" s="6" t="s">
        <v>13486</v>
      </c>
    </row>
    <row r="1606" customFormat="false" ht="658" hidden="false" customHeight="false" outlineLevel="0" collapsed="false">
      <c r="A1606" s="26" t="s">
        <v>63</v>
      </c>
      <c r="B1606" s="27" t="s">
        <v>2129</v>
      </c>
      <c r="C1606" s="27" t="s">
        <v>2130</v>
      </c>
      <c r="D1606" s="27" t="s">
        <v>13487</v>
      </c>
      <c r="E1606" s="27" t="s">
        <v>13488</v>
      </c>
      <c r="F1606" s="27" t="s">
        <v>13489</v>
      </c>
      <c r="G1606" s="6" t="s">
        <v>13490</v>
      </c>
      <c r="H1606" s="6" t="s">
        <v>63</v>
      </c>
      <c r="I1606" s="6" t="s">
        <v>62</v>
      </c>
      <c r="J1606" s="6" t="s">
        <v>63</v>
      </c>
      <c r="K1606" s="6" t="s">
        <v>63</v>
      </c>
      <c r="L1606" s="6" t="s">
        <v>64</v>
      </c>
      <c r="M1606" s="27" t="s">
        <v>13491</v>
      </c>
      <c r="N1606" s="27" t="s">
        <v>13492</v>
      </c>
      <c r="O1606" s="6" t="s">
        <v>246</v>
      </c>
      <c r="P1606" s="28"/>
      <c r="Q1606" s="6" t="s">
        <v>67</v>
      </c>
      <c r="R1606" s="6" t="s">
        <v>802</v>
      </c>
      <c r="S1606" s="27" t="s">
        <v>13493</v>
      </c>
      <c r="T1606" s="6" t="s">
        <v>6138</v>
      </c>
      <c r="U1606" s="7" t="n">
        <v>1</v>
      </c>
      <c r="V1606" s="7" t="n">
        <v>1</v>
      </c>
      <c r="W1606" s="8" t="s">
        <v>13494</v>
      </c>
      <c r="X1606" s="8" t="s">
        <v>13494</v>
      </c>
      <c r="Y1606" s="8" t="s">
        <v>13318</v>
      </c>
      <c r="Z1606" s="8" t="s">
        <v>13318</v>
      </c>
      <c r="AA1606" s="7" t="n">
        <v>180</v>
      </c>
      <c r="AB1606" s="7" t="n">
        <v>153</v>
      </c>
      <c r="AC1606" s="7" t="n">
        <v>165</v>
      </c>
      <c r="AD1606" s="7" t="n">
        <v>2</v>
      </c>
      <c r="AE1606" s="7" t="n">
        <v>2</v>
      </c>
      <c r="AF1606" s="7" t="n">
        <v>19</v>
      </c>
      <c r="AG1606" s="7" t="n">
        <v>20</v>
      </c>
      <c r="AH1606" s="7" t="n">
        <v>7</v>
      </c>
      <c r="AI1606" s="7" t="n">
        <v>7</v>
      </c>
      <c r="AJ1606" s="7" t="n">
        <v>5</v>
      </c>
      <c r="AK1606" s="7" t="n">
        <v>6</v>
      </c>
      <c r="AL1606" s="7" t="n">
        <v>15</v>
      </c>
      <c r="AM1606" s="7" t="n">
        <v>16</v>
      </c>
      <c r="AN1606" s="7" t="n">
        <v>1</v>
      </c>
      <c r="AO1606" s="7" t="n">
        <v>1</v>
      </c>
      <c r="AP1606" s="7" t="n">
        <v>0</v>
      </c>
      <c r="AQ1606" s="7" t="n">
        <v>0</v>
      </c>
      <c r="AR1606" s="6" t="s">
        <v>63</v>
      </c>
      <c r="AS1606" s="6" t="s">
        <v>57</v>
      </c>
      <c r="AT1606" s="9" t="str">
        <f aca="false">HYPERLINK("http://catalog.hathitrust.org/Record/000686064","HathiTrust Record")</f>
        <v>HathiTrust Record</v>
      </c>
      <c r="AU1606" s="9" t="str">
        <f aca="false">HYPERLINK("https://creighton-primo.hosted.exlibrisgroup.com/primo-explore/search?tab=default_tab&amp;search_scope=EVERYTHING&amp;vid=01CRU&amp;lang=en_US&amp;offset=0&amp;query=any,contains,991004792549702656","Catalog Record")</f>
        <v>Catalog Record</v>
      </c>
      <c r="AV1606" s="9" t="str">
        <f aca="false">HYPERLINK("http://www.worldcat.org/oclc/5171670","WorldCat Record")</f>
        <v>WorldCat Record</v>
      </c>
      <c r="AW1606" s="6" t="s">
        <v>13495</v>
      </c>
      <c r="AX1606" s="6" t="s">
        <v>13496</v>
      </c>
      <c r="AY1606" s="6" t="s">
        <v>13497</v>
      </c>
      <c r="AZ1606" s="6" t="s">
        <v>13497</v>
      </c>
      <c r="BA1606" s="6" t="s">
        <v>13498</v>
      </c>
      <c r="BB1606" s="6" t="s">
        <v>13499</v>
      </c>
      <c r="BC1606" s="6" t="s">
        <v>13500</v>
      </c>
      <c r="BE1606" s="15" t="s">
        <v>2145</v>
      </c>
      <c r="BF1606" s="6" t="s">
        <v>13501</v>
      </c>
    </row>
    <row r="1607" customFormat="false" ht="163" hidden="false" customHeight="false" outlineLevel="0" collapsed="false">
      <c r="A1607" s="26" t="s">
        <v>63</v>
      </c>
      <c r="B1607" s="27" t="s">
        <v>2129</v>
      </c>
      <c r="C1607" s="27" t="s">
        <v>2130</v>
      </c>
      <c r="D1607" s="27" t="s">
        <v>13502</v>
      </c>
      <c r="E1607" s="27" t="s">
        <v>13503</v>
      </c>
      <c r="F1607" s="27" t="s">
        <v>13504</v>
      </c>
      <c r="G1607" s="28"/>
      <c r="H1607" s="6" t="s">
        <v>63</v>
      </c>
      <c r="I1607" s="6" t="s">
        <v>62</v>
      </c>
      <c r="J1607" s="6" t="s">
        <v>63</v>
      </c>
      <c r="K1607" s="6" t="s">
        <v>63</v>
      </c>
      <c r="L1607" s="6" t="s">
        <v>64</v>
      </c>
      <c r="M1607" s="27" t="s">
        <v>13505</v>
      </c>
      <c r="N1607" s="27" t="s">
        <v>13506</v>
      </c>
      <c r="O1607" s="6" t="s">
        <v>264</v>
      </c>
      <c r="P1607" s="28"/>
      <c r="Q1607" s="6" t="s">
        <v>67</v>
      </c>
      <c r="R1607" s="6" t="s">
        <v>1059</v>
      </c>
      <c r="S1607" s="28"/>
      <c r="T1607" s="6" t="s">
        <v>6138</v>
      </c>
      <c r="U1607" s="7" t="n">
        <v>3</v>
      </c>
      <c r="V1607" s="7" t="n">
        <v>3</v>
      </c>
      <c r="W1607" s="8" t="s">
        <v>13200</v>
      </c>
      <c r="X1607" s="8" t="s">
        <v>13200</v>
      </c>
      <c r="Y1607" s="8" t="s">
        <v>12208</v>
      </c>
      <c r="Z1607" s="8" t="s">
        <v>12208</v>
      </c>
      <c r="AA1607" s="7" t="n">
        <v>592</v>
      </c>
      <c r="AB1607" s="7" t="n">
        <v>522</v>
      </c>
      <c r="AC1607" s="7" t="n">
        <v>543</v>
      </c>
      <c r="AD1607" s="7" t="n">
        <v>3</v>
      </c>
      <c r="AE1607" s="7" t="n">
        <v>3</v>
      </c>
      <c r="AF1607" s="7" t="n">
        <v>27</v>
      </c>
      <c r="AG1607" s="7" t="n">
        <v>28</v>
      </c>
      <c r="AH1607" s="7" t="n">
        <v>14</v>
      </c>
      <c r="AI1607" s="7" t="n">
        <v>14</v>
      </c>
      <c r="AJ1607" s="7" t="n">
        <v>5</v>
      </c>
      <c r="AK1607" s="7" t="n">
        <v>5</v>
      </c>
      <c r="AL1607" s="7" t="n">
        <v>16</v>
      </c>
      <c r="AM1607" s="7" t="n">
        <v>17</v>
      </c>
      <c r="AN1607" s="7" t="n">
        <v>2</v>
      </c>
      <c r="AO1607" s="7" t="n">
        <v>2</v>
      </c>
      <c r="AP1607" s="7" t="n">
        <v>0</v>
      </c>
      <c r="AQ1607" s="7" t="n">
        <v>0</v>
      </c>
      <c r="AR1607" s="6" t="s">
        <v>63</v>
      </c>
      <c r="AS1607" s="6" t="s">
        <v>57</v>
      </c>
      <c r="AT1607" s="9" t="str">
        <f aca="false">HYPERLINK("http://catalog.hathitrust.org/Record/001917644","HathiTrust Record")</f>
        <v>HathiTrust Record</v>
      </c>
      <c r="AU1607" s="9" t="str">
        <f aca="false">HYPERLINK("https://creighton-primo.hosted.exlibrisgroup.com/primo-explore/search?tab=default_tab&amp;search_scope=EVERYTHING&amp;vid=01CRU&amp;lang=en_US&amp;offset=0&amp;query=any,contains,991000490829702656","Catalog Record")</f>
        <v>Catalog Record</v>
      </c>
      <c r="AV1607" s="9" t="str">
        <f aca="false">HYPERLINK("http://www.worldcat.org/oclc/80616","WorldCat Record")</f>
        <v>WorldCat Record</v>
      </c>
      <c r="AW1607" s="6" t="s">
        <v>13507</v>
      </c>
      <c r="AX1607" s="6" t="s">
        <v>13508</v>
      </c>
      <c r="AY1607" s="6" t="s">
        <v>13509</v>
      </c>
      <c r="AZ1607" s="6" t="s">
        <v>13509</v>
      </c>
      <c r="BA1607" s="6" t="s">
        <v>13510</v>
      </c>
      <c r="BB1607" s="28"/>
      <c r="BC1607" s="6" t="s">
        <v>13511</v>
      </c>
      <c r="BE1607" s="15" t="s">
        <v>2145</v>
      </c>
      <c r="BF1607" s="6" t="s">
        <v>13512</v>
      </c>
    </row>
    <row r="1608" customFormat="false" ht="197.5" hidden="false" customHeight="false" outlineLevel="0" collapsed="false">
      <c r="A1608" s="26" t="s">
        <v>63</v>
      </c>
      <c r="B1608" s="27" t="s">
        <v>2129</v>
      </c>
      <c r="C1608" s="27" t="s">
        <v>2130</v>
      </c>
      <c r="D1608" s="27" t="s">
        <v>13513</v>
      </c>
      <c r="E1608" s="27" t="s">
        <v>13514</v>
      </c>
      <c r="F1608" s="27" t="s">
        <v>13515</v>
      </c>
      <c r="G1608" s="28"/>
      <c r="H1608" s="6" t="s">
        <v>63</v>
      </c>
      <c r="I1608" s="6" t="s">
        <v>62</v>
      </c>
      <c r="J1608" s="6" t="s">
        <v>63</v>
      </c>
      <c r="K1608" s="6" t="s">
        <v>63</v>
      </c>
      <c r="L1608" s="6" t="s">
        <v>64</v>
      </c>
      <c r="M1608" s="27" t="s">
        <v>13516</v>
      </c>
      <c r="N1608" s="27" t="s">
        <v>13517</v>
      </c>
      <c r="O1608" s="6" t="s">
        <v>3418</v>
      </c>
      <c r="P1608" s="28"/>
      <c r="Q1608" s="6" t="s">
        <v>67</v>
      </c>
      <c r="R1608" s="6" t="s">
        <v>123</v>
      </c>
      <c r="S1608" s="28"/>
      <c r="T1608" s="6" t="s">
        <v>6138</v>
      </c>
      <c r="U1608" s="7" t="n">
        <v>3</v>
      </c>
      <c r="V1608" s="7" t="n">
        <v>3</v>
      </c>
      <c r="W1608" s="8" t="s">
        <v>13200</v>
      </c>
      <c r="X1608" s="8" t="s">
        <v>13200</v>
      </c>
      <c r="Y1608" s="8" t="s">
        <v>12208</v>
      </c>
      <c r="Z1608" s="8" t="s">
        <v>12208</v>
      </c>
      <c r="AA1608" s="7" t="n">
        <v>284</v>
      </c>
      <c r="AB1608" s="7" t="n">
        <v>205</v>
      </c>
      <c r="AC1608" s="7" t="n">
        <v>951</v>
      </c>
      <c r="AD1608" s="7" t="n">
        <v>2</v>
      </c>
      <c r="AE1608" s="7" t="n">
        <v>7</v>
      </c>
      <c r="AF1608" s="7" t="n">
        <v>16</v>
      </c>
      <c r="AG1608" s="7" t="n">
        <v>44</v>
      </c>
      <c r="AH1608" s="7" t="n">
        <v>6</v>
      </c>
      <c r="AI1608" s="7" t="n">
        <v>17</v>
      </c>
      <c r="AJ1608" s="7" t="n">
        <v>4</v>
      </c>
      <c r="AK1608" s="7" t="n">
        <v>10</v>
      </c>
      <c r="AL1608" s="7" t="n">
        <v>11</v>
      </c>
      <c r="AM1608" s="7" t="n">
        <v>25</v>
      </c>
      <c r="AN1608" s="7" t="n">
        <v>1</v>
      </c>
      <c r="AO1608" s="7" t="n">
        <v>5</v>
      </c>
      <c r="AP1608" s="7" t="n">
        <v>0</v>
      </c>
      <c r="AQ1608" s="7" t="n">
        <v>0</v>
      </c>
      <c r="AR1608" s="6" t="s">
        <v>63</v>
      </c>
      <c r="AS1608" s="6" t="s">
        <v>57</v>
      </c>
      <c r="AT1608" s="9" t="str">
        <f aca="false">HYPERLINK("http://catalog.hathitrust.org/Record/001386063","HathiTrust Record")</f>
        <v>HathiTrust Record</v>
      </c>
      <c r="AU1608" s="9" t="str">
        <f aca="false">HYPERLINK("https://creighton-primo.hosted.exlibrisgroup.com/primo-explore/search?tab=default_tab&amp;search_scope=EVERYTHING&amp;vid=01CRU&amp;lang=en_US&amp;offset=0&amp;query=any,contains,991003748429702656","Catalog Record")</f>
        <v>Catalog Record</v>
      </c>
      <c r="AV1608" s="9" t="str">
        <f aca="false">HYPERLINK("http://www.worldcat.org/oclc/1421711","WorldCat Record")</f>
        <v>WorldCat Record</v>
      </c>
      <c r="AW1608" s="6" t="s">
        <v>13518</v>
      </c>
      <c r="AX1608" s="6" t="s">
        <v>13519</v>
      </c>
      <c r="AY1608" s="6" t="s">
        <v>13520</v>
      </c>
      <c r="AZ1608" s="6" t="s">
        <v>13520</v>
      </c>
      <c r="BA1608" s="6" t="s">
        <v>13521</v>
      </c>
      <c r="BB1608" s="28"/>
      <c r="BC1608" s="6" t="s">
        <v>13522</v>
      </c>
      <c r="BE1608" s="15" t="s">
        <v>2145</v>
      </c>
      <c r="BF1608" s="6" t="s">
        <v>13523</v>
      </c>
    </row>
    <row r="1609" customFormat="false" ht="243.5" hidden="false" customHeight="false" outlineLevel="0" collapsed="false">
      <c r="A1609" s="26" t="s">
        <v>63</v>
      </c>
      <c r="B1609" s="27" t="s">
        <v>2129</v>
      </c>
      <c r="C1609" s="27" t="s">
        <v>2130</v>
      </c>
      <c r="D1609" s="27" t="s">
        <v>13524</v>
      </c>
      <c r="E1609" s="27" t="s">
        <v>13525</v>
      </c>
      <c r="F1609" s="27" t="s">
        <v>13526</v>
      </c>
      <c r="G1609" s="28"/>
      <c r="H1609" s="6" t="s">
        <v>63</v>
      </c>
      <c r="I1609" s="6" t="s">
        <v>62</v>
      </c>
      <c r="J1609" s="6" t="s">
        <v>63</v>
      </c>
      <c r="K1609" s="6" t="s">
        <v>63</v>
      </c>
      <c r="L1609" s="6" t="s">
        <v>64</v>
      </c>
      <c r="M1609" s="27" t="s">
        <v>13122</v>
      </c>
      <c r="N1609" s="27" t="s">
        <v>13527</v>
      </c>
      <c r="O1609" s="6" t="s">
        <v>2467</v>
      </c>
      <c r="P1609" s="28"/>
      <c r="Q1609" s="6" t="s">
        <v>67</v>
      </c>
      <c r="R1609" s="6" t="s">
        <v>401</v>
      </c>
      <c r="S1609" s="27" t="s">
        <v>13528</v>
      </c>
      <c r="T1609" s="6" t="s">
        <v>6138</v>
      </c>
      <c r="U1609" s="7" t="n">
        <v>1</v>
      </c>
      <c r="V1609" s="7" t="n">
        <v>1</v>
      </c>
      <c r="W1609" s="8" t="s">
        <v>13200</v>
      </c>
      <c r="X1609" s="8" t="s">
        <v>13200</v>
      </c>
      <c r="Y1609" s="8" t="s">
        <v>13529</v>
      </c>
      <c r="Z1609" s="8" t="s">
        <v>13529</v>
      </c>
      <c r="AA1609" s="7" t="n">
        <v>470</v>
      </c>
      <c r="AB1609" s="7" t="n">
        <v>395</v>
      </c>
      <c r="AC1609" s="7" t="n">
        <v>464</v>
      </c>
      <c r="AD1609" s="7" t="n">
        <v>3</v>
      </c>
      <c r="AE1609" s="7" t="n">
        <v>4</v>
      </c>
      <c r="AF1609" s="7" t="n">
        <v>29</v>
      </c>
      <c r="AG1609" s="7" t="n">
        <v>32</v>
      </c>
      <c r="AH1609" s="7" t="n">
        <v>10</v>
      </c>
      <c r="AI1609" s="7" t="n">
        <v>10</v>
      </c>
      <c r="AJ1609" s="7" t="n">
        <v>7</v>
      </c>
      <c r="AK1609" s="7" t="n">
        <v>9</v>
      </c>
      <c r="AL1609" s="7" t="n">
        <v>20</v>
      </c>
      <c r="AM1609" s="7" t="n">
        <v>21</v>
      </c>
      <c r="AN1609" s="7" t="n">
        <v>2</v>
      </c>
      <c r="AO1609" s="7" t="n">
        <v>3</v>
      </c>
      <c r="AP1609" s="7" t="n">
        <v>0</v>
      </c>
      <c r="AQ1609" s="7" t="n">
        <v>0</v>
      </c>
      <c r="AR1609" s="6" t="s">
        <v>63</v>
      </c>
      <c r="AS1609" s="6" t="s">
        <v>57</v>
      </c>
      <c r="AT1609" s="9" t="str">
        <f aca="false">HYPERLINK("http://catalog.hathitrust.org/Record/001644507","HathiTrust Record")</f>
        <v>HathiTrust Record</v>
      </c>
      <c r="AU1609" s="9" t="str">
        <f aca="false">HYPERLINK("https://creighton-primo.hosted.exlibrisgroup.com/primo-explore/search?tab=default_tab&amp;search_scope=EVERYTHING&amp;vid=01CRU&amp;lang=en_US&amp;offset=0&amp;query=any,contains,991003318409702656","Catalog Record")</f>
        <v>Catalog Record</v>
      </c>
      <c r="AV1609" s="9" t="str">
        <f aca="false">HYPERLINK("http://www.worldcat.org/oclc/844524","WorldCat Record")</f>
        <v>WorldCat Record</v>
      </c>
      <c r="AW1609" s="6" t="s">
        <v>13530</v>
      </c>
      <c r="AX1609" s="6" t="s">
        <v>13531</v>
      </c>
      <c r="AY1609" s="6" t="s">
        <v>13532</v>
      </c>
      <c r="AZ1609" s="6" t="s">
        <v>13532</v>
      </c>
      <c r="BA1609" s="6" t="s">
        <v>13533</v>
      </c>
      <c r="BB1609" s="28"/>
      <c r="BC1609" s="6" t="s">
        <v>13534</v>
      </c>
      <c r="BE1609" s="15" t="s">
        <v>2145</v>
      </c>
      <c r="BF1609" s="6" t="s">
        <v>13535</v>
      </c>
    </row>
    <row r="1610" customFormat="false" ht="71" hidden="false" customHeight="false" outlineLevel="0" collapsed="false">
      <c r="A1610" s="26" t="s">
        <v>63</v>
      </c>
      <c r="B1610" s="27" t="s">
        <v>2129</v>
      </c>
      <c r="C1610" s="27" t="s">
        <v>2130</v>
      </c>
      <c r="D1610" s="27" t="s">
        <v>13536</v>
      </c>
      <c r="E1610" s="27" t="s">
        <v>13537</v>
      </c>
      <c r="F1610" s="27" t="s">
        <v>13538</v>
      </c>
      <c r="G1610" s="28"/>
      <c r="H1610" s="6" t="s">
        <v>63</v>
      </c>
      <c r="I1610" s="6" t="s">
        <v>62</v>
      </c>
      <c r="J1610" s="6" t="s">
        <v>63</v>
      </c>
      <c r="K1610" s="6" t="s">
        <v>63</v>
      </c>
      <c r="L1610" s="6" t="s">
        <v>64</v>
      </c>
      <c r="M1610" s="27" t="s">
        <v>12180</v>
      </c>
      <c r="N1610" s="27" t="s">
        <v>13539</v>
      </c>
      <c r="O1610" s="6" t="s">
        <v>167</v>
      </c>
      <c r="P1610" s="28"/>
      <c r="Q1610" s="6" t="s">
        <v>67</v>
      </c>
      <c r="R1610" s="6" t="s">
        <v>68</v>
      </c>
      <c r="S1610" s="27" t="s">
        <v>13540</v>
      </c>
      <c r="T1610" s="6" t="s">
        <v>6138</v>
      </c>
      <c r="U1610" s="7" t="n">
        <v>4</v>
      </c>
      <c r="V1610" s="7" t="n">
        <v>4</v>
      </c>
      <c r="W1610" s="8" t="s">
        <v>13541</v>
      </c>
      <c r="X1610" s="8" t="s">
        <v>13541</v>
      </c>
      <c r="Y1610" s="8" t="s">
        <v>13529</v>
      </c>
      <c r="Z1610" s="8" t="s">
        <v>13529</v>
      </c>
      <c r="AA1610" s="7" t="n">
        <v>599</v>
      </c>
      <c r="AB1610" s="7" t="n">
        <v>497</v>
      </c>
      <c r="AC1610" s="7" t="n">
        <v>529</v>
      </c>
      <c r="AD1610" s="7" t="n">
        <v>4</v>
      </c>
      <c r="AE1610" s="7" t="n">
        <v>4</v>
      </c>
      <c r="AF1610" s="7" t="n">
        <v>36</v>
      </c>
      <c r="AG1610" s="7" t="n">
        <v>36</v>
      </c>
      <c r="AH1610" s="7" t="n">
        <v>14</v>
      </c>
      <c r="AI1610" s="7" t="n">
        <v>14</v>
      </c>
      <c r="AJ1610" s="7" t="n">
        <v>7</v>
      </c>
      <c r="AK1610" s="7" t="n">
        <v>7</v>
      </c>
      <c r="AL1610" s="7" t="n">
        <v>23</v>
      </c>
      <c r="AM1610" s="7" t="n">
        <v>23</v>
      </c>
      <c r="AN1610" s="7" t="n">
        <v>2</v>
      </c>
      <c r="AO1610" s="7" t="n">
        <v>2</v>
      </c>
      <c r="AP1610" s="7" t="n">
        <v>0</v>
      </c>
      <c r="AQ1610" s="7" t="n">
        <v>0</v>
      </c>
      <c r="AR1610" s="6" t="s">
        <v>63</v>
      </c>
      <c r="AS1610" s="6" t="s">
        <v>57</v>
      </c>
      <c r="AT1610" s="9" t="str">
        <f aca="false">HYPERLINK("http://catalog.hathitrust.org/Record/000782419","HathiTrust Record")</f>
        <v>HathiTrust Record</v>
      </c>
      <c r="AU1610" s="9" t="str">
        <f aca="false">HYPERLINK("https://creighton-primo.hosted.exlibrisgroup.com/primo-explore/search?tab=default_tab&amp;search_scope=EVERYTHING&amp;vid=01CRU&amp;lang=en_US&amp;offset=0&amp;query=any,contains,991002001939702656","Catalog Record")</f>
        <v>Catalog Record</v>
      </c>
      <c r="AV1610" s="9" t="str">
        <f aca="false">HYPERLINK("http://www.worldcat.org/oclc/256697","WorldCat Record")</f>
        <v>WorldCat Record</v>
      </c>
      <c r="AW1610" s="6" t="s">
        <v>13542</v>
      </c>
      <c r="AX1610" s="6" t="s">
        <v>13543</v>
      </c>
      <c r="AY1610" s="6" t="s">
        <v>13544</v>
      </c>
      <c r="AZ1610" s="6" t="s">
        <v>13544</v>
      </c>
      <c r="BA1610" s="6" t="s">
        <v>13545</v>
      </c>
      <c r="BB1610" s="28"/>
      <c r="BC1610" s="6" t="s">
        <v>13546</v>
      </c>
      <c r="BE1610" s="15" t="s">
        <v>2145</v>
      </c>
      <c r="BF1610" s="6" t="s">
        <v>13547</v>
      </c>
    </row>
    <row r="1611" customFormat="false" ht="128.5" hidden="false" customHeight="false" outlineLevel="0" collapsed="false">
      <c r="A1611" s="26" t="s">
        <v>63</v>
      </c>
      <c r="B1611" s="27" t="s">
        <v>2129</v>
      </c>
      <c r="C1611" s="27" t="s">
        <v>2130</v>
      </c>
      <c r="D1611" s="27" t="s">
        <v>13548</v>
      </c>
      <c r="E1611" s="27" t="s">
        <v>13549</v>
      </c>
      <c r="F1611" s="27" t="s">
        <v>13550</v>
      </c>
      <c r="G1611" s="28"/>
      <c r="H1611" s="6" t="s">
        <v>63</v>
      </c>
      <c r="I1611" s="6" t="s">
        <v>62</v>
      </c>
      <c r="J1611" s="6" t="s">
        <v>63</v>
      </c>
      <c r="K1611" s="6" t="s">
        <v>63</v>
      </c>
      <c r="L1611" s="6" t="s">
        <v>64</v>
      </c>
      <c r="M1611" s="27" t="s">
        <v>13551</v>
      </c>
      <c r="N1611" s="27" t="s">
        <v>13552</v>
      </c>
      <c r="O1611" s="6" t="s">
        <v>254</v>
      </c>
      <c r="P1611" s="28"/>
      <c r="Q1611" s="6" t="s">
        <v>67</v>
      </c>
      <c r="R1611" s="6" t="s">
        <v>1059</v>
      </c>
      <c r="S1611" s="27" t="s">
        <v>3145</v>
      </c>
      <c r="T1611" s="6" t="s">
        <v>6138</v>
      </c>
      <c r="U1611" s="7" t="n">
        <v>7</v>
      </c>
      <c r="V1611" s="7" t="n">
        <v>7</v>
      </c>
      <c r="W1611" s="8" t="s">
        <v>13553</v>
      </c>
      <c r="X1611" s="8" t="s">
        <v>13553</v>
      </c>
      <c r="Y1611" s="8" t="s">
        <v>13529</v>
      </c>
      <c r="Z1611" s="8" t="s">
        <v>13529</v>
      </c>
      <c r="AA1611" s="7" t="n">
        <v>668</v>
      </c>
      <c r="AB1611" s="7" t="n">
        <v>562</v>
      </c>
      <c r="AC1611" s="7" t="n">
        <v>625</v>
      </c>
      <c r="AD1611" s="7" t="n">
        <v>4</v>
      </c>
      <c r="AE1611" s="7" t="n">
        <v>5</v>
      </c>
      <c r="AF1611" s="7" t="n">
        <v>35</v>
      </c>
      <c r="AG1611" s="7" t="n">
        <v>38</v>
      </c>
      <c r="AH1611" s="7" t="n">
        <v>14</v>
      </c>
      <c r="AI1611" s="7" t="n">
        <v>15</v>
      </c>
      <c r="AJ1611" s="7" t="n">
        <v>9</v>
      </c>
      <c r="AK1611" s="7" t="n">
        <v>10</v>
      </c>
      <c r="AL1611" s="7" t="n">
        <v>22</v>
      </c>
      <c r="AM1611" s="7" t="n">
        <v>23</v>
      </c>
      <c r="AN1611" s="7" t="n">
        <v>2</v>
      </c>
      <c r="AO1611" s="7" t="n">
        <v>3</v>
      </c>
      <c r="AP1611" s="7" t="n">
        <v>0</v>
      </c>
      <c r="AQ1611" s="7" t="n">
        <v>0</v>
      </c>
      <c r="AR1611" s="6" t="s">
        <v>63</v>
      </c>
      <c r="AS1611" s="6" t="s">
        <v>57</v>
      </c>
      <c r="AT1611" s="9" t="str">
        <f aca="false">HYPERLINK("http://catalog.hathitrust.org/Record/001386077","HathiTrust Record")</f>
        <v>HathiTrust Record</v>
      </c>
      <c r="AU1611" s="9" t="str">
        <f aca="false">HYPERLINK("https://creighton-primo.hosted.exlibrisgroup.com/primo-explore/search?tab=default_tab&amp;search_scope=EVERYTHING&amp;vid=01CRU&amp;lang=en_US&amp;offset=0&amp;query=any,contains,991003115049702656","Catalog Record")</f>
        <v>Catalog Record</v>
      </c>
      <c r="AV1611" s="9" t="str">
        <f aca="false">HYPERLINK("http://www.worldcat.org/oclc/660642","WorldCat Record")</f>
        <v>WorldCat Record</v>
      </c>
      <c r="AW1611" s="6" t="s">
        <v>13554</v>
      </c>
      <c r="AX1611" s="6" t="s">
        <v>13555</v>
      </c>
      <c r="AY1611" s="6" t="s">
        <v>13556</v>
      </c>
      <c r="AZ1611" s="6" t="s">
        <v>13556</v>
      </c>
      <c r="BA1611" s="6" t="s">
        <v>13557</v>
      </c>
      <c r="BB1611" s="6" t="s">
        <v>13558</v>
      </c>
      <c r="BC1611" s="6" t="s">
        <v>13559</v>
      </c>
      <c r="BE1611" s="15" t="s">
        <v>2145</v>
      </c>
      <c r="BF1611" s="6" t="s">
        <v>13560</v>
      </c>
    </row>
    <row r="1612" customFormat="false" ht="82.5" hidden="false" customHeight="false" outlineLevel="0" collapsed="false">
      <c r="A1612" s="26" t="s">
        <v>63</v>
      </c>
      <c r="B1612" s="27" t="s">
        <v>2129</v>
      </c>
      <c r="C1612" s="27" t="s">
        <v>2130</v>
      </c>
      <c r="D1612" s="27" t="s">
        <v>13561</v>
      </c>
      <c r="E1612" s="27" t="s">
        <v>13562</v>
      </c>
      <c r="F1612" s="27" t="s">
        <v>13563</v>
      </c>
      <c r="G1612" s="28"/>
      <c r="H1612" s="6" t="s">
        <v>63</v>
      </c>
      <c r="I1612" s="6" t="s">
        <v>62</v>
      </c>
      <c r="J1612" s="6" t="s">
        <v>63</v>
      </c>
      <c r="K1612" s="6" t="s">
        <v>63</v>
      </c>
      <c r="L1612" s="6" t="s">
        <v>64</v>
      </c>
      <c r="M1612" s="27" t="s">
        <v>13564</v>
      </c>
      <c r="N1612" s="27" t="s">
        <v>6152</v>
      </c>
      <c r="O1612" s="6" t="s">
        <v>152</v>
      </c>
      <c r="P1612" s="28"/>
      <c r="Q1612" s="6" t="s">
        <v>67</v>
      </c>
      <c r="R1612" s="6" t="s">
        <v>222</v>
      </c>
      <c r="S1612" s="28"/>
      <c r="T1612" s="6" t="s">
        <v>6138</v>
      </c>
      <c r="U1612" s="7" t="n">
        <v>3</v>
      </c>
      <c r="V1612" s="7" t="n">
        <v>3</v>
      </c>
      <c r="W1612" s="8" t="s">
        <v>5336</v>
      </c>
      <c r="X1612" s="8" t="s">
        <v>5336</v>
      </c>
      <c r="Y1612" s="8" t="s">
        <v>13529</v>
      </c>
      <c r="Z1612" s="8" t="s">
        <v>13529</v>
      </c>
      <c r="AA1612" s="7" t="n">
        <v>362</v>
      </c>
      <c r="AB1612" s="7" t="n">
        <v>266</v>
      </c>
      <c r="AC1612" s="7" t="n">
        <v>274</v>
      </c>
      <c r="AD1612" s="7" t="n">
        <v>3</v>
      </c>
      <c r="AE1612" s="7" t="n">
        <v>3</v>
      </c>
      <c r="AF1612" s="7" t="n">
        <v>18</v>
      </c>
      <c r="AG1612" s="7" t="n">
        <v>18</v>
      </c>
      <c r="AH1612" s="7" t="n">
        <v>6</v>
      </c>
      <c r="AI1612" s="7" t="n">
        <v>6</v>
      </c>
      <c r="AJ1612" s="7" t="n">
        <v>5</v>
      </c>
      <c r="AK1612" s="7" t="n">
        <v>5</v>
      </c>
      <c r="AL1612" s="7" t="n">
        <v>12</v>
      </c>
      <c r="AM1612" s="7" t="n">
        <v>12</v>
      </c>
      <c r="AN1612" s="7" t="n">
        <v>2</v>
      </c>
      <c r="AO1612" s="7" t="n">
        <v>2</v>
      </c>
      <c r="AP1612" s="7" t="n">
        <v>0</v>
      </c>
      <c r="AQ1612" s="7" t="n">
        <v>0</v>
      </c>
      <c r="AR1612" s="6" t="s">
        <v>63</v>
      </c>
      <c r="AS1612" s="6" t="s">
        <v>63</v>
      </c>
      <c r="AT1612" s="28"/>
      <c r="AU1612" s="9" t="str">
        <f aca="false">HYPERLINK("https://creighton-primo.hosted.exlibrisgroup.com/primo-explore/search?tab=default_tab&amp;search_scope=EVERYTHING&amp;vid=01CRU&amp;lang=en_US&amp;offset=0&amp;query=any,contains,991000257349702656","Catalog Record")</f>
        <v>Catalog Record</v>
      </c>
      <c r="AV1612" s="9" t="str">
        <f aca="false">HYPERLINK("http://www.worldcat.org/oclc/9784006","WorldCat Record")</f>
        <v>WorldCat Record</v>
      </c>
      <c r="AW1612" s="6" t="s">
        <v>13565</v>
      </c>
      <c r="AX1612" s="6" t="s">
        <v>13566</v>
      </c>
      <c r="AY1612" s="6" t="s">
        <v>13567</v>
      </c>
      <c r="AZ1612" s="6" t="s">
        <v>13567</v>
      </c>
      <c r="BA1612" s="6" t="s">
        <v>13568</v>
      </c>
      <c r="BB1612" s="6" t="s">
        <v>13569</v>
      </c>
      <c r="BC1612" s="6" t="s">
        <v>13570</v>
      </c>
      <c r="BE1612" s="15" t="s">
        <v>2145</v>
      </c>
      <c r="BF1612" s="6" t="s">
        <v>13571</v>
      </c>
    </row>
    <row r="1613" customFormat="false" ht="71" hidden="false" customHeight="false" outlineLevel="0" collapsed="false">
      <c r="A1613" s="26" t="s">
        <v>63</v>
      </c>
      <c r="B1613" s="27" t="s">
        <v>2129</v>
      </c>
      <c r="C1613" s="27" t="s">
        <v>2130</v>
      </c>
      <c r="D1613" s="27" t="s">
        <v>13572</v>
      </c>
      <c r="E1613" s="27" t="s">
        <v>13573</v>
      </c>
      <c r="F1613" s="27" t="s">
        <v>13574</v>
      </c>
      <c r="G1613" s="28"/>
      <c r="H1613" s="6" t="s">
        <v>63</v>
      </c>
      <c r="I1613" s="6" t="s">
        <v>62</v>
      </c>
      <c r="J1613" s="6" t="s">
        <v>63</v>
      </c>
      <c r="K1613" s="6" t="s">
        <v>63</v>
      </c>
      <c r="L1613" s="6" t="s">
        <v>64</v>
      </c>
      <c r="M1613" s="27" t="s">
        <v>13575</v>
      </c>
      <c r="N1613" s="27" t="s">
        <v>13576</v>
      </c>
      <c r="O1613" s="6" t="s">
        <v>264</v>
      </c>
      <c r="P1613" s="28"/>
      <c r="Q1613" s="6" t="s">
        <v>67</v>
      </c>
      <c r="R1613" s="6" t="s">
        <v>384</v>
      </c>
      <c r="S1613" s="27" t="s">
        <v>5648</v>
      </c>
      <c r="T1613" s="6" t="s">
        <v>6138</v>
      </c>
      <c r="U1613" s="7" t="n">
        <v>1</v>
      </c>
      <c r="V1613" s="7" t="n">
        <v>1</v>
      </c>
      <c r="W1613" s="8" t="s">
        <v>13577</v>
      </c>
      <c r="X1613" s="8" t="s">
        <v>13577</v>
      </c>
      <c r="Y1613" s="8" t="s">
        <v>13529</v>
      </c>
      <c r="Z1613" s="8" t="s">
        <v>13529</v>
      </c>
      <c r="AA1613" s="7" t="n">
        <v>379</v>
      </c>
      <c r="AB1613" s="7" t="n">
        <v>224</v>
      </c>
      <c r="AC1613" s="7" t="n">
        <v>268</v>
      </c>
      <c r="AD1613" s="7" t="n">
        <v>2</v>
      </c>
      <c r="AE1613" s="7" t="n">
        <v>2</v>
      </c>
      <c r="AF1613" s="7" t="n">
        <v>13</v>
      </c>
      <c r="AG1613" s="7" t="n">
        <v>13</v>
      </c>
      <c r="AH1613" s="7" t="n">
        <v>3</v>
      </c>
      <c r="AI1613" s="7" t="n">
        <v>3</v>
      </c>
      <c r="AJ1613" s="7" t="n">
        <v>3</v>
      </c>
      <c r="AK1613" s="7" t="n">
        <v>3</v>
      </c>
      <c r="AL1613" s="7" t="n">
        <v>9</v>
      </c>
      <c r="AM1613" s="7" t="n">
        <v>9</v>
      </c>
      <c r="AN1613" s="7" t="n">
        <v>1</v>
      </c>
      <c r="AO1613" s="7" t="n">
        <v>1</v>
      </c>
      <c r="AP1613" s="7" t="n">
        <v>0</v>
      </c>
      <c r="AQ1613" s="7" t="n">
        <v>0</v>
      </c>
      <c r="AR1613" s="6" t="s">
        <v>63</v>
      </c>
      <c r="AS1613" s="6" t="s">
        <v>57</v>
      </c>
      <c r="AT1613" s="9" t="str">
        <f aca="false">HYPERLINK("http://catalog.hathitrust.org/Record/001386089","HathiTrust Record")</f>
        <v>HathiTrust Record</v>
      </c>
      <c r="AU1613" s="9" t="str">
        <f aca="false">HYPERLINK("https://creighton-primo.hosted.exlibrisgroup.com/primo-explore/search?tab=default_tab&amp;search_scope=EVERYTHING&amp;vid=01CRU&amp;lang=en_US&amp;offset=0&amp;query=any,contains,991000635009702656","Catalog Record")</f>
        <v>Catalog Record</v>
      </c>
      <c r="AV1613" s="9" t="str">
        <f aca="false">HYPERLINK("http://www.worldcat.org/oclc/107366","WorldCat Record")</f>
        <v>WorldCat Record</v>
      </c>
      <c r="AW1613" s="6" t="s">
        <v>13578</v>
      </c>
      <c r="AX1613" s="6" t="s">
        <v>13579</v>
      </c>
      <c r="AY1613" s="6" t="s">
        <v>13580</v>
      </c>
      <c r="AZ1613" s="6" t="s">
        <v>13580</v>
      </c>
      <c r="BA1613" s="6" t="s">
        <v>13581</v>
      </c>
      <c r="BB1613" s="6" t="s">
        <v>13582</v>
      </c>
      <c r="BC1613" s="6" t="s">
        <v>13583</v>
      </c>
      <c r="BE1613" s="15" t="s">
        <v>2145</v>
      </c>
      <c r="BF1613" s="6" t="s">
        <v>13584</v>
      </c>
    </row>
    <row r="1614" customFormat="false" ht="174.5" hidden="false" customHeight="false" outlineLevel="0" collapsed="false">
      <c r="A1614" s="26" t="s">
        <v>63</v>
      </c>
      <c r="B1614" s="27" t="s">
        <v>2129</v>
      </c>
      <c r="C1614" s="27" t="s">
        <v>2130</v>
      </c>
      <c r="D1614" s="27" t="s">
        <v>13585</v>
      </c>
      <c r="E1614" s="27" t="s">
        <v>13586</v>
      </c>
      <c r="F1614" s="27" t="s">
        <v>13587</v>
      </c>
      <c r="G1614" s="28"/>
      <c r="H1614" s="6" t="s">
        <v>63</v>
      </c>
      <c r="I1614" s="6" t="s">
        <v>62</v>
      </c>
      <c r="J1614" s="6" t="s">
        <v>63</v>
      </c>
      <c r="K1614" s="6" t="s">
        <v>63</v>
      </c>
      <c r="L1614" s="6" t="s">
        <v>64</v>
      </c>
      <c r="M1614" s="27" t="s">
        <v>13588</v>
      </c>
      <c r="N1614" s="28"/>
      <c r="O1614" s="6" t="s">
        <v>2811</v>
      </c>
      <c r="P1614" s="27" t="s">
        <v>13589</v>
      </c>
      <c r="Q1614" s="6" t="s">
        <v>67</v>
      </c>
      <c r="R1614" s="6" t="s">
        <v>123</v>
      </c>
      <c r="S1614" s="27" t="s">
        <v>13590</v>
      </c>
      <c r="T1614" s="6" t="s">
        <v>6138</v>
      </c>
      <c r="U1614" s="7" t="n">
        <v>2</v>
      </c>
      <c r="V1614" s="7" t="n">
        <v>2</v>
      </c>
      <c r="W1614" s="8" t="s">
        <v>13591</v>
      </c>
      <c r="X1614" s="8" t="s">
        <v>13591</v>
      </c>
      <c r="Y1614" s="8" t="s">
        <v>13529</v>
      </c>
      <c r="Z1614" s="8" t="s">
        <v>13529</v>
      </c>
      <c r="AA1614" s="7" t="n">
        <v>27</v>
      </c>
      <c r="AB1614" s="7" t="n">
        <v>21</v>
      </c>
      <c r="AC1614" s="7" t="n">
        <v>55</v>
      </c>
      <c r="AD1614" s="7" t="n">
        <v>1</v>
      </c>
      <c r="AE1614" s="7" t="n">
        <v>2</v>
      </c>
      <c r="AF1614" s="7" t="n">
        <v>2</v>
      </c>
      <c r="AG1614" s="7" t="n">
        <v>4</v>
      </c>
      <c r="AH1614" s="7" t="n">
        <v>0</v>
      </c>
      <c r="AI1614" s="7" t="n">
        <v>0</v>
      </c>
      <c r="AJ1614" s="7" t="n">
        <v>1</v>
      </c>
      <c r="AK1614" s="7" t="n">
        <v>1</v>
      </c>
      <c r="AL1614" s="7" t="n">
        <v>1</v>
      </c>
      <c r="AM1614" s="7" t="n">
        <v>2</v>
      </c>
      <c r="AN1614" s="7" t="n">
        <v>0</v>
      </c>
      <c r="AO1614" s="7" t="n">
        <v>1</v>
      </c>
      <c r="AP1614" s="7" t="n">
        <v>0</v>
      </c>
      <c r="AQ1614" s="7" t="n">
        <v>0</v>
      </c>
      <c r="AR1614" s="6" t="s">
        <v>63</v>
      </c>
      <c r="AS1614" s="6" t="s">
        <v>63</v>
      </c>
      <c r="AT1614" s="28"/>
      <c r="AU1614" s="9" t="str">
        <f aca="false">HYPERLINK("https://creighton-primo.hosted.exlibrisgroup.com/primo-explore/search?tab=default_tab&amp;search_scope=EVERYTHING&amp;vid=01CRU&amp;lang=en_US&amp;offset=0&amp;query=any,contains,991003562379702656","Catalog Record")</f>
        <v>Catalog Record</v>
      </c>
      <c r="AV1614" s="9" t="str">
        <f aca="false">HYPERLINK("http://www.worldcat.org/oclc/1133699","WorldCat Record")</f>
        <v>WorldCat Record</v>
      </c>
      <c r="AW1614" s="6" t="s">
        <v>13592</v>
      </c>
      <c r="AX1614" s="6" t="s">
        <v>13593</v>
      </c>
      <c r="AY1614" s="6" t="s">
        <v>13594</v>
      </c>
      <c r="AZ1614" s="6" t="s">
        <v>13594</v>
      </c>
      <c r="BA1614" s="6" t="s">
        <v>13595</v>
      </c>
      <c r="BB1614" s="28"/>
      <c r="BC1614" s="6" t="s">
        <v>13596</v>
      </c>
      <c r="BE1614" s="15" t="s">
        <v>2145</v>
      </c>
      <c r="BF1614" s="6" t="s">
        <v>13597</v>
      </c>
    </row>
    <row r="1615" customFormat="false" ht="71" hidden="false" customHeight="false" outlineLevel="0" collapsed="false">
      <c r="A1615" s="26" t="s">
        <v>63</v>
      </c>
      <c r="B1615" s="27" t="s">
        <v>2129</v>
      </c>
      <c r="C1615" s="27" t="s">
        <v>2130</v>
      </c>
      <c r="D1615" s="27" t="s">
        <v>13598</v>
      </c>
      <c r="E1615" s="27" t="s">
        <v>13599</v>
      </c>
      <c r="F1615" s="27" t="s">
        <v>13600</v>
      </c>
      <c r="G1615" s="28"/>
      <c r="H1615" s="6" t="s">
        <v>63</v>
      </c>
      <c r="I1615" s="6" t="s">
        <v>62</v>
      </c>
      <c r="J1615" s="6" t="s">
        <v>63</v>
      </c>
      <c r="K1615" s="6" t="s">
        <v>63</v>
      </c>
      <c r="L1615" s="6" t="s">
        <v>64</v>
      </c>
      <c r="M1615" s="27" t="s">
        <v>13601</v>
      </c>
      <c r="N1615" s="27" t="s">
        <v>13602</v>
      </c>
      <c r="O1615" s="6" t="s">
        <v>2811</v>
      </c>
      <c r="P1615" s="28"/>
      <c r="Q1615" s="6" t="s">
        <v>67</v>
      </c>
      <c r="R1615" s="6" t="s">
        <v>68</v>
      </c>
      <c r="S1615" s="27" t="s">
        <v>13603</v>
      </c>
      <c r="T1615" s="6" t="s">
        <v>6138</v>
      </c>
      <c r="U1615" s="7" t="n">
        <v>4</v>
      </c>
      <c r="V1615" s="7" t="n">
        <v>4</v>
      </c>
      <c r="W1615" s="8" t="s">
        <v>13604</v>
      </c>
      <c r="X1615" s="8" t="s">
        <v>13604</v>
      </c>
      <c r="Y1615" s="8" t="s">
        <v>13529</v>
      </c>
      <c r="Z1615" s="8" t="s">
        <v>13529</v>
      </c>
      <c r="AA1615" s="7" t="n">
        <v>616</v>
      </c>
      <c r="AB1615" s="7" t="n">
        <v>530</v>
      </c>
      <c r="AC1615" s="7" t="n">
        <v>561</v>
      </c>
      <c r="AD1615" s="7" t="n">
        <v>3</v>
      </c>
      <c r="AE1615" s="7" t="n">
        <v>3</v>
      </c>
      <c r="AF1615" s="7" t="n">
        <v>30</v>
      </c>
      <c r="AG1615" s="7" t="n">
        <v>30</v>
      </c>
      <c r="AH1615" s="7" t="n">
        <v>7</v>
      </c>
      <c r="AI1615" s="7" t="n">
        <v>7</v>
      </c>
      <c r="AJ1615" s="7" t="n">
        <v>8</v>
      </c>
      <c r="AK1615" s="7" t="n">
        <v>8</v>
      </c>
      <c r="AL1615" s="7" t="n">
        <v>23</v>
      </c>
      <c r="AM1615" s="7" t="n">
        <v>23</v>
      </c>
      <c r="AN1615" s="7" t="n">
        <v>0</v>
      </c>
      <c r="AO1615" s="7" t="n">
        <v>0</v>
      </c>
      <c r="AP1615" s="7" t="n">
        <v>0</v>
      </c>
      <c r="AQ1615" s="7" t="n">
        <v>0</v>
      </c>
      <c r="AR1615" s="6" t="s">
        <v>63</v>
      </c>
      <c r="AS1615" s="6" t="s">
        <v>57</v>
      </c>
      <c r="AT1615" s="9" t="str">
        <f aca="false">HYPERLINK("http://catalog.hathitrust.org/Record/001386179","HathiTrust Record")</f>
        <v>HathiTrust Record</v>
      </c>
      <c r="AU1615" s="9" t="str">
        <f aca="false">HYPERLINK("https://creighton-primo.hosted.exlibrisgroup.com/primo-explore/search?tab=default_tab&amp;search_scope=EVERYTHING&amp;vid=01CRU&amp;lang=en_US&amp;offset=0&amp;query=any,contains,991000779139702656","Catalog Record")</f>
        <v>Catalog Record</v>
      </c>
      <c r="AV1615" s="9" t="str">
        <f aca="false">HYPERLINK("http://www.worldcat.org/oclc/134234","WorldCat Record")</f>
        <v>WorldCat Record</v>
      </c>
      <c r="AW1615" s="6" t="s">
        <v>13605</v>
      </c>
      <c r="AX1615" s="6" t="s">
        <v>13606</v>
      </c>
      <c r="AY1615" s="6" t="s">
        <v>13607</v>
      </c>
      <c r="AZ1615" s="6" t="s">
        <v>13607</v>
      </c>
      <c r="BA1615" s="6" t="s">
        <v>13608</v>
      </c>
      <c r="BB1615" s="28"/>
      <c r="BC1615" s="6" t="s">
        <v>13609</v>
      </c>
      <c r="BE1615" s="15" t="s">
        <v>2145</v>
      </c>
      <c r="BF1615" s="6" t="s">
        <v>13610</v>
      </c>
    </row>
    <row r="1616" customFormat="false" ht="105.5" hidden="false" customHeight="false" outlineLevel="0" collapsed="false">
      <c r="A1616" s="26" t="s">
        <v>63</v>
      </c>
      <c r="B1616" s="27" t="s">
        <v>2129</v>
      </c>
      <c r="C1616" s="27" t="s">
        <v>2130</v>
      </c>
      <c r="D1616" s="27" t="s">
        <v>13611</v>
      </c>
      <c r="E1616" s="27" t="s">
        <v>13612</v>
      </c>
      <c r="F1616" s="27" t="s">
        <v>13613</v>
      </c>
      <c r="G1616" s="28"/>
      <c r="H1616" s="6" t="s">
        <v>63</v>
      </c>
      <c r="I1616" s="6" t="s">
        <v>62</v>
      </c>
      <c r="J1616" s="6" t="s">
        <v>63</v>
      </c>
      <c r="K1616" s="6" t="s">
        <v>63</v>
      </c>
      <c r="L1616" s="6" t="s">
        <v>64</v>
      </c>
      <c r="M1616" s="27" t="s">
        <v>13614</v>
      </c>
      <c r="N1616" s="27" t="s">
        <v>3754</v>
      </c>
      <c r="O1616" s="6" t="s">
        <v>122</v>
      </c>
      <c r="P1616" s="28"/>
      <c r="Q1616" s="6" t="s">
        <v>67</v>
      </c>
      <c r="R1616" s="6" t="s">
        <v>68</v>
      </c>
      <c r="S1616" s="28"/>
      <c r="T1616" s="6" t="s">
        <v>6138</v>
      </c>
      <c r="U1616" s="7" t="n">
        <v>4</v>
      </c>
      <c r="V1616" s="7" t="n">
        <v>4</v>
      </c>
      <c r="W1616" s="8" t="s">
        <v>13615</v>
      </c>
      <c r="X1616" s="8" t="s">
        <v>13615</v>
      </c>
      <c r="Y1616" s="8" t="s">
        <v>13529</v>
      </c>
      <c r="Z1616" s="8" t="s">
        <v>13529</v>
      </c>
      <c r="AA1616" s="7" t="n">
        <v>694</v>
      </c>
      <c r="AB1616" s="7" t="n">
        <v>570</v>
      </c>
      <c r="AC1616" s="7" t="n">
        <v>584</v>
      </c>
      <c r="AD1616" s="7" t="n">
        <v>4</v>
      </c>
      <c r="AE1616" s="7" t="n">
        <v>4</v>
      </c>
      <c r="AF1616" s="7" t="n">
        <v>32</v>
      </c>
      <c r="AG1616" s="7" t="n">
        <v>33</v>
      </c>
      <c r="AH1616" s="7" t="n">
        <v>12</v>
      </c>
      <c r="AI1616" s="7" t="n">
        <v>13</v>
      </c>
      <c r="AJ1616" s="7" t="n">
        <v>5</v>
      </c>
      <c r="AK1616" s="7" t="n">
        <v>5</v>
      </c>
      <c r="AL1616" s="7" t="n">
        <v>22</v>
      </c>
      <c r="AM1616" s="7" t="n">
        <v>22</v>
      </c>
      <c r="AN1616" s="7" t="n">
        <v>2</v>
      </c>
      <c r="AO1616" s="7" t="n">
        <v>2</v>
      </c>
      <c r="AP1616" s="7" t="n">
        <v>0</v>
      </c>
      <c r="AQ1616" s="7" t="n">
        <v>0</v>
      </c>
      <c r="AR1616" s="6" t="s">
        <v>63</v>
      </c>
      <c r="AS1616" s="6" t="s">
        <v>57</v>
      </c>
      <c r="AT1616" s="9" t="str">
        <f aca="false">HYPERLINK("http://catalog.hathitrust.org/Record/001382300","HathiTrust Record")</f>
        <v>HathiTrust Record</v>
      </c>
      <c r="AU1616" s="9" t="str">
        <f aca="false">HYPERLINK("https://creighton-primo.hosted.exlibrisgroup.com/primo-explore/search?tab=default_tab&amp;search_scope=EVERYTHING&amp;vid=01CRU&amp;lang=en_US&amp;offset=0&amp;query=any,contains,991002564279702656","Catalog Record")</f>
        <v>Catalog Record</v>
      </c>
      <c r="AV1616" s="9" t="str">
        <f aca="false">HYPERLINK("http://www.worldcat.org/oclc/372305","WorldCat Record")</f>
        <v>WorldCat Record</v>
      </c>
      <c r="AW1616" s="6" t="s">
        <v>13616</v>
      </c>
      <c r="AX1616" s="6" t="s">
        <v>13617</v>
      </c>
      <c r="AY1616" s="6" t="s">
        <v>13618</v>
      </c>
      <c r="AZ1616" s="6" t="s">
        <v>13618</v>
      </c>
      <c r="BA1616" s="6" t="s">
        <v>13619</v>
      </c>
      <c r="BB1616" s="28"/>
      <c r="BC1616" s="6" t="s">
        <v>13620</v>
      </c>
      <c r="BE1616" s="15" t="s">
        <v>2145</v>
      </c>
      <c r="BF1616" s="6" t="s">
        <v>13621</v>
      </c>
    </row>
    <row r="1617" customFormat="false" ht="105.5" hidden="false" customHeight="false" outlineLevel="0" collapsed="false">
      <c r="A1617" s="26" t="s">
        <v>63</v>
      </c>
      <c r="B1617" s="27" t="s">
        <v>2129</v>
      </c>
      <c r="C1617" s="27" t="s">
        <v>2130</v>
      </c>
      <c r="D1617" s="27" t="s">
        <v>13622</v>
      </c>
      <c r="E1617" s="27" t="s">
        <v>13623</v>
      </c>
      <c r="F1617" s="27" t="s">
        <v>13624</v>
      </c>
      <c r="G1617" s="28"/>
      <c r="H1617" s="6" t="s">
        <v>63</v>
      </c>
      <c r="I1617" s="6" t="s">
        <v>62</v>
      </c>
      <c r="J1617" s="6" t="s">
        <v>63</v>
      </c>
      <c r="K1617" s="6" t="s">
        <v>63</v>
      </c>
      <c r="L1617" s="6" t="s">
        <v>64</v>
      </c>
      <c r="M1617" s="27" t="s">
        <v>13625</v>
      </c>
      <c r="N1617" s="27" t="s">
        <v>13626</v>
      </c>
      <c r="O1617" s="6" t="s">
        <v>2329</v>
      </c>
      <c r="P1617" s="28"/>
      <c r="Q1617" s="6" t="s">
        <v>67</v>
      </c>
      <c r="R1617" s="6" t="s">
        <v>68</v>
      </c>
      <c r="S1617" s="27" t="s">
        <v>13627</v>
      </c>
      <c r="T1617" s="6" t="s">
        <v>6138</v>
      </c>
      <c r="U1617" s="7" t="n">
        <v>5</v>
      </c>
      <c r="V1617" s="7" t="n">
        <v>5</v>
      </c>
      <c r="W1617" s="8" t="s">
        <v>13628</v>
      </c>
      <c r="X1617" s="8" t="s">
        <v>13628</v>
      </c>
      <c r="Y1617" s="8" t="s">
        <v>13529</v>
      </c>
      <c r="Z1617" s="8" t="s">
        <v>13529</v>
      </c>
      <c r="AA1617" s="7" t="n">
        <v>1161</v>
      </c>
      <c r="AB1617" s="7" t="n">
        <v>1044</v>
      </c>
      <c r="AC1617" s="7" t="n">
        <v>1629</v>
      </c>
      <c r="AD1617" s="7" t="n">
        <v>7</v>
      </c>
      <c r="AE1617" s="7" t="n">
        <v>9</v>
      </c>
      <c r="AF1617" s="7" t="n">
        <v>30</v>
      </c>
      <c r="AG1617" s="7" t="n">
        <v>44</v>
      </c>
      <c r="AH1617" s="7" t="n">
        <v>13</v>
      </c>
      <c r="AI1617" s="7" t="n">
        <v>19</v>
      </c>
      <c r="AJ1617" s="7" t="n">
        <v>6</v>
      </c>
      <c r="AK1617" s="7" t="n">
        <v>10</v>
      </c>
      <c r="AL1617" s="7" t="n">
        <v>14</v>
      </c>
      <c r="AM1617" s="7" t="n">
        <v>19</v>
      </c>
      <c r="AN1617" s="7" t="n">
        <v>5</v>
      </c>
      <c r="AO1617" s="7" t="n">
        <v>7</v>
      </c>
      <c r="AP1617" s="7" t="n">
        <v>0</v>
      </c>
      <c r="AQ1617" s="7" t="n">
        <v>0</v>
      </c>
      <c r="AR1617" s="6" t="s">
        <v>63</v>
      </c>
      <c r="AS1617" s="6" t="s">
        <v>57</v>
      </c>
      <c r="AT1617" s="9" t="str">
        <f aca="false">HYPERLINK("http://catalog.hathitrust.org/Record/001309805","HathiTrust Record")</f>
        <v>HathiTrust Record</v>
      </c>
      <c r="AU1617" s="9" t="str">
        <f aca="false">HYPERLINK("https://creighton-primo.hosted.exlibrisgroup.com/primo-explore/search?tab=default_tab&amp;search_scope=EVERYTHING&amp;vid=01CRU&amp;lang=en_US&amp;offset=0&amp;query=any,contains,991002570189702656","Catalog Record")</f>
        <v>Catalog Record</v>
      </c>
      <c r="AV1617" s="9" t="str">
        <f aca="false">HYPERLINK("http://www.worldcat.org/oclc/373481","WorldCat Record")</f>
        <v>WorldCat Record</v>
      </c>
      <c r="AW1617" s="6" t="s">
        <v>13629</v>
      </c>
      <c r="AX1617" s="6" t="s">
        <v>13630</v>
      </c>
      <c r="AY1617" s="6" t="s">
        <v>13631</v>
      </c>
      <c r="AZ1617" s="6" t="s">
        <v>13631</v>
      </c>
      <c r="BA1617" s="6" t="s">
        <v>13632</v>
      </c>
      <c r="BB1617" s="28"/>
      <c r="BC1617" s="6" t="s">
        <v>13633</v>
      </c>
      <c r="BE1617" s="15" t="s">
        <v>2145</v>
      </c>
      <c r="BF1617" s="6" t="s">
        <v>13634</v>
      </c>
    </row>
    <row r="1618" customFormat="false" ht="163" hidden="false" customHeight="false" outlineLevel="0" collapsed="false">
      <c r="A1618" s="26" t="s">
        <v>57</v>
      </c>
      <c r="B1618" s="27" t="s">
        <v>2129</v>
      </c>
      <c r="C1618" s="27" t="s">
        <v>2130</v>
      </c>
      <c r="D1618" s="27" t="s">
        <v>1257</v>
      </c>
      <c r="E1618" s="27" t="s">
        <v>13635</v>
      </c>
      <c r="F1618" s="27" t="s">
        <v>1258</v>
      </c>
      <c r="G1618" s="28"/>
      <c r="H1618" s="6" t="s">
        <v>63</v>
      </c>
      <c r="I1618" s="6" t="s">
        <v>62</v>
      </c>
      <c r="J1618" s="6" t="s">
        <v>63</v>
      </c>
      <c r="K1618" s="6" t="s">
        <v>63</v>
      </c>
      <c r="L1618" s="6" t="s">
        <v>64</v>
      </c>
      <c r="M1618" s="27" t="s">
        <v>13636</v>
      </c>
      <c r="N1618" s="27" t="s">
        <v>13637</v>
      </c>
      <c r="O1618" s="6" t="s">
        <v>2623</v>
      </c>
      <c r="P1618" s="27" t="s">
        <v>13638</v>
      </c>
      <c r="Q1618" s="6" t="s">
        <v>67</v>
      </c>
      <c r="R1618" s="6" t="s">
        <v>222</v>
      </c>
      <c r="S1618" s="28"/>
      <c r="T1618" s="6" t="s">
        <v>6138</v>
      </c>
      <c r="U1618" s="7" t="n">
        <v>4</v>
      </c>
      <c r="V1618" s="7" t="n">
        <v>4</v>
      </c>
      <c r="W1618" s="8" t="s">
        <v>13639</v>
      </c>
      <c r="X1618" s="8" t="s">
        <v>13639</v>
      </c>
      <c r="Y1618" s="8" t="s">
        <v>9498</v>
      </c>
      <c r="Z1618" s="8" t="s">
        <v>9498</v>
      </c>
      <c r="AA1618" s="7" t="n">
        <v>78</v>
      </c>
      <c r="AB1618" s="7" t="n">
        <v>61</v>
      </c>
      <c r="AC1618" s="7" t="n">
        <v>508</v>
      </c>
      <c r="AD1618" s="7" t="n">
        <v>1</v>
      </c>
      <c r="AE1618" s="7" t="n">
        <v>4</v>
      </c>
      <c r="AF1618" s="7" t="n">
        <v>2</v>
      </c>
      <c r="AG1618" s="7" t="n">
        <v>33</v>
      </c>
      <c r="AH1618" s="7" t="n">
        <v>0</v>
      </c>
      <c r="AI1618" s="7" t="n">
        <v>11</v>
      </c>
      <c r="AJ1618" s="7" t="n">
        <v>1</v>
      </c>
      <c r="AK1618" s="7" t="n">
        <v>10</v>
      </c>
      <c r="AL1618" s="7" t="n">
        <v>1</v>
      </c>
      <c r="AM1618" s="7" t="n">
        <v>19</v>
      </c>
      <c r="AN1618" s="7" t="n">
        <v>0</v>
      </c>
      <c r="AO1618" s="7" t="n">
        <v>2</v>
      </c>
      <c r="AP1618" s="7" t="n">
        <v>1</v>
      </c>
      <c r="AQ1618" s="7" t="n">
        <v>1</v>
      </c>
      <c r="AR1618" s="6" t="s">
        <v>63</v>
      </c>
      <c r="AS1618" s="6" t="s">
        <v>63</v>
      </c>
      <c r="AT1618" s="28"/>
      <c r="AU1618" s="9" t="str">
        <f aca="false">HYPERLINK("https://creighton-primo.hosted.exlibrisgroup.com/primo-explore/search?tab=default_tab&amp;search_scope=EVERYTHING&amp;vid=01CRU&amp;lang=en_US&amp;offset=0&amp;query=any,contains,991005108309702656","Catalog Record")</f>
        <v>Catalog Record</v>
      </c>
      <c r="AV1618" s="9" t="str">
        <f aca="false">HYPERLINK("http://www.worldcat.org/oclc/7373948","WorldCat Record")</f>
        <v>WorldCat Record</v>
      </c>
      <c r="AW1618" s="6" t="s">
        <v>13640</v>
      </c>
      <c r="AX1618" s="6" t="s">
        <v>13641</v>
      </c>
      <c r="AY1618" s="6" t="s">
        <v>13642</v>
      </c>
      <c r="AZ1618" s="6" t="s">
        <v>13642</v>
      </c>
      <c r="BA1618" s="6" t="s">
        <v>13643</v>
      </c>
      <c r="BB1618" s="6" t="s">
        <v>13644</v>
      </c>
      <c r="BC1618" s="6" t="s">
        <v>13645</v>
      </c>
      <c r="BE1618" s="15" t="s">
        <v>2145</v>
      </c>
      <c r="BF1618" s="6" t="s">
        <v>13646</v>
      </c>
    </row>
    <row r="1619" customFormat="false" ht="128.5" hidden="false" customHeight="false" outlineLevel="0" collapsed="false">
      <c r="A1619" s="26" t="s">
        <v>57</v>
      </c>
      <c r="B1619" s="27" t="s">
        <v>2129</v>
      </c>
      <c r="C1619" s="27" t="s">
        <v>2130</v>
      </c>
      <c r="D1619" s="27" t="s">
        <v>13647</v>
      </c>
      <c r="E1619" s="27" t="s">
        <v>13648</v>
      </c>
      <c r="F1619" s="27" t="s">
        <v>13649</v>
      </c>
      <c r="G1619" s="28"/>
      <c r="H1619" s="6" t="s">
        <v>63</v>
      </c>
      <c r="I1619" s="6" t="s">
        <v>62</v>
      </c>
      <c r="J1619" s="6" t="s">
        <v>63</v>
      </c>
      <c r="K1619" s="6" t="s">
        <v>63</v>
      </c>
      <c r="L1619" s="6" t="s">
        <v>64</v>
      </c>
      <c r="M1619" s="27" t="s">
        <v>13650</v>
      </c>
      <c r="N1619" s="27" t="s">
        <v>13651</v>
      </c>
      <c r="O1619" s="6" t="s">
        <v>2329</v>
      </c>
      <c r="P1619" s="28"/>
      <c r="Q1619" s="6" t="s">
        <v>67</v>
      </c>
      <c r="R1619" s="6" t="s">
        <v>318</v>
      </c>
      <c r="S1619" s="27" t="s">
        <v>13652</v>
      </c>
      <c r="T1619" s="6" t="s">
        <v>6138</v>
      </c>
      <c r="U1619" s="7" t="n">
        <v>1</v>
      </c>
      <c r="V1619" s="7" t="n">
        <v>1</v>
      </c>
      <c r="W1619" s="8" t="s">
        <v>13653</v>
      </c>
      <c r="X1619" s="8" t="s">
        <v>13653</v>
      </c>
      <c r="Y1619" s="8" t="s">
        <v>13529</v>
      </c>
      <c r="Z1619" s="8" t="s">
        <v>13529</v>
      </c>
      <c r="AA1619" s="7" t="n">
        <v>914</v>
      </c>
      <c r="AB1619" s="7" t="n">
        <v>746</v>
      </c>
      <c r="AC1619" s="7" t="n">
        <v>1332</v>
      </c>
      <c r="AD1619" s="7" t="n">
        <v>10</v>
      </c>
      <c r="AE1619" s="7" t="n">
        <v>14</v>
      </c>
      <c r="AF1619" s="7" t="n">
        <v>35</v>
      </c>
      <c r="AG1619" s="7" t="n">
        <v>60</v>
      </c>
      <c r="AH1619" s="7" t="n">
        <v>11</v>
      </c>
      <c r="AI1619" s="7" t="n">
        <v>25</v>
      </c>
      <c r="AJ1619" s="7" t="n">
        <v>4</v>
      </c>
      <c r="AK1619" s="7" t="n">
        <v>10</v>
      </c>
      <c r="AL1619" s="7" t="n">
        <v>15</v>
      </c>
      <c r="AM1619" s="7" t="n">
        <v>25</v>
      </c>
      <c r="AN1619" s="7" t="n">
        <v>8</v>
      </c>
      <c r="AO1619" s="7" t="n">
        <v>11</v>
      </c>
      <c r="AP1619" s="7" t="n">
        <v>1</v>
      </c>
      <c r="AQ1619" s="7" t="n">
        <v>2</v>
      </c>
      <c r="AR1619" s="6" t="s">
        <v>63</v>
      </c>
      <c r="AS1619" s="6" t="s">
        <v>63</v>
      </c>
      <c r="AT1619" s="9" t="str">
        <f aca="false">HYPERLINK("http://catalog.hathitrust.org/Record/001309813","HathiTrust Record")</f>
        <v>HathiTrust Record</v>
      </c>
      <c r="AU1619" s="9" t="str">
        <f aca="false">HYPERLINK("https://creighton-primo.hosted.exlibrisgroup.com/primo-explore/search?tab=default_tab&amp;search_scope=EVERYTHING&amp;vid=01CRU&amp;lang=en_US&amp;offset=0&amp;query=any,contains,991002570269702656","Catalog Record")</f>
        <v>Catalog Record</v>
      </c>
      <c r="AV1619" s="9" t="str">
        <f aca="false">HYPERLINK("http://www.worldcat.org/oclc/373490","WorldCat Record")</f>
        <v>WorldCat Record</v>
      </c>
      <c r="AW1619" s="6" t="s">
        <v>13654</v>
      </c>
      <c r="AX1619" s="6" t="s">
        <v>13655</v>
      </c>
      <c r="AY1619" s="6" t="s">
        <v>13656</v>
      </c>
      <c r="AZ1619" s="6" t="s">
        <v>13656</v>
      </c>
      <c r="BA1619" s="6" t="s">
        <v>13657</v>
      </c>
      <c r="BB1619" s="28"/>
      <c r="BC1619" s="6" t="s">
        <v>13658</v>
      </c>
      <c r="BE1619" s="15" t="s">
        <v>2145</v>
      </c>
      <c r="BF1619" s="6" t="s">
        <v>13659</v>
      </c>
    </row>
    <row r="1620" customFormat="false" ht="94" hidden="false" customHeight="false" outlineLevel="0" collapsed="false">
      <c r="A1620" s="26" t="s">
        <v>63</v>
      </c>
      <c r="B1620" s="27" t="s">
        <v>2129</v>
      </c>
      <c r="C1620" s="27" t="s">
        <v>2130</v>
      </c>
      <c r="D1620" s="27" t="s">
        <v>13660</v>
      </c>
      <c r="E1620" s="27" t="s">
        <v>13661</v>
      </c>
      <c r="F1620" s="27" t="s">
        <v>13662</v>
      </c>
      <c r="G1620" s="28"/>
      <c r="H1620" s="6" t="s">
        <v>63</v>
      </c>
      <c r="I1620" s="6" t="s">
        <v>62</v>
      </c>
      <c r="J1620" s="6" t="s">
        <v>63</v>
      </c>
      <c r="K1620" s="6" t="s">
        <v>63</v>
      </c>
      <c r="L1620" s="6" t="s">
        <v>64</v>
      </c>
      <c r="M1620" s="27" t="s">
        <v>13663</v>
      </c>
      <c r="N1620" s="27" t="s">
        <v>13664</v>
      </c>
      <c r="O1620" s="6" t="s">
        <v>2221</v>
      </c>
      <c r="P1620" s="28"/>
      <c r="Q1620" s="6" t="s">
        <v>67</v>
      </c>
      <c r="R1620" s="6" t="s">
        <v>384</v>
      </c>
      <c r="S1620" s="28"/>
      <c r="T1620" s="6" t="s">
        <v>6138</v>
      </c>
      <c r="U1620" s="7" t="n">
        <v>5</v>
      </c>
      <c r="V1620" s="7" t="n">
        <v>5</v>
      </c>
      <c r="W1620" s="8" t="s">
        <v>13665</v>
      </c>
      <c r="X1620" s="8" t="s">
        <v>13665</v>
      </c>
      <c r="Y1620" s="8" t="s">
        <v>6576</v>
      </c>
      <c r="Z1620" s="8" t="s">
        <v>6576</v>
      </c>
      <c r="AA1620" s="7" t="n">
        <v>430</v>
      </c>
      <c r="AB1620" s="7" t="n">
        <v>306</v>
      </c>
      <c r="AC1620" s="7" t="n">
        <v>350</v>
      </c>
      <c r="AD1620" s="7" t="n">
        <v>3</v>
      </c>
      <c r="AE1620" s="7" t="n">
        <v>3</v>
      </c>
      <c r="AF1620" s="7" t="n">
        <v>23</v>
      </c>
      <c r="AG1620" s="7" t="n">
        <v>25</v>
      </c>
      <c r="AH1620" s="7" t="n">
        <v>7</v>
      </c>
      <c r="AI1620" s="7" t="n">
        <v>7</v>
      </c>
      <c r="AJ1620" s="7" t="n">
        <v>5</v>
      </c>
      <c r="AK1620" s="7" t="n">
        <v>7</v>
      </c>
      <c r="AL1620" s="7" t="n">
        <v>15</v>
      </c>
      <c r="AM1620" s="7" t="n">
        <v>15</v>
      </c>
      <c r="AN1620" s="7" t="n">
        <v>2</v>
      </c>
      <c r="AO1620" s="7" t="n">
        <v>2</v>
      </c>
      <c r="AP1620" s="7" t="n">
        <v>1</v>
      </c>
      <c r="AQ1620" s="7" t="n">
        <v>1</v>
      </c>
      <c r="AR1620" s="6" t="s">
        <v>63</v>
      </c>
      <c r="AS1620" s="6" t="s">
        <v>63</v>
      </c>
      <c r="AT1620" s="28"/>
      <c r="AU1620" s="9" t="str">
        <f aca="false">HYPERLINK("https://creighton-primo.hosted.exlibrisgroup.com/primo-explore/search?tab=default_tab&amp;search_scope=EVERYTHING&amp;vid=01CRU&amp;lang=en_US&amp;offset=0&amp;query=any,contains,991001342249702656","Catalog Record")</f>
        <v>Catalog Record</v>
      </c>
      <c r="AV1620" s="9" t="str">
        <f aca="false">HYPERLINK("http://www.worldcat.org/oclc/18384603","WorldCat Record")</f>
        <v>WorldCat Record</v>
      </c>
      <c r="AW1620" s="6" t="s">
        <v>13666</v>
      </c>
      <c r="AX1620" s="6" t="s">
        <v>13667</v>
      </c>
      <c r="AY1620" s="6" t="s">
        <v>13668</v>
      </c>
      <c r="AZ1620" s="6" t="s">
        <v>13668</v>
      </c>
      <c r="BA1620" s="6" t="s">
        <v>13669</v>
      </c>
      <c r="BB1620" s="6" t="s">
        <v>13670</v>
      </c>
      <c r="BC1620" s="6" t="s">
        <v>13671</v>
      </c>
      <c r="BE1620" s="15" t="s">
        <v>2145</v>
      </c>
      <c r="BF1620" s="6" t="s">
        <v>13672</v>
      </c>
    </row>
    <row r="1621" customFormat="false" ht="59.5" hidden="false" customHeight="false" outlineLevel="0" collapsed="false">
      <c r="A1621" s="26" t="s">
        <v>63</v>
      </c>
      <c r="B1621" s="27" t="s">
        <v>2129</v>
      </c>
      <c r="C1621" s="27" t="s">
        <v>2130</v>
      </c>
      <c r="D1621" s="27" t="s">
        <v>13673</v>
      </c>
      <c r="E1621" s="27" t="s">
        <v>13674</v>
      </c>
      <c r="F1621" s="27" t="s">
        <v>13675</v>
      </c>
      <c r="G1621" s="28"/>
      <c r="H1621" s="6" t="s">
        <v>63</v>
      </c>
      <c r="I1621" s="6" t="s">
        <v>62</v>
      </c>
      <c r="J1621" s="6" t="s">
        <v>63</v>
      </c>
      <c r="K1621" s="6" t="s">
        <v>63</v>
      </c>
      <c r="L1621" s="6" t="s">
        <v>64</v>
      </c>
      <c r="M1621" s="27" t="s">
        <v>13676</v>
      </c>
      <c r="N1621" s="27" t="s">
        <v>13677</v>
      </c>
      <c r="O1621" s="6" t="s">
        <v>2329</v>
      </c>
      <c r="P1621" s="28"/>
      <c r="Q1621" s="6" t="s">
        <v>67</v>
      </c>
      <c r="R1621" s="6" t="s">
        <v>68</v>
      </c>
      <c r="S1621" s="27" t="s">
        <v>13678</v>
      </c>
      <c r="T1621" s="6" t="s">
        <v>6138</v>
      </c>
      <c r="U1621" s="7" t="n">
        <v>1</v>
      </c>
      <c r="V1621" s="7" t="n">
        <v>1</v>
      </c>
      <c r="W1621" s="8" t="s">
        <v>13679</v>
      </c>
      <c r="X1621" s="8" t="s">
        <v>13679</v>
      </c>
      <c r="Y1621" s="8" t="s">
        <v>13529</v>
      </c>
      <c r="Z1621" s="8" t="s">
        <v>13529</v>
      </c>
      <c r="AA1621" s="7" t="n">
        <v>354</v>
      </c>
      <c r="AB1621" s="7" t="n">
        <v>327</v>
      </c>
      <c r="AC1621" s="7" t="n">
        <v>738</v>
      </c>
      <c r="AD1621" s="7" t="n">
        <v>3</v>
      </c>
      <c r="AE1621" s="7" t="n">
        <v>5</v>
      </c>
      <c r="AF1621" s="7" t="n">
        <v>19</v>
      </c>
      <c r="AG1621" s="7" t="n">
        <v>40</v>
      </c>
      <c r="AH1621" s="7" t="n">
        <v>6</v>
      </c>
      <c r="AI1621" s="7" t="n">
        <v>16</v>
      </c>
      <c r="AJ1621" s="7" t="n">
        <v>6</v>
      </c>
      <c r="AK1621" s="7" t="n">
        <v>11</v>
      </c>
      <c r="AL1621" s="7" t="n">
        <v>9</v>
      </c>
      <c r="AM1621" s="7" t="n">
        <v>20</v>
      </c>
      <c r="AN1621" s="7" t="n">
        <v>2</v>
      </c>
      <c r="AO1621" s="7" t="n">
        <v>4</v>
      </c>
      <c r="AP1621" s="7" t="n">
        <v>0</v>
      </c>
      <c r="AQ1621" s="7" t="n">
        <v>1</v>
      </c>
      <c r="AR1621" s="6" t="s">
        <v>63</v>
      </c>
      <c r="AS1621" s="6" t="s">
        <v>57</v>
      </c>
      <c r="AT1621" s="9" t="str">
        <f aca="false">HYPERLINK("http://catalog.hathitrust.org/Record/001386187","HathiTrust Record")</f>
        <v>HathiTrust Record</v>
      </c>
      <c r="AU1621" s="9" t="str">
        <f aca="false">HYPERLINK("https://creighton-primo.hosted.exlibrisgroup.com/primo-explore/search?tab=default_tab&amp;search_scope=EVERYTHING&amp;vid=01CRU&amp;lang=en_US&amp;offset=0&amp;query=any,contains,991002572519702656","Catalog Record")</f>
        <v>Catalog Record</v>
      </c>
      <c r="AV1621" s="9" t="str">
        <f aca="false">HYPERLINK("http://www.worldcat.org/oclc/374085","WorldCat Record")</f>
        <v>WorldCat Record</v>
      </c>
      <c r="AW1621" s="6" t="s">
        <v>13680</v>
      </c>
      <c r="AX1621" s="6" t="s">
        <v>13681</v>
      </c>
      <c r="AY1621" s="6" t="s">
        <v>13682</v>
      </c>
      <c r="AZ1621" s="6" t="s">
        <v>13682</v>
      </c>
      <c r="BA1621" s="6" t="s">
        <v>13683</v>
      </c>
      <c r="BB1621" s="28"/>
      <c r="BC1621" s="6" t="s">
        <v>13684</v>
      </c>
      <c r="BE1621" s="15" t="s">
        <v>2145</v>
      </c>
      <c r="BF1621" s="6" t="s">
        <v>13685</v>
      </c>
    </row>
    <row r="1622" customFormat="false" ht="140" hidden="false" customHeight="false" outlineLevel="0" collapsed="false">
      <c r="A1622" s="26" t="s">
        <v>63</v>
      </c>
      <c r="B1622" s="27" t="s">
        <v>2129</v>
      </c>
      <c r="C1622" s="27" t="s">
        <v>2130</v>
      </c>
      <c r="D1622" s="27" t="s">
        <v>13686</v>
      </c>
      <c r="E1622" s="27" t="s">
        <v>13687</v>
      </c>
      <c r="F1622" s="27" t="s">
        <v>13688</v>
      </c>
      <c r="G1622" s="28"/>
      <c r="H1622" s="6" t="s">
        <v>63</v>
      </c>
      <c r="I1622" s="6" t="s">
        <v>62</v>
      </c>
      <c r="J1622" s="6" t="s">
        <v>63</v>
      </c>
      <c r="K1622" s="6" t="s">
        <v>63</v>
      </c>
      <c r="L1622" s="6" t="s">
        <v>64</v>
      </c>
      <c r="M1622" s="27" t="s">
        <v>4262</v>
      </c>
      <c r="N1622" s="27" t="s">
        <v>13689</v>
      </c>
      <c r="O1622" s="6" t="s">
        <v>2467</v>
      </c>
      <c r="P1622" s="28"/>
      <c r="Q1622" s="6" t="s">
        <v>67</v>
      </c>
      <c r="R1622" s="6" t="s">
        <v>401</v>
      </c>
      <c r="S1622" s="28"/>
      <c r="T1622" s="6" t="s">
        <v>6138</v>
      </c>
      <c r="U1622" s="7" t="n">
        <v>2</v>
      </c>
      <c r="V1622" s="7" t="n">
        <v>2</v>
      </c>
      <c r="W1622" s="8" t="s">
        <v>13690</v>
      </c>
      <c r="X1622" s="8" t="s">
        <v>13690</v>
      </c>
      <c r="Y1622" s="8" t="s">
        <v>13529</v>
      </c>
      <c r="Z1622" s="8" t="s">
        <v>13529</v>
      </c>
      <c r="AA1622" s="7" t="n">
        <v>630</v>
      </c>
      <c r="AB1622" s="7" t="n">
        <v>547</v>
      </c>
      <c r="AC1622" s="7" t="n">
        <v>595</v>
      </c>
      <c r="AD1622" s="7" t="n">
        <v>4</v>
      </c>
      <c r="AE1622" s="7" t="n">
        <v>4</v>
      </c>
      <c r="AF1622" s="7" t="n">
        <v>29</v>
      </c>
      <c r="AG1622" s="7" t="n">
        <v>33</v>
      </c>
      <c r="AH1622" s="7" t="n">
        <v>10</v>
      </c>
      <c r="AI1622" s="7" t="n">
        <v>13</v>
      </c>
      <c r="AJ1622" s="7" t="n">
        <v>7</v>
      </c>
      <c r="AK1622" s="7" t="n">
        <v>7</v>
      </c>
      <c r="AL1622" s="7" t="n">
        <v>18</v>
      </c>
      <c r="AM1622" s="7" t="n">
        <v>20</v>
      </c>
      <c r="AN1622" s="7" t="n">
        <v>3</v>
      </c>
      <c r="AO1622" s="7" t="n">
        <v>3</v>
      </c>
      <c r="AP1622" s="7" t="n">
        <v>0</v>
      </c>
      <c r="AQ1622" s="7" t="n">
        <v>0</v>
      </c>
      <c r="AR1622" s="6" t="s">
        <v>63</v>
      </c>
      <c r="AS1622" s="6" t="s">
        <v>57</v>
      </c>
      <c r="AT1622" s="9" t="str">
        <f aca="false">HYPERLINK("http://catalog.hathitrust.org/Record/001917714","HathiTrust Record")</f>
        <v>HathiTrust Record</v>
      </c>
      <c r="AU1622" s="9" t="str">
        <f aca="false">HYPERLINK("https://creighton-primo.hosted.exlibrisgroup.com/primo-explore/search?tab=default_tab&amp;search_scope=EVERYTHING&amp;vid=01CRU&amp;lang=en_US&amp;offset=0&amp;query=any,contains,991001070419702656","Catalog Record")</f>
        <v>Catalog Record</v>
      </c>
      <c r="AV1622" s="9" t="str">
        <f aca="false">HYPERLINK("http://www.worldcat.org/oclc/178720","WorldCat Record")</f>
        <v>WorldCat Record</v>
      </c>
      <c r="AW1622" s="6" t="s">
        <v>13691</v>
      </c>
      <c r="AX1622" s="6" t="s">
        <v>13692</v>
      </c>
      <c r="AY1622" s="6" t="s">
        <v>13693</v>
      </c>
      <c r="AZ1622" s="6" t="s">
        <v>13693</v>
      </c>
      <c r="BA1622" s="6" t="s">
        <v>13694</v>
      </c>
      <c r="BB1622" s="28"/>
      <c r="BC1622" s="6" t="s">
        <v>13695</v>
      </c>
      <c r="BE1622" s="15" t="s">
        <v>2145</v>
      </c>
      <c r="BF1622" s="6" t="s">
        <v>13696</v>
      </c>
    </row>
    <row r="1623" customFormat="false" ht="140" hidden="false" customHeight="false" outlineLevel="0" collapsed="false">
      <c r="A1623" s="26" t="s">
        <v>63</v>
      </c>
      <c r="B1623" s="27" t="s">
        <v>2129</v>
      </c>
      <c r="C1623" s="27" t="s">
        <v>2130</v>
      </c>
      <c r="D1623" s="27" t="s">
        <v>13697</v>
      </c>
      <c r="E1623" s="27" t="s">
        <v>13698</v>
      </c>
      <c r="F1623" s="27" t="s">
        <v>13699</v>
      </c>
      <c r="G1623" s="28"/>
      <c r="H1623" s="6" t="s">
        <v>63</v>
      </c>
      <c r="I1623" s="6" t="s">
        <v>62</v>
      </c>
      <c r="J1623" s="6" t="s">
        <v>63</v>
      </c>
      <c r="K1623" s="6" t="s">
        <v>63</v>
      </c>
      <c r="L1623" s="6" t="s">
        <v>64</v>
      </c>
      <c r="M1623" s="27" t="s">
        <v>13700</v>
      </c>
      <c r="N1623" s="27" t="s">
        <v>13701</v>
      </c>
      <c r="O1623" s="6" t="s">
        <v>3301</v>
      </c>
      <c r="P1623" s="28"/>
      <c r="Q1623" s="6" t="s">
        <v>67</v>
      </c>
      <c r="R1623" s="6" t="s">
        <v>500</v>
      </c>
      <c r="S1623" s="28"/>
      <c r="T1623" s="6" t="s">
        <v>6138</v>
      </c>
      <c r="U1623" s="7" t="n">
        <v>3</v>
      </c>
      <c r="V1623" s="7" t="n">
        <v>3</v>
      </c>
      <c r="W1623" s="8" t="s">
        <v>13702</v>
      </c>
      <c r="X1623" s="8" t="s">
        <v>13702</v>
      </c>
      <c r="Y1623" s="8" t="s">
        <v>13703</v>
      </c>
      <c r="Z1623" s="8" t="s">
        <v>13703</v>
      </c>
      <c r="AA1623" s="7" t="n">
        <v>538</v>
      </c>
      <c r="AB1623" s="7" t="n">
        <v>482</v>
      </c>
      <c r="AC1623" s="7" t="n">
        <v>539</v>
      </c>
      <c r="AD1623" s="7" t="n">
        <v>5</v>
      </c>
      <c r="AE1623" s="7" t="n">
        <v>5</v>
      </c>
      <c r="AF1623" s="7" t="n">
        <v>39</v>
      </c>
      <c r="AG1623" s="7" t="n">
        <v>41</v>
      </c>
      <c r="AH1623" s="7" t="n">
        <v>15</v>
      </c>
      <c r="AI1623" s="7" t="n">
        <v>15</v>
      </c>
      <c r="AJ1623" s="7" t="n">
        <v>8</v>
      </c>
      <c r="AK1623" s="7" t="n">
        <v>8</v>
      </c>
      <c r="AL1623" s="7" t="n">
        <v>24</v>
      </c>
      <c r="AM1623" s="7" t="n">
        <v>26</v>
      </c>
      <c r="AN1623" s="7" t="n">
        <v>4</v>
      </c>
      <c r="AO1623" s="7" t="n">
        <v>4</v>
      </c>
      <c r="AP1623" s="7" t="n">
        <v>0</v>
      </c>
      <c r="AQ1623" s="7" t="n">
        <v>0</v>
      </c>
      <c r="AR1623" s="6" t="s">
        <v>63</v>
      </c>
      <c r="AS1623" s="6" t="s">
        <v>57</v>
      </c>
      <c r="AT1623" s="9" t="str">
        <f aca="false">HYPERLINK("http://catalog.hathitrust.org/Record/000189031","HathiTrust Record")</f>
        <v>HathiTrust Record</v>
      </c>
      <c r="AU1623" s="9" t="str">
        <f aca="false">HYPERLINK("https://creighton-primo.hosted.exlibrisgroup.com/primo-explore/search?tab=default_tab&amp;search_scope=EVERYTHING&amp;vid=01CRU&amp;lang=en_US&amp;offset=0&amp;query=any,contains,991005216979702656","Catalog Record")</f>
        <v>Catalog Record</v>
      </c>
      <c r="AV1623" s="9" t="str">
        <f aca="false">HYPERLINK("http://www.worldcat.org/oclc/8195189","WorldCat Record")</f>
        <v>WorldCat Record</v>
      </c>
      <c r="AW1623" s="6" t="s">
        <v>13704</v>
      </c>
      <c r="AX1623" s="6" t="s">
        <v>13705</v>
      </c>
      <c r="AY1623" s="6" t="s">
        <v>13706</v>
      </c>
      <c r="AZ1623" s="6" t="s">
        <v>13706</v>
      </c>
      <c r="BA1623" s="6" t="s">
        <v>13707</v>
      </c>
      <c r="BB1623" s="6" t="s">
        <v>13708</v>
      </c>
      <c r="BC1623" s="6" t="s">
        <v>13709</v>
      </c>
      <c r="BE1623" s="15" t="s">
        <v>2145</v>
      </c>
      <c r="BF1623" s="6" t="s">
        <v>13710</v>
      </c>
    </row>
    <row r="1624" customFormat="false" ht="71" hidden="false" customHeight="false" outlineLevel="0" collapsed="false">
      <c r="A1624" s="26" t="s">
        <v>63</v>
      </c>
      <c r="B1624" s="27" t="s">
        <v>2129</v>
      </c>
      <c r="C1624" s="27" t="s">
        <v>2130</v>
      </c>
      <c r="D1624" s="27" t="s">
        <v>13711</v>
      </c>
      <c r="E1624" s="27" t="s">
        <v>13712</v>
      </c>
      <c r="F1624" s="27" t="s">
        <v>13713</v>
      </c>
      <c r="G1624" s="28"/>
      <c r="H1624" s="6" t="s">
        <v>63</v>
      </c>
      <c r="I1624" s="6" t="s">
        <v>62</v>
      </c>
      <c r="J1624" s="6" t="s">
        <v>63</v>
      </c>
      <c r="K1624" s="6" t="s">
        <v>63</v>
      </c>
      <c r="L1624" s="6" t="s">
        <v>64</v>
      </c>
      <c r="M1624" s="27" t="s">
        <v>13714</v>
      </c>
      <c r="N1624" s="27" t="s">
        <v>7184</v>
      </c>
      <c r="O1624" s="6" t="s">
        <v>2262</v>
      </c>
      <c r="P1624" s="28"/>
      <c r="Q1624" s="6" t="s">
        <v>67</v>
      </c>
      <c r="R1624" s="6" t="s">
        <v>68</v>
      </c>
      <c r="S1624" s="28"/>
      <c r="T1624" s="6" t="s">
        <v>6138</v>
      </c>
      <c r="U1624" s="7" t="n">
        <v>2</v>
      </c>
      <c r="V1624" s="7" t="n">
        <v>2</v>
      </c>
      <c r="W1624" s="8" t="s">
        <v>11245</v>
      </c>
      <c r="X1624" s="8" t="s">
        <v>11245</v>
      </c>
      <c r="Y1624" s="8" t="s">
        <v>9498</v>
      </c>
      <c r="Z1624" s="8" t="s">
        <v>9498</v>
      </c>
      <c r="AA1624" s="7" t="n">
        <v>550</v>
      </c>
      <c r="AB1624" s="7" t="n">
        <v>426</v>
      </c>
      <c r="AC1624" s="7" t="n">
        <v>432</v>
      </c>
      <c r="AD1624" s="7" t="n">
        <v>3</v>
      </c>
      <c r="AE1624" s="7" t="n">
        <v>3</v>
      </c>
      <c r="AF1624" s="7" t="n">
        <v>29</v>
      </c>
      <c r="AG1624" s="7" t="n">
        <v>29</v>
      </c>
      <c r="AH1624" s="7" t="n">
        <v>12</v>
      </c>
      <c r="AI1624" s="7" t="n">
        <v>12</v>
      </c>
      <c r="AJ1624" s="7" t="n">
        <v>9</v>
      </c>
      <c r="AK1624" s="7" t="n">
        <v>9</v>
      </c>
      <c r="AL1624" s="7" t="n">
        <v>17</v>
      </c>
      <c r="AM1624" s="7" t="n">
        <v>17</v>
      </c>
      <c r="AN1624" s="7" t="n">
        <v>2</v>
      </c>
      <c r="AO1624" s="7" t="n">
        <v>2</v>
      </c>
      <c r="AP1624" s="7" t="n">
        <v>1</v>
      </c>
      <c r="AQ1624" s="7" t="n">
        <v>1</v>
      </c>
      <c r="AR1624" s="6" t="s">
        <v>63</v>
      </c>
      <c r="AS1624" s="6" t="s">
        <v>63</v>
      </c>
      <c r="AT1624" s="28"/>
      <c r="AU1624" s="9" t="str">
        <f aca="false">HYPERLINK("https://creighton-primo.hosted.exlibrisgroup.com/primo-explore/search?tab=default_tab&amp;search_scope=EVERYTHING&amp;vid=01CRU&amp;lang=en_US&amp;offset=0&amp;query=any,contains,991000812109702656","Catalog Record")</f>
        <v>Catalog Record</v>
      </c>
      <c r="AV1624" s="9" t="str">
        <f aca="false">HYPERLINK("http://www.worldcat.org/oclc/13333060","WorldCat Record")</f>
        <v>WorldCat Record</v>
      </c>
      <c r="AW1624" s="6" t="s">
        <v>13715</v>
      </c>
      <c r="AX1624" s="6" t="s">
        <v>13716</v>
      </c>
      <c r="AY1624" s="6" t="s">
        <v>13717</v>
      </c>
      <c r="AZ1624" s="6" t="s">
        <v>13717</v>
      </c>
      <c r="BA1624" s="6" t="s">
        <v>13718</v>
      </c>
      <c r="BB1624" s="6" t="s">
        <v>13719</v>
      </c>
      <c r="BC1624" s="6" t="s">
        <v>13720</v>
      </c>
      <c r="BE1624" s="15" t="s">
        <v>2145</v>
      </c>
      <c r="BF1624" s="6" t="s">
        <v>13721</v>
      </c>
    </row>
    <row r="1625" customFormat="false" ht="140" hidden="false" customHeight="false" outlineLevel="0" collapsed="false">
      <c r="A1625" s="26" t="s">
        <v>63</v>
      </c>
      <c r="B1625" s="27" t="s">
        <v>2129</v>
      </c>
      <c r="C1625" s="27" t="s">
        <v>2130</v>
      </c>
      <c r="D1625" s="27" t="s">
        <v>1259</v>
      </c>
      <c r="E1625" s="27" t="s">
        <v>13722</v>
      </c>
      <c r="F1625" s="27" t="s">
        <v>1260</v>
      </c>
      <c r="G1625" s="28"/>
      <c r="H1625" s="6" t="s">
        <v>63</v>
      </c>
      <c r="I1625" s="6" t="s">
        <v>62</v>
      </c>
      <c r="J1625" s="6" t="s">
        <v>63</v>
      </c>
      <c r="K1625" s="6" t="s">
        <v>63</v>
      </c>
      <c r="L1625" s="6" t="s">
        <v>64</v>
      </c>
      <c r="M1625" s="27" t="s">
        <v>12539</v>
      </c>
      <c r="N1625" s="27" t="s">
        <v>13723</v>
      </c>
      <c r="O1625" s="6" t="s">
        <v>108</v>
      </c>
      <c r="P1625" s="28"/>
      <c r="Q1625" s="6" t="s">
        <v>67</v>
      </c>
      <c r="R1625" s="6" t="s">
        <v>222</v>
      </c>
      <c r="S1625" s="28"/>
      <c r="T1625" s="6" t="s">
        <v>6138</v>
      </c>
      <c r="U1625" s="7" t="n">
        <v>6</v>
      </c>
      <c r="V1625" s="7" t="n">
        <v>6</v>
      </c>
      <c r="W1625" s="8" t="s">
        <v>13724</v>
      </c>
      <c r="X1625" s="8" t="s">
        <v>13724</v>
      </c>
      <c r="Y1625" s="8" t="s">
        <v>13529</v>
      </c>
      <c r="Z1625" s="8" t="s">
        <v>13529</v>
      </c>
      <c r="AA1625" s="7" t="n">
        <v>927</v>
      </c>
      <c r="AB1625" s="7" t="n">
        <v>755</v>
      </c>
      <c r="AC1625" s="7" t="n">
        <v>794</v>
      </c>
      <c r="AD1625" s="7" t="n">
        <v>4</v>
      </c>
      <c r="AE1625" s="7" t="n">
        <v>4</v>
      </c>
      <c r="AF1625" s="7" t="n">
        <v>37</v>
      </c>
      <c r="AG1625" s="7" t="n">
        <v>38</v>
      </c>
      <c r="AH1625" s="7" t="n">
        <v>15</v>
      </c>
      <c r="AI1625" s="7" t="n">
        <v>16</v>
      </c>
      <c r="AJ1625" s="7" t="n">
        <v>9</v>
      </c>
      <c r="AK1625" s="7" t="n">
        <v>9</v>
      </c>
      <c r="AL1625" s="7" t="n">
        <v>19</v>
      </c>
      <c r="AM1625" s="7" t="n">
        <v>20</v>
      </c>
      <c r="AN1625" s="7" t="n">
        <v>3</v>
      </c>
      <c r="AO1625" s="7" t="n">
        <v>3</v>
      </c>
      <c r="AP1625" s="7" t="n">
        <v>1</v>
      </c>
      <c r="AQ1625" s="7" t="n">
        <v>1</v>
      </c>
      <c r="AR1625" s="6" t="s">
        <v>63</v>
      </c>
      <c r="AS1625" s="6" t="s">
        <v>57</v>
      </c>
      <c r="AT1625" s="9" t="str">
        <f aca="false">HYPERLINK("http://catalog.hathitrust.org/Record/000295136","HathiTrust Record")</f>
        <v>HathiTrust Record</v>
      </c>
      <c r="AU1625" s="9" t="str">
        <f aca="false">HYPERLINK("https://creighton-primo.hosted.exlibrisgroup.com/primo-explore/search?tab=default_tab&amp;search_scope=EVERYTHING&amp;vid=01CRU&amp;lang=en_US&amp;offset=0&amp;query=any,contains,991004377609702656","Catalog Record")</f>
        <v>Catalog Record</v>
      </c>
      <c r="AV1625" s="9" t="str">
        <f aca="false">HYPERLINK("http://www.worldcat.org/oclc/3206365","WorldCat Record")</f>
        <v>WorldCat Record</v>
      </c>
      <c r="AW1625" s="6" t="s">
        <v>13725</v>
      </c>
      <c r="AX1625" s="6" t="s">
        <v>13726</v>
      </c>
      <c r="AY1625" s="6" t="s">
        <v>13727</v>
      </c>
      <c r="AZ1625" s="6" t="s">
        <v>13727</v>
      </c>
      <c r="BA1625" s="6" t="s">
        <v>13728</v>
      </c>
      <c r="BB1625" s="6" t="s">
        <v>13729</v>
      </c>
      <c r="BC1625" s="6" t="s">
        <v>13730</v>
      </c>
      <c r="BE1625" s="15" t="s">
        <v>2145</v>
      </c>
      <c r="BF1625" s="6" t="s">
        <v>13731</v>
      </c>
    </row>
    <row r="1626" customFormat="false" ht="94" hidden="false" customHeight="false" outlineLevel="0" collapsed="false">
      <c r="A1626" s="26" t="s">
        <v>63</v>
      </c>
      <c r="B1626" s="27" t="s">
        <v>2129</v>
      </c>
      <c r="C1626" s="27" t="s">
        <v>2130</v>
      </c>
      <c r="D1626" s="27" t="s">
        <v>13732</v>
      </c>
      <c r="E1626" s="27" t="s">
        <v>13733</v>
      </c>
      <c r="F1626" s="27" t="s">
        <v>13734</v>
      </c>
      <c r="G1626" s="28"/>
      <c r="H1626" s="6" t="s">
        <v>63</v>
      </c>
      <c r="I1626" s="6" t="s">
        <v>62</v>
      </c>
      <c r="J1626" s="6" t="s">
        <v>63</v>
      </c>
      <c r="K1626" s="6" t="s">
        <v>63</v>
      </c>
      <c r="L1626" s="6" t="s">
        <v>64</v>
      </c>
      <c r="M1626" s="27" t="s">
        <v>8157</v>
      </c>
      <c r="N1626" s="27" t="s">
        <v>13735</v>
      </c>
      <c r="O1626" s="6" t="s">
        <v>2893</v>
      </c>
      <c r="P1626" s="28"/>
      <c r="Q1626" s="6" t="s">
        <v>67</v>
      </c>
      <c r="R1626" s="6" t="s">
        <v>384</v>
      </c>
      <c r="S1626" s="28"/>
      <c r="T1626" s="6" t="s">
        <v>6138</v>
      </c>
      <c r="U1626" s="7" t="n">
        <v>6</v>
      </c>
      <c r="V1626" s="7" t="n">
        <v>6</v>
      </c>
      <c r="W1626" s="8" t="s">
        <v>13736</v>
      </c>
      <c r="X1626" s="8" t="s">
        <v>13736</v>
      </c>
      <c r="Y1626" s="8" t="s">
        <v>13529</v>
      </c>
      <c r="Z1626" s="8" t="s">
        <v>13529</v>
      </c>
      <c r="AA1626" s="7" t="n">
        <v>741</v>
      </c>
      <c r="AB1626" s="7" t="n">
        <v>541</v>
      </c>
      <c r="AC1626" s="7" t="n">
        <v>543</v>
      </c>
      <c r="AD1626" s="7" t="n">
        <v>5</v>
      </c>
      <c r="AE1626" s="7" t="n">
        <v>5</v>
      </c>
      <c r="AF1626" s="7" t="n">
        <v>33</v>
      </c>
      <c r="AG1626" s="7" t="n">
        <v>33</v>
      </c>
      <c r="AH1626" s="7" t="n">
        <v>11</v>
      </c>
      <c r="AI1626" s="7" t="n">
        <v>11</v>
      </c>
      <c r="AJ1626" s="7" t="n">
        <v>9</v>
      </c>
      <c r="AK1626" s="7" t="n">
        <v>9</v>
      </c>
      <c r="AL1626" s="7" t="n">
        <v>19</v>
      </c>
      <c r="AM1626" s="7" t="n">
        <v>19</v>
      </c>
      <c r="AN1626" s="7" t="n">
        <v>3</v>
      </c>
      <c r="AO1626" s="7" t="n">
        <v>3</v>
      </c>
      <c r="AP1626" s="7" t="n">
        <v>1</v>
      </c>
      <c r="AQ1626" s="7" t="n">
        <v>1</v>
      </c>
      <c r="AR1626" s="6" t="s">
        <v>63</v>
      </c>
      <c r="AS1626" s="6" t="s">
        <v>57</v>
      </c>
      <c r="AT1626" s="9" t="str">
        <f aca="false">HYPERLINK("http://catalog.hathitrust.org/Record/000714778","HathiTrust Record")</f>
        <v>HathiTrust Record</v>
      </c>
      <c r="AU1626" s="9" t="str">
        <f aca="false">HYPERLINK("https://creighton-primo.hosted.exlibrisgroup.com/primo-explore/search?tab=default_tab&amp;search_scope=EVERYTHING&amp;vid=01CRU&amp;lang=en_US&amp;offset=0&amp;query=any,contains,991003957119702656","Catalog Record")</f>
        <v>Catalog Record</v>
      </c>
      <c r="AV1626" s="9" t="str">
        <f aca="false">HYPERLINK("http://www.worldcat.org/oclc/1969984","WorldCat Record")</f>
        <v>WorldCat Record</v>
      </c>
      <c r="AW1626" s="6" t="s">
        <v>13737</v>
      </c>
      <c r="AX1626" s="6" t="s">
        <v>13738</v>
      </c>
      <c r="AY1626" s="6" t="s">
        <v>13739</v>
      </c>
      <c r="AZ1626" s="6" t="s">
        <v>13739</v>
      </c>
      <c r="BA1626" s="6" t="s">
        <v>13740</v>
      </c>
      <c r="BB1626" s="6" t="s">
        <v>13741</v>
      </c>
      <c r="BC1626" s="6" t="s">
        <v>13742</v>
      </c>
      <c r="BE1626" s="15" t="s">
        <v>2145</v>
      </c>
      <c r="BF1626" s="6" t="s">
        <v>13743</v>
      </c>
    </row>
    <row r="1627" customFormat="false" ht="94" hidden="false" customHeight="false" outlineLevel="0" collapsed="false">
      <c r="A1627" s="26" t="s">
        <v>63</v>
      </c>
      <c r="B1627" s="27" t="s">
        <v>2129</v>
      </c>
      <c r="C1627" s="27" t="s">
        <v>2130</v>
      </c>
      <c r="D1627" s="27" t="s">
        <v>13744</v>
      </c>
      <c r="E1627" s="27" t="s">
        <v>13745</v>
      </c>
      <c r="F1627" s="27" t="s">
        <v>13746</v>
      </c>
      <c r="G1627" s="28"/>
      <c r="H1627" s="6" t="s">
        <v>63</v>
      </c>
      <c r="I1627" s="6" t="s">
        <v>62</v>
      </c>
      <c r="J1627" s="6" t="s">
        <v>63</v>
      </c>
      <c r="K1627" s="6" t="s">
        <v>63</v>
      </c>
      <c r="L1627" s="6" t="s">
        <v>64</v>
      </c>
      <c r="M1627" s="27" t="s">
        <v>11650</v>
      </c>
      <c r="N1627" s="27" t="s">
        <v>13747</v>
      </c>
      <c r="O1627" s="6" t="s">
        <v>167</v>
      </c>
      <c r="P1627" s="28"/>
      <c r="Q1627" s="6" t="s">
        <v>67</v>
      </c>
      <c r="R1627" s="6" t="s">
        <v>500</v>
      </c>
      <c r="S1627" s="27" t="s">
        <v>11557</v>
      </c>
      <c r="T1627" s="6" t="s">
        <v>6138</v>
      </c>
      <c r="U1627" s="7" t="n">
        <v>3</v>
      </c>
      <c r="V1627" s="7" t="n">
        <v>3</v>
      </c>
      <c r="W1627" s="8" t="s">
        <v>11799</v>
      </c>
      <c r="X1627" s="8" t="s">
        <v>11799</v>
      </c>
      <c r="Y1627" s="8" t="s">
        <v>13529</v>
      </c>
      <c r="Z1627" s="8" t="s">
        <v>13529</v>
      </c>
      <c r="AA1627" s="7" t="n">
        <v>558</v>
      </c>
      <c r="AB1627" s="7" t="n">
        <v>463</v>
      </c>
      <c r="AC1627" s="7" t="n">
        <v>466</v>
      </c>
      <c r="AD1627" s="7" t="n">
        <v>6</v>
      </c>
      <c r="AE1627" s="7" t="n">
        <v>6</v>
      </c>
      <c r="AF1627" s="7" t="n">
        <v>30</v>
      </c>
      <c r="AG1627" s="7" t="n">
        <v>30</v>
      </c>
      <c r="AH1627" s="7" t="n">
        <v>10</v>
      </c>
      <c r="AI1627" s="7" t="n">
        <v>10</v>
      </c>
      <c r="AJ1627" s="7" t="n">
        <v>7</v>
      </c>
      <c r="AK1627" s="7" t="n">
        <v>7</v>
      </c>
      <c r="AL1627" s="7" t="n">
        <v>17</v>
      </c>
      <c r="AM1627" s="7" t="n">
        <v>17</v>
      </c>
      <c r="AN1627" s="7" t="n">
        <v>5</v>
      </c>
      <c r="AO1627" s="7" t="n">
        <v>5</v>
      </c>
      <c r="AP1627" s="7" t="n">
        <v>0</v>
      </c>
      <c r="AQ1627" s="7" t="n">
        <v>0</v>
      </c>
      <c r="AR1627" s="6" t="s">
        <v>63</v>
      </c>
      <c r="AS1627" s="6" t="s">
        <v>57</v>
      </c>
      <c r="AT1627" s="9" t="str">
        <f aca="false">HYPERLINK("http://catalog.hathitrust.org/Record/001386199","HathiTrust Record")</f>
        <v>HathiTrust Record</v>
      </c>
      <c r="AU1627" s="9" t="str">
        <f aca="false">HYPERLINK("https://creighton-primo.hosted.exlibrisgroup.com/primo-explore/search?tab=default_tab&amp;search_scope=EVERYTHING&amp;vid=01CRU&amp;lang=en_US&amp;offset=0&amp;query=any,contains,991002165749702656","Catalog Record")</f>
        <v>Catalog Record</v>
      </c>
      <c r="AV1627" s="9" t="str">
        <f aca="false">HYPERLINK("http://www.worldcat.org/oclc/275219","WorldCat Record")</f>
        <v>WorldCat Record</v>
      </c>
      <c r="AW1627" s="6" t="s">
        <v>13748</v>
      </c>
      <c r="AX1627" s="6" t="s">
        <v>13749</v>
      </c>
      <c r="AY1627" s="6" t="s">
        <v>13750</v>
      </c>
      <c r="AZ1627" s="6" t="s">
        <v>13750</v>
      </c>
      <c r="BA1627" s="6" t="s">
        <v>13751</v>
      </c>
      <c r="BB1627" s="28"/>
      <c r="BC1627" s="6" t="s">
        <v>13752</v>
      </c>
      <c r="BE1627" s="15" t="s">
        <v>2145</v>
      </c>
      <c r="BF1627" s="6" t="s">
        <v>13753</v>
      </c>
    </row>
    <row r="1628" customFormat="false" ht="209" hidden="false" customHeight="false" outlineLevel="0" collapsed="false">
      <c r="A1628" s="26" t="s">
        <v>63</v>
      </c>
      <c r="B1628" s="27" t="s">
        <v>2129</v>
      </c>
      <c r="C1628" s="27" t="s">
        <v>2130</v>
      </c>
      <c r="D1628" s="27" t="s">
        <v>13754</v>
      </c>
      <c r="E1628" s="27" t="s">
        <v>13755</v>
      </c>
      <c r="F1628" s="27" t="s">
        <v>13756</v>
      </c>
      <c r="G1628" s="28"/>
      <c r="H1628" s="6" t="s">
        <v>63</v>
      </c>
      <c r="I1628" s="6" t="s">
        <v>62</v>
      </c>
      <c r="J1628" s="6" t="s">
        <v>63</v>
      </c>
      <c r="K1628" s="6" t="s">
        <v>63</v>
      </c>
      <c r="L1628" s="6" t="s">
        <v>64</v>
      </c>
      <c r="M1628" s="27" t="s">
        <v>13757</v>
      </c>
      <c r="N1628" s="27" t="s">
        <v>13758</v>
      </c>
      <c r="O1628" s="6" t="s">
        <v>2343</v>
      </c>
      <c r="P1628" s="28"/>
      <c r="Q1628" s="6" t="s">
        <v>67</v>
      </c>
      <c r="R1628" s="6" t="s">
        <v>222</v>
      </c>
      <c r="S1628" s="27" t="s">
        <v>12379</v>
      </c>
      <c r="T1628" s="6" t="s">
        <v>6138</v>
      </c>
      <c r="U1628" s="7" t="n">
        <v>3</v>
      </c>
      <c r="V1628" s="7" t="n">
        <v>3</v>
      </c>
      <c r="W1628" s="8" t="s">
        <v>13759</v>
      </c>
      <c r="X1628" s="8" t="s">
        <v>13759</v>
      </c>
      <c r="Y1628" s="8" t="s">
        <v>13529</v>
      </c>
      <c r="Z1628" s="8" t="s">
        <v>13529</v>
      </c>
      <c r="AA1628" s="7" t="n">
        <v>508</v>
      </c>
      <c r="AB1628" s="7" t="n">
        <v>388</v>
      </c>
      <c r="AC1628" s="7" t="n">
        <v>400</v>
      </c>
      <c r="AD1628" s="7" t="n">
        <v>3</v>
      </c>
      <c r="AE1628" s="7" t="n">
        <v>3</v>
      </c>
      <c r="AF1628" s="7" t="n">
        <v>24</v>
      </c>
      <c r="AG1628" s="7" t="n">
        <v>24</v>
      </c>
      <c r="AH1628" s="7" t="n">
        <v>6</v>
      </c>
      <c r="AI1628" s="7" t="n">
        <v>6</v>
      </c>
      <c r="AJ1628" s="7" t="n">
        <v>8</v>
      </c>
      <c r="AK1628" s="7" t="n">
        <v>8</v>
      </c>
      <c r="AL1628" s="7" t="n">
        <v>16</v>
      </c>
      <c r="AM1628" s="7" t="n">
        <v>16</v>
      </c>
      <c r="AN1628" s="7" t="n">
        <v>2</v>
      </c>
      <c r="AO1628" s="7" t="n">
        <v>2</v>
      </c>
      <c r="AP1628" s="7" t="n">
        <v>0</v>
      </c>
      <c r="AQ1628" s="7" t="n">
        <v>0</v>
      </c>
      <c r="AR1628" s="6" t="s">
        <v>63</v>
      </c>
      <c r="AS1628" s="6" t="s">
        <v>63</v>
      </c>
      <c r="AT1628" s="28"/>
      <c r="AU1628" s="9" t="str">
        <f aca="false">HYPERLINK("https://creighton-primo.hosted.exlibrisgroup.com/primo-explore/search?tab=default_tab&amp;search_scope=EVERYTHING&amp;vid=01CRU&amp;lang=en_US&amp;offset=0&amp;query=any,contains,991005144989702656","Catalog Record")</f>
        <v>Catalog Record</v>
      </c>
      <c r="AV1628" s="9" t="str">
        <f aca="false">HYPERLINK("http://www.worldcat.org/oclc/7653691","WorldCat Record")</f>
        <v>WorldCat Record</v>
      </c>
      <c r="AW1628" s="6" t="s">
        <v>13760</v>
      </c>
      <c r="AX1628" s="6" t="s">
        <v>13761</v>
      </c>
      <c r="AY1628" s="6" t="s">
        <v>13762</v>
      </c>
      <c r="AZ1628" s="6" t="s">
        <v>13762</v>
      </c>
      <c r="BA1628" s="6" t="s">
        <v>13763</v>
      </c>
      <c r="BB1628" s="6" t="s">
        <v>13764</v>
      </c>
      <c r="BC1628" s="6" t="s">
        <v>13765</v>
      </c>
      <c r="BE1628" s="15" t="s">
        <v>2145</v>
      </c>
      <c r="BF1628" s="6" t="s">
        <v>13766</v>
      </c>
    </row>
    <row r="1629" customFormat="false" ht="71" hidden="false" customHeight="false" outlineLevel="0" collapsed="false">
      <c r="A1629" s="26" t="s">
        <v>63</v>
      </c>
      <c r="B1629" s="27" t="s">
        <v>2129</v>
      </c>
      <c r="C1629" s="27" t="s">
        <v>2130</v>
      </c>
      <c r="D1629" s="27" t="s">
        <v>13767</v>
      </c>
      <c r="E1629" s="27" t="s">
        <v>13768</v>
      </c>
      <c r="F1629" s="27" t="s">
        <v>13769</v>
      </c>
      <c r="G1629" s="28"/>
      <c r="H1629" s="6" t="s">
        <v>63</v>
      </c>
      <c r="I1629" s="6" t="s">
        <v>62</v>
      </c>
      <c r="J1629" s="6" t="s">
        <v>63</v>
      </c>
      <c r="K1629" s="6" t="s">
        <v>63</v>
      </c>
      <c r="L1629" s="6" t="s">
        <v>64</v>
      </c>
      <c r="M1629" s="27" t="s">
        <v>12922</v>
      </c>
      <c r="N1629" s="27" t="s">
        <v>13770</v>
      </c>
      <c r="O1629" s="6" t="s">
        <v>2426</v>
      </c>
      <c r="P1629" s="28"/>
      <c r="Q1629" s="6" t="s">
        <v>67</v>
      </c>
      <c r="R1629" s="6" t="s">
        <v>384</v>
      </c>
      <c r="S1629" s="27" t="s">
        <v>7693</v>
      </c>
      <c r="T1629" s="6" t="s">
        <v>6138</v>
      </c>
      <c r="U1629" s="7" t="n">
        <v>2</v>
      </c>
      <c r="V1629" s="7" t="n">
        <v>2</v>
      </c>
      <c r="W1629" s="8" t="s">
        <v>4881</v>
      </c>
      <c r="X1629" s="8" t="s">
        <v>4881</v>
      </c>
      <c r="Y1629" s="8" t="s">
        <v>13529</v>
      </c>
      <c r="Z1629" s="8" t="s">
        <v>13529</v>
      </c>
      <c r="AA1629" s="7" t="n">
        <v>569</v>
      </c>
      <c r="AB1629" s="7" t="n">
        <v>419</v>
      </c>
      <c r="AC1629" s="7" t="n">
        <v>456</v>
      </c>
      <c r="AD1629" s="7" t="n">
        <v>4</v>
      </c>
      <c r="AE1629" s="7" t="n">
        <v>4</v>
      </c>
      <c r="AF1629" s="7" t="n">
        <v>29</v>
      </c>
      <c r="AG1629" s="7" t="n">
        <v>29</v>
      </c>
      <c r="AH1629" s="7" t="n">
        <v>8</v>
      </c>
      <c r="AI1629" s="7" t="n">
        <v>8</v>
      </c>
      <c r="AJ1629" s="7" t="n">
        <v>8</v>
      </c>
      <c r="AK1629" s="7" t="n">
        <v>8</v>
      </c>
      <c r="AL1629" s="7" t="n">
        <v>20</v>
      </c>
      <c r="AM1629" s="7" t="n">
        <v>20</v>
      </c>
      <c r="AN1629" s="7" t="n">
        <v>2</v>
      </c>
      <c r="AO1629" s="7" t="n">
        <v>2</v>
      </c>
      <c r="AP1629" s="7" t="n">
        <v>0</v>
      </c>
      <c r="AQ1629" s="7" t="n">
        <v>0</v>
      </c>
      <c r="AR1629" s="6" t="s">
        <v>63</v>
      </c>
      <c r="AS1629" s="6" t="s">
        <v>57</v>
      </c>
      <c r="AT1629" s="9" t="str">
        <f aca="false">HYPERLINK("http://catalog.hathitrust.org/Record/001386208","HathiTrust Record")</f>
        <v>HathiTrust Record</v>
      </c>
      <c r="AU1629" s="9" t="str">
        <f aca="false">HYPERLINK("https://creighton-primo.hosted.exlibrisgroup.com/primo-explore/search?tab=default_tab&amp;search_scope=EVERYTHING&amp;vid=01CRU&amp;lang=en_US&amp;offset=0&amp;query=any,contains,991003525289702656","Catalog Record")</f>
        <v>Catalog Record</v>
      </c>
      <c r="AV1629" s="9" t="str">
        <f aca="false">HYPERLINK("http://www.worldcat.org/oclc/1087728","WorldCat Record")</f>
        <v>WorldCat Record</v>
      </c>
      <c r="AW1629" s="6" t="s">
        <v>13771</v>
      </c>
      <c r="AX1629" s="6" t="s">
        <v>13772</v>
      </c>
      <c r="AY1629" s="6" t="s">
        <v>13773</v>
      </c>
      <c r="AZ1629" s="6" t="s">
        <v>13773</v>
      </c>
      <c r="BA1629" s="6" t="s">
        <v>13774</v>
      </c>
      <c r="BB1629" s="6" t="s">
        <v>13775</v>
      </c>
      <c r="BC1629" s="6" t="s">
        <v>13776</v>
      </c>
      <c r="BE1629" s="15" t="s">
        <v>2145</v>
      </c>
      <c r="BF1629" s="6" t="s">
        <v>13777</v>
      </c>
    </row>
    <row r="1630" customFormat="false" ht="220.5" hidden="false" customHeight="false" outlineLevel="0" collapsed="false">
      <c r="A1630" s="26" t="s">
        <v>63</v>
      </c>
      <c r="B1630" s="27" t="s">
        <v>2129</v>
      </c>
      <c r="C1630" s="27" t="s">
        <v>2130</v>
      </c>
      <c r="D1630" s="27" t="s">
        <v>13778</v>
      </c>
      <c r="E1630" s="27" t="s">
        <v>13779</v>
      </c>
      <c r="F1630" s="27" t="s">
        <v>13780</v>
      </c>
      <c r="G1630" s="28"/>
      <c r="H1630" s="6" t="s">
        <v>63</v>
      </c>
      <c r="I1630" s="6" t="s">
        <v>62</v>
      </c>
      <c r="J1630" s="6" t="s">
        <v>63</v>
      </c>
      <c r="K1630" s="6" t="s">
        <v>63</v>
      </c>
      <c r="L1630" s="6" t="s">
        <v>64</v>
      </c>
      <c r="M1630" s="27" t="s">
        <v>13781</v>
      </c>
      <c r="N1630" s="27" t="s">
        <v>13782</v>
      </c>
      <c r="O1630" s="6" t="s">
        <v>167</v>
      </c>
      <c r="P1630" s="28"/>
      <c r="Q1630" s="6" t="s">
        <v>67</v>
      </c>
      <c r="R1630" s="6" t="s">
        <v>68</v>
      </c>
      <c r="S1630" s="28"/>
      <c r="T1630" s="6" t="s">
        <v>6138</v>
      </c>
      <c r="U1630" s="7" t="n">
        <v>1</v>
      </c>
      <c r="V1630" s="7" t="n">
        <v>1</v>
      </c>
      <c r="W1630" s="8" t="s">
        <v>13783</v>
      </c>
      <c r="X1630" s="8" t="s">
        <v>13783</v>
      </c>
      <c r="Y1630" s="8" t="s">
        <v>13529</v>
      </c>
      <c r="Z1630" s="8" t="s">
        <v>13529</v>
      </c>
      <c r="AA1630" s="7" t="n">
        <v>385</v>
      </c>
      <c r="AB1630" s="7" t="n">
        <v>333</v>
      </c>
      <c r="AC1630" s="7" t="n">
        <v>381</v>
      </c>
      <c r="AD1630" s="7" t="n">
        <v>1</v>
      </c>
      <c r="AE1630" s="7" t="n">
        <v>1</v>
      </c>
      <c r="AF1630" s="7" t="n">
        <v>13</v>
      </c>
      <c r="AG1630" s="7" t="n">
        <v>14</v>
      </c>
      <c r="AH1630" s="7" t="n">
        <v>5</v>
      </c>
      <c r="AI1630" s="7" t="n">
        <v>6</v>
      </c>
      <c r="AJ1630" s="7" t="n">
        <v>2</v>
      </c>
      <c r="AK1630" s="7" t="n">
        <v>2</v>
      </c>
      <c r="AL1630" s="7" t="n">
        <v>9</v>
      </c>
      <c r="AM1630" s="7" t="n">
        <v>9</v>
      </c>
      <c r="AN1630" s="7" t="n">
        <v>0</v>
      </c>
      <c r="AO1630" s="7" t="n">
        <v>0</v>
      </c>
      <c r="AP1630" s="7" t="n">
        <v>0</v>
      </c>
      <c r="AQ1630" s="7" t="n">
        <v>0</v>
      </c>
      <c r="AR1630" s="6" t="s">
        <v>63</v>
      </c>
      <c r="AS1630" s="6" t="s">
        <v>57</v>
      </c>
      <c r="AT1630" s="9" t="str">
        <f aca="false">HYPERLINK("http://catalog.hathitrust.org/Record/001386213","HathiTrust Record")</f>
        <v>HathiTrust Record</v>
      </c>
      <c r="AU1630" s="9" t="str">
        <f aca="false">HYPERLINK("https://creighton-primo.hosted.exlibrisgroup.com/primo-explore/search?tab=default_tab&amp;search_scope=EVERYTHING&amp;vid=01CRU&amp;lang=en_US&amp;offset=0&amp;query=any,contains,991002570669702656","Catalog Record")</f>
        <v>Catalog Record</v>
      </c>
      <c r="AV1630" s="9" t="str">
        <f aca="false">HYPERLINK("http://www.worldcat.org/oclc/373588","WorldCat Record")</f>
        <v>WorldCat Record</v>
      </c>
      <c r="AW1630" s="6" t="s">
        <v>13784</v>
      </c>
      <c r="AX1630" s="6" t="s">
        <v>13785</v>
      </c>
      <c r="AY1630" s="6" t="s">
        <v>13786</v>
      </c>
      <c r="AZ1630" s="6" t="s">
        <v>13786</v>
      </c>
      <c r="BA1630" s="6" t="s">
        <v>13787</v>
      </c>
      <c r="BB1630" s="28"/>
      <c r="BC1630" s="6" t="s">
        <v>13788</v>
      </c>
      <c r="BE1630" s="15" t="s">
        <v>2145</v>
      </c>
      <c r="BF1630" s="6" t="s">
        <v>13789</v>
      </c>
    </row>
    <row r="1631" customFormat="false" ht="151.5" hidden="false" customHeight="false" outlineLevel="0" collapsed="false">
      <c r="A1631" s="26" t="s">
        <v>63</v>
      </c>
      <c r="B1631" s="27" t="s">
        <v>2129</v>
      </c>
      <c r="C1631" s="27" t="s">
        <v>2130</v>
      </c>
      <c r="D1631" s="27" t="s">
        <v>13790</v>
      </c>
      <c r="E1631" s="27" t="s">
        <v>13791</v>
      </c>
      <c r="F1631" s="27" t="s">
        <v>13792</v>
      </c>
      <c r="G1631" s="28"/>
      <c r="H1631" s="6" t="s">
        <v>63</v>
      </c>
      <c r="I1631" s="6" t="s">
        <v>62</v>
      </c>
      <c r="J1631" s="6" t="s">
        <v>63</v>
      </c>
      <c r="K1631" s="6" t="s">
        <v>63</v>
      </c>
      <c r="L1631" s="6" t="s">
        <v>64</v>
      </c>
      <c r="M1631" s="27" t="s">
        <v>12687</v>
      </c>
      <c r="N1631" s="27" t="s">
        <v>13793</v>
      </c>
      <c r="O1631" s="6" t="s">
        <v>2811</v>
      </c>
      <c r="P1631" s="28"/>
      <c r="Q1631" s="6" t="s">
        <v>67</v>
      </c>
      <c r="R1631" s="6" t="s">
        <v>222</v>
      </c>
      <c r="S1631" s="28"/>
      <c r="T1631" s="6" t="s">
        <v>6138</v>
      </c>
      <c r="U1631" s="7" t="n">
        <v>1</v>
      </c>
      <c r="V1631" s="7" t="n">
        <v>1</v>
      </c>
      <c r="W1631" s="8" t="s">
        <v>13794</v>
      </c>
      <c r="X1631" s="8" t="s">
        <v>13794</v>
      </c>
      <c r="Y1631" s="8" t="s">
        <v>13795</v>
      </c>
      <c r="Z1631" s="8" t="s">
        <v>13795</v>
      </c>
      <c r="AA1631" s="7" t="n">
        <v>703</v>
      </c>
      <c r="AB1631" s="7" t="n">
        <v>591</v>
      </c>
      <c r="AC1631" s="7" t="n">
        <v>605</v>
      </c>
      <c r="AD1631" s="7" t="n">
        <v>7</v>
      </c>
      <c r="AE1631" s="7" t="n">
        <v>7</v>
      </c>
      <c r="AF1631" s="7" t="n">
        <v>29</v>
      </c>
      <c r="AG1631" s="7" t="n">
        <v>30</v>
      </c>
      <c r="AH1631" s="7" t="n">
        <v>10</v>
      </c>
      <c r="AI1631" s="7" t="n">
        <v>10</v>
      </c>
      <c r="AJ1631" s="7" t="n">
        <v>7</v>
      </c>
      <c r="AK1631" s="7" t="n">
        <v>8</v>
      </c>
      <c r="AL1631" s="7" t="n">
        <v>15</v>
      </c>
      <c r="AM1631" s="7" t="n">
        <v>15</v>
      </c>
      <c r="AN1631" s="7" t="n">
        <v>4</v>
      </c>
      <c r="AO1631" s="7" t="n">
        <v>4</v>
      </c>
      <c r="AP1631" s="7" t="n">
        <v>0</v>
      </c>
      <c r="AQ1631" s="7" t="n">
        <v>0</v>
      </c>
      <c r="AR1631" s="6" t="s">
        <v>63</v>
      </c>
      <c r="AS1631" s="6" t="s">
        <v>57</v>
      </c>
      <c r="AT1631" s="9" t="str">
        <f aca="false">HYPERLINK("http://catalog.hathitrust.org/Record/001386235","HathiTrust Record")</f>
        <v>HathiTrust Record</v>
      </c>
      <c r="AU1631" s="9" t="str">
        <f aca="false">HYPERLINK("https://creighton-primo.hosted.exlibrisgroup.com/primo-explore/search?tab=default_tab&amp;search_scope=EVERYTHING&amp;vid=01CRU&amp;lang=en_US&amp;offset=0&amp;query=any,contains,991000776539702656","Catalog Record")</f>
        <v>Catalog Record</v>
      </c>
      <c r="AV1631" s="9" t="str">
        <f aca="false">HYPERLINK("http://www.worldcat.org/oclc/133068","WorldCat Record")</f>
        <v>WorldCat Record</v>
      </c>
      <c r="AW1631" s="6" t="s">
        <v>13796</v>
      </c>
      <c r="AX1631" s="6" t="s">
        <v>13797</v>
      </c>
      <c r="AY1631" s="6" t="s">
        <v>13798</v>
      </c>
      <c r="AZ1631" s="6" t="s">
        <v>13798</v>
      </c>
      <c r="BA1631" s="6" t="s">
        <v>13799</v>
      </c>
      <c r="BB1631" s="6" t="s">
        <v>13800</v>
      </c>
      <c r="BC1631" s="6" t="s">
        <v>13801</v>
      </c>
      <c r="BE1631" s="15" t="s">
        <v>2145</v>
      </c>
      <c r="BF1631" s="6" t="s">
        <v>13802</v>
      </c>
    </row>
    <row r="1632" customFormat="false" ht="94" hidden="false" customHeight="false" outlineLevel="0" collapsed="false">
      <c r="A1632" s="26" t="s">
        <v>63</v>
      </c>
      <c r="B1632" s="27" t="s">
        <v>2129</v>
      </c>
      <c r="C1632" s="27" t="s">
        <v>2130</v>
      </c>
      <c r="D1632" s="27" t="s">
        <v>13803</v>
      </c>
      <c r="E1632" s="27" t="s">
        <v>13804</v>
      </c>
      <c r="F1632" s="27" t="s">
        <v>13805</v>
      </c>
      <c r="G1632" s="28"/>
      <c r="H1632" s="6" t="s">
        <v>63</v>
      </c>
      <c r="I1632" s="6" t="s">
        <v>62</v>
      </c>
      <c r="J1632" s="6" t="s">
        <v>63</v>
      </c>
      <c r="K1632" s="6" t="s">
        <v>63</v>
      </c>
      <c r="L1632" s="6" t="s">
        <v>64</v>
      </c>
      <c r="M1632" s="27" t="s">
        <v>13806</v>
      </c>
      <c r="N1632" s="27" t="s">
        <v>13807</v>
      </c>
      <c r="O1632" s="6" t="s">
        <v>13808</v>
      </c>
      <c r="P1632" s="27" t="s">
        <v>13809</v>
      </c>
      <c r="Q1632" s="6" t="s">
        <v>67</v>
      </c>
      <c r="R1632" s="6" t="s">
        <v>384</v>
      </c>
      <c r="S1632" s="28"/>
      <c r="T1632" s="6" t="s">
        <v>6138</v>
      </c>
      <c r="U1632" s="7" t="n">
        <v>8</v>
      </c>
      <c r="V1632" s="7" t="n">
        <v>8</v>
      </c>
      <c r="W1632" s="8" t="s">
        <v>13810</v>
      </c>
      <c r="X1632" s="8" t="s">
        <v>13810</v>
      </c>
      <c r="Y1632" s="8" t="s">
        <v>3824</v>
      </c>
      <c r="Z1632" s="8" t="s">
        <v>3824</v>
      </c>
      <c r="AA1632" s="7" t="n">
        <v>20</v>
      </c>
      <c r="AB1632" s="7" t="n">
        <v>18</v>
      </c>
      <c r="AC1632" s="7" t="n">
        <v>234</v>
      </c>
      <c r="AD1632" s="7" t="n">
        <v>1</v>
      </c>
      <c r="AE1632" s="7" t="n">
        <v>2</v>
      </c>
      <c r="AF1632" s="7" t="n">
        <v>1</v>
      </c>
      <c r="AG1632" s="7" t="n">
        <v>13</v>
      </c>
      <c r="AH1632" s="7" t="n">
        <v>0</v>
      </c>
      <c r="AI1632" s="7" t="n">
        <v>3</v>
      </c>
      <c r="AJ1632" s="7" t="n">
        <v>0</v>
      </c>
      <c r="AK1632" s="7" t="n">
        <v>3</v>
      </c>
      <c r="AL1632" s="7" t="n">
        <v>1</v>
      </c>
      <c r="AM1632" s="7" t="n">
        <v>9</v>
      </c>
      <c r="AN1632" s="7" t="n">
        <v>0</v>
      </c>
      <c r="AO1632" s="7" t="n">
        <v>1</v>
      </c>
      <c r="AP1632" s="7" t="n">
        <v>0</v>
      </c>
      <c r="AQ1632" s="7" t="n">
        <v>0</v>
      </c>
      <c r="AR1632" s="6" t="s">
        <v>57</v>
      </c>
      <c r="AS1632" s="6" t="s">
        <v>63</v>
      </c>
      <c r="AT1632" s="9" t="str">
        <f aca="false">HYPERLINK("http://catalog.hathitrust.org/Record/101846311","HathiTrust Record")</f>
        <v>HathiTrust Record</v>
      </c>
      <c r="AU1632" s="9" t="str">
        <f aca="false">HYPERLINK("https://creighton-primo.hosted.exlibrisgroup.com/primo-explore/search?tab=default_tab&amp;search_scope=EVERYTHING&amp;vid=01CRU&amp;lang=en_US&amp;offset=0&amp;query=any,contains,991004599419702656","Catalog Record")</f>
        <v>Catalog Record</v>
      </c>
      <c r="AV1632" s="9" t="str">
        <f aca="false">HYPERLINK("http://www.worldcat.org/oclc/4163438","WorldCat Record")</f>
        <v>WorldCat Record</v>
      </c>
      <c r="AW1632" s="6" t="s">
        <v>13811</v>
      </c>
      <c r="AX1632" s="6" t="s">
        <v>13812</v>
      </c>
      <c r="AY1632" s="6" t="s">
        <v>13813</v>
      </c>
      <c r="AZ1632" s="6" t="s">
        <v>13813</v>
      </c>
      <c r="BA1632" s="6" t="s">
        <v>13814</v>
      </c>
      <c r="BB1632" s="28"/>
      <c r="BC1632" s="6" t="s">
        <v>13815</v>
      </c>
      <c r="BE1632" s="15" t="s">
        <v>2145</v>
      </c>
      <c r="BF1632" s="6" t="s">
        <v>13816</v>
      </c>
    </row>
    <row r="1633" customFormat="false" ht="197.5" hidden="false" customHeight="false" outlineLevel="0" collapsed="false">
      <c r="A1633" s="26" t="s">
        <v>63</v>
      </c>
      <c r="B1633" s="27" t="s">
        <v>2129</v>
      </c>
      <c r="C1633" s="27" t="s">
        <v>2130</v>
      </c>
      <c r="D1633" s="27" t="s">
        <v>13817</v>
      </c>
      <c r="E1633" s="27" t="s">
        <v>13818</v>
      </c>
      <c r="F1633" s="27" t="s">
        <v>13819</v>
      </c>
      <c r="G1633" s="28"/>
      <c r="H1633" s="6" t="s">
        <v>63</v>
      </c>
      <c r="I1633" s="6" t="s">
        <v>62</v>
      </c>
      <c r="J1633" s="6" t="s">
        <v>63</v>
      </c>
      <c r="K1633" s="6" t="s">
        <v>63</v>
      </c>
      <c r="L1633" s="6" t="s">
        <v>64</v>
      </c>
      <c r="M1633" s="28"/>
      <c r="N1633" s="27" t="s">
        <v>13820</v>
      </c>
      <c r="O1633" s="6" t="s">
        <v>2221</v>
      </c>
      <c r="P1633" s="28"/>
      <c r="Q1633" s="6" t="s">
        <v>67</v>
      </c>
      <c r="R1633" s="6" t="s">
        <v>384</v>
      </c>
      <c r="S1633" s="27" t="s">
        <v>13821</v>
      </c>
      <c r="T1633" s="6" t="s">
        <v>6138</v>
      </c>
      <c r="U1633" s="7" t="n">
        <v>7</v>
      </c>
      <c r="V1633" s="7" t="n">
        <v>7</v>
      </c>
      <c r="W1633" s="8" t="s">
        <v>13822</v>
      </c>
      <c r="X1633" s="8" t="s">
        <v>13822</v>
      </c>
      <c r="Y1633" s="8" t="s">
        <v>13823</v>
      </c>
      <c r="Z1633" s="8" t="s">
        <v>13823</v>
      </c>
      <c r="AA1633" s="7" t="n">
        <v>369</v>
      </c>
      <c r="AB1633" s="7" t="n">
        <v>233</v>
      </c>
      <c r="AC1633" s="7" t="n">
        <v>261</v>
      </c>
      <c r="AD1633" s="7" t="n">
        <v>2</v>
      </c>
      <c r="AE1633" s="7" t="n">
        <v>2</v>
      </c>
      <c r="AF1633" s="7" t="n">
        <v>14</v>
      </c>
      <c r="AG1633" s="7" t="n">
        <v>14</v>
      </c>
      <c r="AH1633" s="7" t="n">
        <v>2</v>
      </c>
      <c r="AI1633" s="7" t="n">
        <v>2</v>
      </c>
      <c r="AJ1633" s="7" t="n">
        <v>4</v>
      </c>
      <c r="AK1633" s="7" t="n">
        <v>4</v>
      </c>
      <c r="AL1633" s="7" t="n">
        <v>10</v>
      </c>
      <c r="AM1633" s="7" t="n">
        <v>10</v>
      </c>
      <c r="AN1633" s="7" t="n">
        <v>1</v>
      </c>
      <c r="AO1633" s="7" t="n">
        <v>1</v>
      </c>
      <c r="AP1633" s="7" t="n">
        <v>0</v>
      </c>
      <c r="AQ1633" s="7" t="n">
        <v>0</v>
      </c>
      <c r="AR1633" s="6" t="s">
        <v>63</v>
      </c>
      <c r="AS1633" s="6" t="s">
        <v>57</v>
      </c>
      <c r="AT1633" s="9" t="str">
        <f aca="false">HYPERLINK("http://catalog.hathitrust.org/Record/000908137","HathiTrust Record")</f>
        <v>HathiTrust Record</v>
      </c>
      <c r="AU1633" s="9" t="str">
        <f aca="false">HYPERLINK("https://creighton-primo.hosted.exlibrisgroup.com/primo-explore/search?tab=default_tab&amp;search_scope=EVERYTHING&amp;vid=01CRU&amp;lang=en_US&amp;offset=0&amp;query=any,contains,991001096759702656","Catalog Record")</f>
        <v>Catalog Record</v>
      </c>
      <c r="AV1633" s="9" t="str">
        <f aca="false">HYPERLINK("http://www.worldcat.org/oclc/16276119","WorldCat Record")</f>
        <v>WorldCat Record</v>
      </c>
      <c r="AW1633" s="6" t="s">
        <v>13824</v>
      </c>
      <c r="AX1633" s="6" t="s">
        <v>13825</v>
      </c>
      <c r="AY1633" s="6" t="s">
        <v>13826</v>
      </c>
      <c r="AZ1633" s="6" t="s">
        <v>13826</v>
      </c>
      <c r="BA1633" s="6" t="s">
        <v>13827</v>
      </c>
      <c r="BB1633" s="6" t="s">
        <v>13828</v>
      </c>
      <c r="BC1633" s="6" t="s">
        <v>13829</v>
      </c>
      <c r="BE1633" s="15" t="s">
        <v>2145</v>
      </c>
      <c r="BF1633" s="6" t="s">
        <v>13830</v>
      </c>
    </row>
    <row r="1634" customFormat="false" ht="105.5" hidden="false" customHeight="false" outlineLevel="0" collapsed="false">
      <c r="A1634" s="26" t="s">
        <v>63</v>
      </c>
      <c r="B1634" s="27" t="s">
        <v>2129</v>
      </c>
      <c r="C1634" s="27" t="s">
        <v>2130</v>
      </c>
      <c r="D1634" s="27" t="s">
        <v>13831</v>
      </c>
      <c r="E1634" s="27" t="s">
        <v>13832</v>
      </c>
      <c r="F1634" s="27" t="s">
        <v>13833</v>
      </c>
      <c r="G1634" s="28"/>
      <c r="H1634" s="6" t="s">
        <v>63</v>
      </c>
      <c r="I1634" s="6" t="s">
        <v>62</v>
      </c>
      <c r="J1634" s="6" t="s">
        <v>63</v>
      </c>
      <c r="K1634" s="6" t="s">
        <v>63</v>
      </c>
      <c r="L1634" s="6" t="s">
        <v>64</v>
      </c>
      <c r="M1634" s="27" t="s">
        <v>13834</v>
      </c>
      <c r="N1634" s="27" t="s">
        <v>13835</v>
      </c>
      <c r="O1634" s="6" t="s">
        <v>13836</v>
      </c>
      <c r="P1634" s="28"/>
      <c r="Q1634" s="6" t="s">
        <v>67</v>
      </c>
      <c r="R1634" s="6" t="s">
        <v>123</v>
      </c>
      <c r="S1634" s="27" t="s">
        <v>13837</v>
      </c>
      <c r="T1634" s="6" t="s">
        <v>6138</v>
      </c>
      <c r="U1634" s="7" t="n">
        <v>3</v>
      </c>
      <c r="V1634" s="7" t="n">
        <v>3</v>
      </c>
      <c r="W1634" s="8" t="s">
        <v>12676</v>
      </c>
      <c r="X1634" s="8" t="s">
        <v>12676</v>
      </c>
      <c r="Y1634" s="8" t="s">
        <v>13795</v>
      </c>
      <c r="Z1634" s="8" t="s">
        <v>13795</v>
      </c>
      <c r="AA1634" s="7" t="n">
        <v>340</v>
      </c>
      <c r="AB1634" s="7" t="n">
        <v>320</v>
      </c>
      <c r="AC1634" s="7" t="n">
        <v>513</v>
      </c>
      <c r="AD1634" s="7" t="n">
        <v>5</v>
      </c>
      <c r="AE1634" s="7" t="n">
        <v>6</v>
      </c>
      <c r="AF1634" s="7" t="n">
        <v>15</v>
      </c>
      <c r="AG1634" s="7" t="n">
        <v>27</v>
      </c>
      <c r="AH1634" s="7" t="n">
        <v>9</v>
      </c>
      <c r="AI1634" s="7" t="n">
        <v>11</v>
      </c>
      <c r="AJ1634" s="7" t="n">
        <v>1</v>
      </c>
      <c r="AK1634" s="7" t="n">
        <v>4</v>
      </c>
      <c r="AL1634" s="7" t="n">
        <v>4</v>
      </c>
      <c r="AM1634" s="7" t="n">
        <v>11</v>
      </c>
      <c r="AN1634" s="7" t="n">
        <v>4</v>
      </c>
      <c r="AO1634" s="7" t="n">
        <v>5</v>
      </c>
      <c r="AP1634" s="7" t="n">
        <v>0</v>
      </c>
      <c r="AQ1634" s="7" t="n">
        <v>0</v>
      </c>
      <c r="AR1634" s="6" t="s">
        <v>57</v>
      </c>
      <c r="AS1634" s="6" t="s">
        <v>63</v>
      </c>
      <c r="AT1634" s="9" t="str">
        <f aca="false">HYPERLINK("http://catalog.hathitrust.org/Record/001386284","HathiTrust Record")</f>
        <v>HathiTrust Record</v>
      </c>
      <c r="AU1634" s="9" t="str">
        <f aca="false">HYPERLINK("https://creighton-primo.hosted.exlibrisgroup.com/primo-explore/search?tab=default_tab&amp;search_scope=EVERYTHING&amp;vid=01CRU&amp;lang=en_US&amp;offset=0&amp;query=any,contains,991003752469702656","Catalog Record")</f>
        <v>Catalog Record</v>
      </c>
      <c r="AV1634" s="9" t="str">
        <f aca="false">HYPERLINK("http://www.worldcat.org/oclc/1430495","WorldCat Record")</f>
        <v>WorldCat Record</v>
      </c>
      <c r="AW1634" s="6" t="s">
        <v>13838</v>
      </c>
      <c r="AX1634" s="6" t="s">
        <v>13839</v>
      </c>
      <c r="AY1634" s="6" t="s">
        <v>13840</v>
      </c>
      <c r="AZ1634" s="6" t="s">
        <v>13840</v>
      </c>
      <c r="BA1634" s="6" t="s">
        <v>13841</v>
      </c>
      <c r="BB1634" s="28"/>
      <c r="BC1634" s="6" t="s">
        <v>13842</v>
      </c>
      <c r="BE1634" s="15" t="s">
        <v>2145</v>
      </c>
      <c r="BF1634" s="6" t="s">
        <v>13843</v>
      </c>
    </row>
    <row r="1635" customFormat="false" ht="117" hidden="false" customHeight="false" outlineLevel="0" collapsed="false">
      <c r="A1635" s="26" t="s">
        <v>63</v>
      </c>
      <c r="B1635" s="27" t="s">
        <v>2129</v>
      </c>
      <c r="C1635" s="27" t="s">
        <v>2130</v>
      </c>
      <c r="D1635" s="27" t="s">
        <v>13844</v>
      </c>
      <c r="E1635" s="27" t="s">
        <v>13845</v>
      </c>
      <c r="F1635" s="27" t="s">
        <v>13846</v>
      </c>
      <c r="G1635" s="28"/>
      <c r="H1635" s="6" t="s">
        <v>63</v>
      </c>
      <c r="I1635" s="6" t="s">
        <v>62</v>
      </c>
      <c r="J1635" s="6" t="s">
        <v>63</v>
      </c>
      <c r="K1635" s="6" t="s">
        <v>63</v>
      </c>
      <c r="L1635" s="6" t="s">
        <v>64</v>
      </c>
      <c r="M1635" s="27" t="s">
        <v>13847</v>
      </c>
      <c r="N1635" s="27" t="s">
        <v>13848</v>
      </c>
      <c r="O1635" s="6" t="s">
        <v>4025</v>
      </c>
      <c r="P1635" s="28"/>
      <c r="Q1635" s="6" t="s">
        <v>67</v>
      </c>
      <c r="R1635" s="6" t="s">
        <v>68</v>
      </c>
      <c r="S1635" s="27" t="s">
        <v>13849</v>
      </c>
      <c r="T1635" s="6" t="s">
        <v>6138</v>
      </c>
      <c r="U1635" s="7" t="n">
        <v>3</v>
      </c>
      <c r="V1635" s="7" t="n">
        <v>3</v>
      </c>
      <c r="W1635" s="8" t="s">
        <v>9561</v>
      </c>
      <c r="X1635" s="8" t="s">
        <v>9561</v>
      </c>
      <c r="Y1635" s="8" t="s">
        <v>13850</v>
      </c>
      <c r="Z1635" s="8" t="s">
        <v>13850</v>
      </c>
      <c r="AA1635" s="7" t="n">
        <v>456</v>
      </c>
      <c r="AB1635" s="7" t="n">
        <v>321</v>
      </c>
      <c r="AC1635" s="7" t="n">
        <v>322</v>
      </c>
      <c r="AD1635" s="7" t="n">
        <v>2</v>
      </c>
      <c r="AE1635" s="7" t="n">
        <v>2</v>
      </c>
      <c r="AF1635" s="7" t="n">
        <v>23</v>
      </c>
      <c r="AG1635" s="7" t="n">
        <v>23</v>
      </c>
      <c r="AH1635" s="7" t="n">
        <v>10</v>
      </c>
      <c r="AI1635" s="7" t="n">
        <v>10</v>
      </c>
      <c r="AJ1635" s="7" t="n">
        <v>8</v>
      </c>
      <c r="AK1635" s="7" t="n">
        <v>8</v>
      </c>
      <c r="AL1635" s="7" t="n">
        <v>12</v>
      </c>
      <c r="AM1635" s="7" t="n">
        <v>12</v>
      </c>
      <c r="AN1635" s="7" t="n">
        <v>1</v>
      </c>
      <c r="AO1635" s="7" t="n">
        <v>1</v>
      </c>
      <c r="AP1635" s="7" t="n">
        <v>0</v>
      </c>
      <c r="AQ1635" s="7" t="n">
        <v>0</v>
      </c>
      <c r="AR1635" s="6" t="s">
        <v>63</v>
      </c>
      <c r="AS1635" s="6" t="s">
        <v>63</v>
      </c>
      <c r="AT1635" s="28"/>
      <c r="AU1635" s="9" t="str">
        <f aca="false">HYPERLINK("https://creighton-primo.hosted.exlibrisgroup.com/primo-explore/search?tab=default_tab&amp;search_scope=EVERYTHING&amp;vid=01CRU&amp;lang=en_US&amp;offset=0&amp;query=any,contains,991001824119702656","Catalog Record")</f>
        <v>Catalog Record</v>
      </c>
      <c r="AV1635" s="9" t="str">
        <f aca="false">HYPERLINK("http://www.worldcat.org/oclc/22909915","WorldCat Record")</f>
        <v>WorldCat Record</v>
      </c>
      <c r="AW1635" s="6" t="s">
        <v>13851</v>
      </c>
      <c r="AX1635" s="6" t="s">
        <v>13852</v>
      </c>
      <c r="AY1635" s="6" t="s">
        <v>13853</v>
      </c>
      <c r="AZ1635" s="6" t="s">
        <v>13853</v>
      </c>
      <c r="BA1635" s="6" t="s">
        <v>13854</v>
      </c>
      <c r="BB1635" s="6" t="s">
        <v>13855</v>
      </c>
      <c r="BC1635" s="6" t="s">
        <v>13856</v>
      </c>
      <c r="BE1635" s="15" t="s">
        <v>2145</v>
      </c>
      <c r="BF1635" s="6" t="s">
        <v>13857</v>
      </c>
    </row>
    <row r="1636" customFormat="false" ht="232" hidden="false" customHeight="false" outlineLevel="0" collapsed="false">
      <c r="A1636" s="26" t="s">
        <v>63</v>
      </c>
      <c r="B1636" s="27" t="s">
        <v>2129</v>
      </c>
      <c r="C1636" s="27" t="s">
        <v>2130</v>
      </c>
      <c r="D1636" s="27" t="s">
        <v>13858</v>
      </c>
      <c r="E1636" s="27" t="s">
        <v>13859</v>
      </c>
      <c r="F1636" s="27" t="s">
        <v>13860</v>
      </c>
      <c r="G1636" s="28"/>
      <c r="H1636" s="6" t="s">
        <v>63</v>
      </c>
      <c r="I1636" s="6" t="s">
        <v>62</v>
      </c>
      <c r="J1636" s="6" t="s">
        <v>63</v>
      </c>
      <c r="K1636" s="6" t="s">
        <v>63</v>
      </c>
      <c r="L1636" s="6" t="s">
        <v>64</v>
      </c>
      <c r="M1636" s="27" t="s">
        <v>13861</v>
      </c>
      <c r="N1636" s="27" t="s">
        <v>13862</v>
      </c>
      <c r="O1636" s="6" t="s">
        <v>2262</v>
      </c>
      <c r="P1636" s="28"/>
      <c r="Q1636" s="6" t="s">
        <v>67</v>
      </c>
      <c r="R1636" s="6" t="s">
        <v>802</v>
      </c>
      <c r="S1636" s="27" t="s">
        <v>13863</v>
      </c>
      <c r="T1636" s="6" t="s">
        <v>6138</v>
      </c>
      <c r="U1636" s="7" t="n">
        <v>4</v>
      </c>
      <c r="V1636" s="7" t="n">
        <v>4</v>
      </c>
      <c r="W1636" s="8" t="s">
        <v>7708</v>
      </c>
      <c r="X1636" s="8" t="s">
        <v>7708</v>
      </c>
      <c r="Y1636" s="8" t="s">
        <v>13795</v>
      </c>
      <c r="Z1636" s="8" t="s">
        <v>13795</v>
      </c>
      <c r="AA1636" s="7" t="n">
        <v>236</v>
      </c>
      <c r="AB1636" s="7" t="n">
        <v>173</v>
      </c>
      <c r="AC1636" s="7" t="n">
        <v>182</v>
      </c>
      <c r="AD1636" s="7" t="n">
        <v>1</v>
      </c>
      <c r="AE1636" s="7" t="n">
        <v>1</v>
      </c>
      <c r="AF1636" s="7" t="n">
        <v>11</v>
      </c>
      <c r="AG1636" s="7" t="n">
        <v>12</v>
      </c>
      <c r="AH1636" s="7" t="n">
        <v>1</v>
      </c>
      <c r="AI1636" s="7" t="n">
        <v>2</v>
      </c>
      <c r="AJ1636" s="7" t="n">
        <v>4</v>
      </c>
      <c r="AK1636" s="7" t="n">
        <v>4</v>
      </c>
      <c r="AL1636" s="7" t="n">
        <v>10</v>
      </c>
      <c r="AM1636" s="7" t="n">
        <v>11</v>
      </c>
      <c r="AN1636" s="7" t="n">
        <v>0</v>
      </c>
      <c r="AO1636" s="7" t="n">
        <v>0</v>
      </c>
      <c r="AP1636" s="7" t="n">
        <v>0</v>
      </c>
      <c r="AQ1636" s="7" t="n">
        <v>0</v>
      </c>
      <c r="AR1636" s="6" t="s">
        <v>63</v>
      </c>
      <c r="AS1636" s="6" t="s">
        <v>63</v>
      </c>
      <c r="AT1636" s="28"/>
      <c r="AU1636" s="9" t="str">
        <f aca="false">HYPERLINK("https://creighton-primo.hosted.exlibrisgroup.com/primo-explore/search?tab=default_tab&amp;search_scope=EVERYTHING&amp;vid=01CRU&amp;lang=en_US&amp;offset=0&amp;query=any,contains,991000737879702656","Catalog Record")</f>
        <v>Catalog Record</v>
      </c>
      <c r="AV1636" s="9" t="str">
        <f aca="false">HYPERLINK("http://www.worldcat.org/oclc/12804294","WorldCat Record")</f>
        <v>WorldCat Record</v>
      </c>
      <c r="AW1636" s="6" t="s">
        <v>13864</v>
      </c>
      <c r="AX1636" s="6" t="s">
        <v>13865</v>
      </c>
      <c r="AY1636" s="6" t="s">
        <v>13866</v>
      </c>
      <c r="AZ1636" s="6" t="s">
        <v>13866</v>
      </c>
      <c r="BA1636" s="6" t="s">
        <v>13867</v>
      </c>
      <c r="BB1636" s="6" t="s">
        <v>13868</v>
      </c>
      <c r="BC1636" s="6" t="s">
        <v>13869</v>
      </c>
      <c r="BE1636" s="15" t="s">
        <v>2145</v>
      </c>
      <c r="BF1636" s="6" t="s">
        <v>13870</v>
      </c>
    </row>
    <row r="1637" customFormat="false" ht="59.5" hidden="false" customHeight="false" outlineLevel="0" collapsed="false">
      <c r="A1637" s="26" t="s">
        <v>63</v>
      </c>
      <c r="B1637" s="27" t="s">
        <v>2129</v>
      </c>
      <c r="C1637" s="27" t="s">
        <v>2130</v>
      </c>
      <c r="D1637" s="27" t="s">
        <v>13871</v>
      </c>
      <c r="E1637" s="27" t="s">
        <v>13872</v>
      </c>
      <c r="F1637" s="27" t="s">
        <v>13873</v>
      </c>
      <c r="G1637" s="28"/>
      <c r="H1637" s="6" t="s">
        <v>63</v>
      </c>
      <c r="I1637" s="6" t="s">
        <v>62</v>
      </c>
      <c r="J1637" s="6" t="s">
        <v>63</v>
      </c>
      <c r="K1637" s="6" t="s">
        <v>63</v>
      </c>
      <c r="L1637" s="6" t="s">
        <v>64</v>
      </c>
      <c r="M1637" s="27" t="s">
        <v>13874</v>
      </c>
      <c r="N1637" s="27" t="s">
        <v>13875</v>
      </c>
      <c r="O1637" s="6" t="s">
        <v>13876</v>
      </c>
      <c r="P1637" s="28"/>
      <c r="Q1637" s="6" t="s">
        <v>67</v>
      </c>
      <c r="R1637" s="6" t="s">
        <v>123</v>
      </c>
      <c r="S1637" s="28"/>
      <c r="T1637" s="6" t="s">
        <v>6138</v>
      </c>
      <c r="U1637" s="7" t="n">
        <v>7</v>
      </c>
      <c r="V1637" s="7" t="n">
        <v>7</v>
      </c>
      <c r="W1637" s="8" t="s">
        <v>13877</v>
      </c>
      <c r="X1637" s="8" t="s">
        <v>13877</v>
      </c>
      <c r="Y1637" s="8" t="s">
        <v>13795</v>
      </c>
      <c r="Z1637" s="8" t="s">
        <v>13795</v>
      </c>
      <c r="AA1637" s="7" t="n">
        <v>29</v>
      </c>
      <c r="AB1637" s="7" t="n">
        <v>27</v>
      </c>
      <c r="AC1637" s="7" t="n">
        <v>86</v>
      </c>
      <c r="AD1637" s="7" t="n">
        <v>1</v>
      </c>
      <c r="AE1637" s="7" t="n">
        <v>2</v>
      </c>
      <c r="AF1637" s="7" t="n">
        <v>3</v>
      </c>
      <c r="AG1637" s="7" t="n">
        <v>6</v>
      </c>
      <c r="AH1637" s="7" t="n">
        <v>2</v>
      </c>
      <c r="AI1637" s="7" t="n">
        <v>3</v>
      </c>
      <c r="AJ1637" s="7" t="n">
        <v>0</v>
      </c>
      <c r="AK1637" s="7" t="n">
        <v>0</v>
      </c>
      <c r="AL1637" s="7" t="n">
        <v>1</v>
      </c>
      <c r="AM1637" s="7" t="n">
        <v>3</v>
      </c>
      <c r="AN1637" s="7" t="n">
        <v>0</v>
      </c>
      <c r="AO1637" s="7" t="n">
        <v>1</v>
      </c>
      <c r="AP1637" s="7" t="n">
        <v>0</v>
      </c>
      <c r="AQ1637" s="7" t="n">
        <v>0</v>
      </c>
      <c r="AR1637" s="6" t="s">
        <v>57</v>
      </c>
      <c r="AS1637" s="6" t="s">
        <v>63</v>
      </c>
      <c r="AT1637" s="9" t="str">
        <f aca="false">HYPERLINK("http://catalog.hathitrust.org/Record/001917789","HathiTrust Record")</f>
        <v>HathiTrust Record</v>
      </c>
      <c r="AU1637" s="9" t="str">
        <f aca="false">HYPERLINK("https://creighton-primo.hosted.exlibrisgroup.com/primo-explore/search?tab=default_tab&amp;search_scope=EVERYTHING&amp;vid=01CRU&amp;lang=en_US&amp;offset=0&amp;query=any,contains,991004372219702656","Catalog Record")</f>
        <v>Catalog Record</v>
      </c>
      <c r="AV1637" s="9" t="str">
        <f aca="false">HYPERLINK("http://www.worldcat.org/oclc/3197696","WorldCat Record")</f>
        <v>WorldCat Record</v>
      </c>
      <c r="AW1637" s="6" t="s">
        <v>13878</v>
      </c>
      <c r="AX1637" s="6" t="s">
        <v>13879</v>
      </c>
      <c r="AY1637" s="6" t="s">
        <v>13880</v>
      </c>
      <c r="AZ1637" s="6" t="s">
        <v>13880</v>
      </c>
      <c r="BA1637" s="6" t="s">
        <v>13881</v>
      </c>
      <c r="BB1637" s="28"/>
      <c r="BC1637" s="6" t="s">
        <v>13882</v>
      </c>
      <c r="BE1637" s="15" t="s">
        <v>2145</v>
      </c>
      <c r="BF1637" s="6" t="s">
        <v>13883</v>
      </c>
    </row>
    <row r="1638" customFormat="false" ht="243.5" hidden="false" customHeight="false" outlineLevel="0" collapsed="false">
      <c r="A1638" s="26" t="s">
        <v>63</v>
      </c>
      <c r="B1638" s="27" t="s">
        <v>2129</v>
      </c>
      <c r="C1638" s="27" t="s">
        <v>2130</v>
      </c>
      <c r="D1638" s="27" t="s">
        <v>13884</v>
      </c>
      <c r="E1638" s="27" t="s">
        <v>13885</v>
      </c>
      <c r="F1638" s="27" t="s">
        <v>13886</v>
      </c>
      <c r="G1638" s="28"/>
      <c r="H1638" s="6" t="s">
        <v>63</v>
      </c>
      <c r="I1638" s="6" t="s">
        <v>62</v>
      </c>
      <c r="J1638" s="6" t="s">
        <v>63</v>
      </c>
      <c r="K1638" s="6" t="s">
        <v>63</v>
      </c>
      <c r="L1638" s="6" t="s">
        <v>64</v>
      </c>
      <c r="M1638" s="27" t="s">
        <v>13887</v>
      </c>
      <c r="N1638" s="27" t="s">
        <v>13888</v>
      </c>
      <c r="O1638" s="6" t="s">
        <v>13889</v>
      </c>
      <c r="P1638" s="28"/>
      <c r="Q1638" s="6" t="s">
        <v>67</v>
      </c>
      <c r="R1638" s="6" t="s">
        <v>68</v>
      </c>
      <c r="S1638" s="28"/>
      <c r="T1638" s="6" t="s">
        <v>6138</v>
      </c>
      <c r="U1638" s="7" t="n">
        <v>8</v>
      </c>
      <c r="V1638" s="7" t="n">
        <v>8</v>
      </c>
      <c r="W1638" s="8" t="s">
        <v>13890</v>
      </c>
      <c r="X1638" s="8" t="s">
        <v>13890</v>
      </c>
      <c r="Y1638" s="8" t="s">
        <v>13795</v>
      </c>
      <c r="Z1638" s="8" t="s">
        <v>13795</v>
      </c>
      <c r="AA1638" s="7" t="n">
        <v>13</v>
      </c>
      <c r="AB1638" s="7" t="n">
        <v>11</v>
      </c>
      <c r="AC1638" s="7" t="n">
        <v>170</v>
      </c>
      <c r="AD1638" s="7" t="n">
        <v>1</v>
      </c>
      <c r="AE1638" s="7" t="n">
        <v>2</v>
      </c>
      <c r="AF1638" s="7" t="n">
        <v>0</v>
      </c>
      <c r="AG1638" s="7" t="n">
        <v>4</v>
      </c>
      <c r="AH1638" s="7" t="n">
        <v>0</v>
      </c>
      <c r="AI1638" s="7" t="n">
        <v>0</v>
      </c>
      <c r="AJ1638" s="7" t="n">
        <v>0</v>
      </c>
      <c r="AK1638" s="7" t="n">
        <v>0</v>
      </c>
      <c r="AL1638" s="7" t="n">
        <v>0</v>
      </c>
      <c r="AM1638" s="7" t="n">
        <v>4</v>
      </c>
      <c r="AN1638" s="7" t="n">
        <v>0</v>
      </c>
      <c r="AO1638" s="7" t="n">
        <v>0</v>
      </c>
      <c r="AP1638" s="7" t="n">
        <v>0</v>
      </c>
      <c r="AQ1638" s="7" t="n">
        <v>0</v>
      </c>
      <c r="AR1638" s="6" t="s">
        <v>63</v>
      </c>
      <c r="AS1638" s="6" t="s">
        <v>63</v>
      </c>
      <c r="AT1638" s="28"/>
      <c r="AU1638" s="9" t="str">
        <f aca="false">HYPERLINK("https://creighton-primo.hosted.exlibrisgroup.com/primo-explore/search?tab=default_tab&amp;search_scope=EVERYTHING&amp;vid=01CRU&amp;lang=en_US&amp;offset=0&amp;query=any,contains,991000138579702656","Catalog Record")</f>
        <v>Catalog Record</v>
      </c>
      <c r="AV1638" s="9" t="str">
        <f aca="false">HYPERLINK("http://www.worldcat.org/oclc/9151208","WorldCat Record")</f>
        <v>WorldCat Record</v>
      </c>
      <c r="AW1638" s="6" t="s">
        <v>13891</v>
      </c>
      <c r="AX1638" s="6" t="s">
        <v>13892</v>
      </c>
      <c r="AY1638" s="6" t="s">
        <v>13893</v>
      </c>
      <c r="AZ1638" s="6" t="s">
        <v>13893</v>
      </c>
      <c r="BA1638" s="6" t="s">
        <v>13894</v>
      </c>
      <c r="BB1638" s="28"/>
      <c r="BC1638" s="6" t="s">
        <v>13895</v>
      </c>
      <c r="BE1638" s="15" t="s">
        <v>2145</v>
      </c>
      <c r="BF1638" s="6" t="s">
        <v>13896</v>
      </c>
    </row>
    <row r="1639" customFormat="false" ht="71" hidden="false" customHeight="false" outlineLevel="0" collapsed="false">
      <c r="A1639" s="26" t="s">
        <v>63</v>
      </c>
      <c r="B1639" s="27" t="s">
        <v>2129</v>
      </c>
      <c r="C1639" s="27" t="s">
        <v>2130</v>
      </c>
      <c r="D1639" s="27" t="s">
        <v>13897</v>
      </c>
      <c r="E1639" s="27" t="s">
        <v>13898</v>
      </c>
      <c r="F1639" s="27" t="s">
        <v>13899</v>
      </c>
      <c r="G1639" s="28"/>
      <c r="H1639" s="6" t="s">
        <v>63</v>
      </c>
      <c r="I1639" s="6" t="s">
        <v>62</v>
      </c>
      <c r="J1639" s="6" t="s">
        <v>63</v>
      </c>
      <c r="K1639" s="6" t="s">
        <v>63</v>
      </c>
      <c r="L1639" s="6" t="s">
        <v>64</v>
      </c>
      <c r="M1639" s="27" t="s">
        <v>13900</v>
      </c>
      <c r="N1639" s="27" t="s">
        <v>13901</v>
      </c>
      <c r="O1639" s="6" t="s">
        <v>108</v>
      </c>
      <c r="P1639" s="28"/>
      <c r="Q1639" s="6" t="s">
        <v>67</v>
      </c>
      <c r="R1639" s="6" t="s">
        <v>2288</v>
      </c>
      <c r="S1639" s="28"/>
      <c r="T1639" s="6" t="s">
        <v>6138</v>
      </c>
      <c r="U1639" s="7" t="n">
        <v>2</v>
      </c>
      <c r="V1639" s="7" t="n">
        <v>2</v>
      </c>
      <c r="W1639" s="8" t="s">
        <v>13902</v>
      </c>
      <c r="X1639" s="8" t="s">
        <v>13902</v>
      </c>
      <c r="Y1639" s="8" t="s">
        <v>13795</v>
      </c>
      <c r="Z1639" s="8" t="s">
        <v>13795</v>
      </c>
      <c r="AA1639" s="7" t="n">
        <v>131</v>
      </c>
      <c r="AB1639" s="7" t="n">
        <v>117</v>
      </c>
      <c r="AC1639" s="7" t="n">
        <v>120</v>
      </c>
      <c r="AD1639" s="7" t="n">
        <v>1</v>
      </c>
      <c r="AE1639" s="7" t="n">
        <v>1</v>
      </c>
      <c r="AF1639" s="7" t="n">
        <v>5</v>
      </c>
      <c r="AG1639" s="7" t="n">
        <v>5</v>
      </c>
      <c r="AH1639" s="7" t="n">
        <v>1</v>
      </c>
      <c r="AI1639" s="7" t="n">
        <v>1</v>
      </c>
      <c r="AJ1639" s="7" t="n">
        <v>2</v>
      </c>
      <c r="AK1639" s="7" t="n">
        <v>2</v>
      </c>
      <c r="AL1639" s="7" t="n">
        <v>4</v>
      </c>
      <c r="AM1639" s="7" t="n">
        <v>4</v>
      </c>
      <c r="AN1639" s="7" t="n">
        <v>0</v>
      </c>
      <c r="AO1639" s="7" t="n">
        <v>0</v>
      </c>
      <c r="AP1639" s="7" t="n">
        <v>0</v>
      </c>
      <c r="AQ1639" s="7" t="n">
        <v>0</v>
      </c>
      <c r="AR1639" s="6" t="s">
        <v>63</v>
      </c>
      <c r="AS1639" s="6" t="s">
        <v>57</v>
      </c>
      <c r="AT1639" s="9" t="str">
        <f aca="false">HYPERLINK("http://catalog.hathitrust.org/Record/000246021","HathiTrust Record")</f>
        <v>HathiTrust Record</v>
      </c>
      <c r="AU1639" s="9" t="str">
        <f aca="false">HYPERLINK("https://creighton-primo.hosted.exlibrisgroup.com/primo-explore/search?tab=default_tab&amp;search_scope=EVERYTHING&amp;vid=01CRU&amp;lang=en_US&amp;offset=0&amp;query=any,contains,991004786809702656","Catalog Record")</f>
        <v>Catalog Record</v>
      </c>
      <c r="AV1639" s="9" t="str">
        <f aca="false">HYPERLINK("http://www.worldcat.org/oclc/5148933","WorldCat Record")</f>
        <v>WorldCat Record</v>
      </c>
      <c r="AW1639" s="6" t="s">
        <v>13903</v>
      </c>
      <c r="AX1639" s="6" t="s">
        <v>13904</v>
      </c>
      <c r="AY1639" s="6" t="s">
        <v>13905</v>
      </c>
      <c r="AZ1639" s="6" t="s">
        <v>13905</v>
      </c>
      <c r="BA1639" s="6" t="s">
        <v>13906</v>
      </c>
      <c r="BB1639" s="6" t="s">
        <v>13907</v>
      </c>
      <c r="BC1639" s="6" t="s">
        <v>13908</v>
      </c>
      <c r="BE1639" s="15" t="s">
        <v>2145</v>
      </c>
      <c r="BF1639" s="6" t="s">
        <v>13909</v>
      </c>
    </row>
    <row r="1640" customFormat="false" ht="163" hidden="false" customHeight="false" outlineLevel="0" collapsed="false">
      <c r="A1640" s="26" t="s">
        <v>63</v>
      </c>
      <c r="B1640" s="27" t="s">
        <v>2129</v>
      </c>
      <c r="C1640" s="27" t="s">
        <v>2130</v>
      </c>
      <c r="D1640" s="27" t="s">
        <v>13910</v>
      </c>
      <c r="E1640" s="27" t="s">
        <v>13911</v>
      </c>
      <c r="F1640" s="27" t="s">
        <v>13912</v>
      </c>
      <c r="G1640" s="28"/>
      <c r="H1640" s="6" t="s">
        <v>63</v>
      </c>
      <c r="I1640" s="6" t="s">
        <v>62</v>
      </c>
      <c r="J1640" s="6" t="s">
        <v>63</v>
      </c>
      <c r="K1640" s="6" t="s">
        <v>63</v>
      </c>
      <c r="L1640" s="6" t="s">
        <v>64</v>
      </c>
      <c r="M1640" s="28"/>
      <c r="N1640" s="27" t="s">
        <v>13913</v>
      </c>
      <c r="O1640" s="6" t="s">
        <v>3340</v>
      </c>
      <c r="P1640" s="28"/>
      <c r="Q1640" s="6" t="s">
        <v>67</v>
      </c>
      <c r="R1640" s="6" t="s">
        <v>68</v>
      </c>
      <c r="S1640" s="27" t="s">
        <v>13914</v>
      </c>
      <c r="T1640" s="6" t="s">
        <v>6138</v>
      </c>
      <c r="U1640" s="7" t="n">
        <v>8</v>
      </c>
      <c r="V1640" s="7" t="n">
        <v>8</v>
      </c>
      <c r="W1640" s="8" t="s">
        <v>13915</v>
      </c>
      <c r="X1640" s="8" t="s">
        <v>13915</v>
      </c>
      <c r="Y1640" s="8" t="s">
        <v>13795</v>
      </c>
      <c r="Z1640" s="8" t="s">
        <v>13795</v>
      </c>
      <c r="AA1640" s="7" t="n">
        <v>334</v>
      </c>
      <c r="AB1640" s="7" t="n">
        <v>262</v>
      </c>
      <c r="AC1640" s="7" t="n">
        <v>730</v>
      </c>
      <c r="AD1640" s="7" t="n">
        <v>4</v>
      </c>
      <c r="AE1640" s="7" t="n">
        <v>4</v>
      </c>
      <c r="AF1640" s="7" t="n">
        <v>15</v>
      </c>
      <c r="AG1640" s="7" t="n">
        <v>33</v>
      </c>
      <c r="AH1640" s="7" t="n">
        <v>2</v>
      </c>
      <c r="AI1640" s="7" t="n">
        <v>11</v>
      </c>
      <c r="AJ1640" s="7" t="n">
        <v>3</v>
      </c>
      <c r="AK1640" s="7" t="n">
        <v>9</v>
      </c>
      <c r="AL1640" s="7" t="n">
        <v>11</v>
      </c>
      <c r="AM1640" s="7" t="n">
        <v>21</v>
      </c>
      <c r="AN1640" s="7" t="n">
        <v>2</v>
      </c>
      <c r="AO1640" s="7" t="n">
        <v>2</v>
      </c>
      <c r="AP1640" s="7" t="n">
        <v>0</v>
      </c>
      <c r="AQ1640" s="7" t="n">
        <v>0</v>
      </c>
      <c r="AR1640" s="6" t="s">
        <v>63</v>
      </c>
      <c r="AS1640" s="6" t="s">
        <v>63</v>
      </c>
      <c r="AT1640" s="28"/>
      <c r="AU1640" s="9" t="str">
        <f aca="false">HYPERLINK("https://creighton-primo.hosted.exlibrisgroup.com/primo-explore/search?tab=default_tab&amp;search_scope=EVERYTHING&amp;vid=01CRU&amp;lang=en_US&amp;offset=0&amp;query=any,contains,991004360209702656","Catalog Record")</f>
        <v>Catalog Record</v>
      </c>
      <c r="AV1640" s="9" t="str">
        <f aca="false">HYPERLINK("http://www.worldcat.org/oclc/3164268","WorldCat Record")</f>
        <v>WorldCat Record</v>
      </c>
      <c r="AW1640" s="6" t="s">
        <v>13916</v>
      </c>
      <c r="AX1640" s="6" t="s">
        <v>13917</v>
      </c>
      <c r="AY1640" s="6" t="s">
        <v>13918</v>
      </c>
      <c r="AZ1640" s="6" t="s">
        <v>13918</v>
      </c>
      <c r="BA1640" s="6" t="s">
        <v>13919</v>
      </c>
      <c r="BB1640" s="6" t="s">
        <v>13920</v>
      </c>
      <c r="BC1640" s="6" t="s">
        <v>13921</v>
      </c>
      <c r="BE1640" s="15" t="s">
        <v>2145</v>
      </c>
      <c r="BF1640" s="6" t="s">
        <v>13922</v>
      </c>
    </row>
    <row r="1641" customFormat="false" ht="140" hidden="false" customHeight="false" outlineLevel="0" collapsed="false">
      <c r="A1641" s="26" t="s">
        <v>63</v>
      </c>
      <c r="B1641" s="27" t="s">
        <v>2129</v>
      </c>
      <c r="C1641" s="27" t="s">
        <v>2130</v>
      </c>
      <c r="D1641" s="27" t="s">
        <v>13923</v>
      </c>
      <c r="E1641" s="27" t="s">
        <v>13924</v>
      </c>
      <c r="F1641" s="27" t="s">
        <v>13925</v>
      </c>
      <c r="G1641" s="28"/>
      <c r="H1641" s="6" t="s">
        <v>63</v>
      </c>
      <c r="I1641" s="6" t="s">
        <v>62</v>
      </c>
      <c r="J1641" s="6" t="s">
        <v>63</v>
      </c>
      <c r="K1641" s="6" t="s">
        <v>63</v>
      </c>
      <c r="L1641" s="6" t="s">
        <v>64</v>
      </c>
      <c r="M1641" s="27" t="s">
        <v>13926</v>
      </c>
      <c r="N1641" s="27" t="s">
        <v>13927</v>
      </c>
      <c r="O1641" s="6" t="s">
        <v>3934</v>
      </c>
      <c r="P1641" s="28"/>
      <c r="Q1641" s="6" t="s">
        <v>67</v>
      </c>
      <c r="R1641" s="6" t="s">
        <v>1059</v>
      </c>
      <c r="S1641" s="28"/>
      <c r="T1641" s="6" t="s">
        <v>6138</v>
      </c>
      <c r="U1641" s="7" t="n">
        <v>2</v>
      </c>
      <c r="V1641" s="7" t="n">
        <v>2</v>
      </c>
      <c r="W1641" s="8" t="s">
        <v>13928</v>
      </c>
      <c r="X1641" s="8" t="s">
        <v>13928</v>
      </c>
      <c r="Y1641" s="8" t="s">
        <v>13929</v>
      </c>
      <c r="Z1641" s="8" t="s">
        <v>13929</v>
      </c>
      <c r="AA1641" s="7" t="n">
        <v>373</v>
      </c>
      <c r="AB1641" s="7" t="n">
        <v>320</v>
      </c>
      <c r="AC1641" s="7" t="n">
        <v>320</v>
      </c>
      <c r="AD1641" s="7" t="n">
        <v>3</v>
      </c>
      <c r="AE1641" s="7" t="n">
        <v>3</v>
      </c>
      <c r="AF1641" s="7" t="n">
        <v>22</v>
      </c>
      <c r="AG1641" s="7" t="n">
        <v>22</v>
      </c>
      <c r="AH1641" s="7" t="n">
        <v>4</v>
      </c>
      <c r="AI1641" s="7" t="n">
        <v>4</v>
      </c>
      <c r="AJ1641" s="7" t="n">
        <v>7</v>
      </c>
      <c r="AK1641" s="7" t="n">
        <v>7</v>
      </c>
      <c r="AL1641" s="7" t="n">
        <v>15</v>
      </c>
      <c r="AM1641" s="7" t="n">
        <v>15</v>
      </c>
      <c r="AN1641" s="7" t="n">
        <v>2</v>
      </c>
      <c r="AO1641" s="7" t="n">
        <v>2</v>
      </c>
      <c r="AP1641" s="7" t="n">
        <v>0</v>
      </c>
      <c r="AQ1641" s="7" t="n">
        <v>0</v>
      </c>
      <c r="AR1641" s="6" t="s">
        <v>63</v>
      </c>
      <c r="AS1641" s="6" t="s">
        <v>63</v>
      </c>
      <c r="AT1641" s="28"/>
      <c r="AU1641" s="9" t="str">
        <f aca="false">HYPERLINK("https://creighton-primo.hosted.exlibrisgroup.com/primo-explore/search?tab=default_tab&amp;search_scope=EVERYTHING&amp;vid=01CRU&amp;lang=en_US&amp;offset=0&amp;query=any,contains,991002498369702656","Catalog Record")</f>
        <v>Catalog Record</v>
      </c>
      <c r="AV1641" s="9" t="str">
        <f aca="false">HYPERLINK("http://www.worldcat.org/oclc/32508803","WorldCat Record")</f>
        <v>WorldCat Record</v>
      </c>
      <c r="AW1641" s="6" t="s">
        <v>13930</v>
      </c>
      <c r="AX1641" s="6" t="s">
        <v>13931</v>
      </c>
      <c r="AY1641" s="6" t="s">
        <v>13932</v>
      </c>
      <c r="AZ1641" s="6" t="s">
        <v>13932</v>
      </c>
      <c r="BA1641" s="6" t="s">
        <v>13933</v>
      </c>
      <c r="BB1641" s="6" t="s">
        <v>13934</v>
      </c>
      <c r="BC1641" s="6" t="s">
        <v>13935</v>
      </c>
      <c r="BE1641" s="15" t="s">
        <v>2145</v>
      </c>
      <c r="BF1641" s="6" t="s">
        <v>13936</v>
      </c>
    </row>
    <row r="1642" customFormat="false" ht="71" hidden="false" customHeight="false" outlineLevel="0" collapsed="false">
      <c r="A1642" s="26" t="s">
        <v>63</v>
      </c>
      <c r="B1642" s="27" t="s">
        <v>2129</v>
      </c>
      <c r="C1642" s="27" t="s">
        <v>2130</v>
      </c>
      <c r="D1642" s="27" t="s">
        <v>13937</v>
      </c>
      <c r="E1642" s="27" t="s">
        <v>13938</v>
      </c>
      <c r="F1642" s="27" t="s">
        <v>13939</v>
      </c>
      <c r="G1642" s="28"/>
      <c r="H1642" s="6" t="s">
        <v>63</v>
      </c>
      <c r="I1642" s="6" t="s">
        <v>62</v>
      </c>
      <c r="J1642" s="6" t="s">
        <v>63</v>
      </c>
      <c r="K1642" s="6" t="s">
        <v>63</v>
      </c>
      <c r="L1642" s="6" t="s">
        <v>64</v>
      </c>
      <c r="M1642" s="27" t="s">
        <v>13940</v>
      </c>
      <c r="N1642" s="27" t="s">
        <v>13941</v>
      </c>
      <c r="O1642" s="6" t="s">
        <v>2665</v>
      </c>
      <c r="P1642" s="28"/>
      <c r="Q1642" s="6" t="s">
        <v>67</v>
      </c>
      <c r="R1642" s="6" t="s">
        <v>1224</v>
      </c>
      <c r="S1642" s="28"/>
      <c r="T1642" s="6" t="s">
        <v>6138</v>
      </c>
      <c r="U1642" s="7" t="n">
        <v>4</v>
      </c>
      <c r="V1642" s="7" t="n">
        <v>4</v>
      </c>
      <c r="W1642" s="8" t="s">
        <v>13942</v>
      </c>
      <c r="X1642" s="8" t="s">
        <v>13942</v>
      </c>
      <c r="Y1642" s="8" t="s">
        <v>13795</v>
      </c>
      <c r="Z1642" s="8" t="s">
        <v>13795</v>
      </c>
      <c r="AA1642" s="7" t="n">
        <v>601</v>
      </c>
      <c r="AB1642" s="7" t="n">
        <v>497</v>
      </c>
      <c r="AC1642" s="7" t="n">
        <v>504</v>
      </c>
      <c r="AD1642" s="7" t="n">
        <v>3</v>
      </c>
      <c r="AE1642" s="7" t="n">
        <v>3</v>
      </c>
      <c r="AF1642" s="7" t="n">
        <v>31</v>
      </c>
      <c r="AG1642" s="7" t="n">
        <v>33</v>
      </c>
      <c r="AH1642" s="7" t="n">
        <v>12</v>
      </c>
      <c r="AI1642" s="7" t="n">
        <v>12</v>
      </c>
      <c r="AJ1642" s="7" t="n">
        <v>6</v>
      </c>
      <c r="AK1642" s="7" t="n">
        <v>8</v>
      </c>
      <c r="AL1642" s="7" t="n">
        <v>20</v>
      </c>
      <c r="AM1642" s="7" t="n">
        <v>21</v>
      </c>
      <c r="AN1642" s="7" t="n">
        <v>2</v>
      </c>
      <c r="AO1642" s="7" t="n">
        <v>2</v>
      </c>
      <c r="AP1642" s="7" t="n">
        <v>0</v>
      </c>
      <c r="AQ1642" s="7" t="n">
        <v>0</v>
      </c>
      <c r="AR1642" s="6" t="s">
        <v>63</v>
      </c>
      <c r="AS1642" s="6" t="s">
        <v>57</v>
      </c>
      <c r="AT1642" s="9" t="str">
        <f aca="false">HYPERLINK("http://catalog.hathitrust.org/Record/001386336","HathiTrust Record")</f>
        <v>HathiTrust Record</v>
      </c>
      <c r="AU1642" s="9" t="str">
        <f aca="false">HYPERLINK("https://creighton-primo.hosted.exlibrisgroup.com/primo-explore/search?tab=default_tab&amp;search_scope=EVERYTHING&amp;vid=01CRU&amp;lang=en_US&amp;offset=0&amp;query=any,contains,991002366969702656","Catalog Record")</f>
        <v>Catalog Record</v>
      </c>
      <c r="AV1642" s="9" t="str">
        <f aca="false">HYPERLINK("http://www.worldcat.org/oclc/326675","WorldCat Record")</f>
        <v>WorldCat Record</v>
      </c>
      <c r="AW1642" s="6" t="s">
        <v>13943</v>
      </c>
      <c r="AX1642" s="6" t="s">
        <v>13944</v>
      </c>
      <c r="AY1642" s="6" t="s">
        <v>13945</v>
      </c>
      <c r="AZ1642" s="6" t="s">
        <v>13945</v>
      </c>
      <c r="BA1642" s="6" t="s">
        <v>13946</v>
      </c>
      <c r="BB1642" s="6" t="s">
        <v>13947</v>
      </c>
      <c r="BC1642" s="6" t="s">
        <v>13948</v>
      </c>
      <c r="BE1642" s="15" t="s">
        <v>2145</v>
      </c>
      <c r="BF1642" s="6" t="s">
        <v>13949</v>
      </c>
    </row>
    <row r="1643" customFormat="false" ht="197.5" hidden="false" customHeight="false" outlineLevel="0" collapsed="false">
      <c r="A1643" s="26" t="s">
        <v>63</v>
      </c>
      <c r="B1643" s="27" t="s">
        <v>2129</v>
      </c>
      <c r="C1643" s="27" t="s">
        <v>2130</v>
      </c>
      <c r="D1643" s="27" t="s">
        <v>13950</v>
      </c>
      <c r="E1643" s="27" t="s">
        <v>13951</v>
      </c>
      <c r="F1643" s="27" t="s">
        <v>13952</v>
      </c>
      <c r="G1643" s="28"/>
      <c r="H1643" s="6" t="s">
        <v>63</v>
      </c>
      <c r="I1643" s="6" t="s">
        <v>62</v>
      </c>
      <c r="J1643" s="6" t="s">
        <v>63</v>
      </c>
      <c r="K1643" s="6" t="s">
        <v>63</v>
      </c>
      <c r="L1643" s="6" t="s">
        <v>64</v>
      </c>
      <c r="M1643" s="27" t="s">
        <v>13953</v>
      </c>
      <c r="N1643" s="27" t="s">
        <v>13954</v>
      </c>
      <c r="O1643" s="6" t="s">
        <v>2426</v>
      </c>
      <c r="P1643" s="28"/>
      <c r="Q1643" s="6" t="s">
        <v>67</v>
      </c>
      <c r="R1643" s="6" t="s">
        <v>318</v>
      </c>
      <c r="S1643" s="28"/>
      <c r="T1643" s="6" t="s">
        <v>6138</v>
      </c>
      <c r="U1643" s="7" t="n">
        <v>6</v>
      </c>
      <c r="V1643" s="7" t="n">
        <v>6</v>
      </c>
      <c r="W1643" s="8" t="s">
        <v>13955</v>
      </c>
      <c r="X1643" s="8" t="s">
        <v>13955</v>
      </c>
      <c r="Y1643" s="8" t="s">
        <v>13795</v>
      </c>
      <c r="Z1643" s="8" t="s">
        <v>13795</v>
      </c>
      <c r="AA1643" s="7" t="n">
        <v>663</v>
      </c>
      <c r="AB1643" s="7" t="n">
        <v>573</v>
      </c>
      <c r="AC1643" s="7" t="n">
        <v>621</v>
      </c>
      <c r="AD1643" s="7" t="n">
        <v>5</v>
      </c>
      <c r="AE1643" s="7" t="n">
        <v>5</v>
      </c>
      <c r="AF1643" s="7" t="n">
        <v>36</v>
      </c>
      <c r="AG1643" s="7" t="n">
        <v>40</v>
      </c>
      <c r="AH1643" s="7" t="n">
        <v>15</v>
      </c>
      <c r="AI1643" s="7" t="n">
        <v>16</v>
      </c>
      <c r="AJ1643" s="7" t="n">
        <v>8</v>
      </c>
      <c r="AK1643" s="7" t="n">
        <v>9</v>
      </c>
      <c r="AL1643" s="7" t="n">
        <v>19</v>
      </c>
      <c r="AM1643" s="7" t="n">
        <v>22</v>
      </c>
      <c r="AN1643" s="7" t="n">
        <v>4</v>
      </c>
      <c r="AO1643" s="7" t="n">
        <v>4</v>
      </c>
      <c r="AP1643" s="7" t="n">
        <v>0</v>
      </c>
      <c r="AQ1643" s="7" t="n">
        <v>0</v>
      </c>
      <c r="AR1643" s="6" t="s">
        <v>63</v>
      </c>
      <c r="AS1643" s="6" t="s">
        <v>57</v>
      </c>
      <c r="AT1643" s="9" t="str">
        <f aca="false">HYPERLINK("http://catalog.hathitrust.org/Record/000013431","HathiTrust Record")</f>
        <v>HathiTrust Record</v>
      </c>
      <c r="AU1643" s="9" t="str">
        <f aca="false">HYPERLINK("https://creighton-primo.hosted.exlibrisgroup.com/primo-explore/search?tab=default_tab&amp;search_scope=EVERYTHING&amp;vid=01CRU&amp;lang=en_US&amp;offset=0&amp;query=any,contains,991003336949702656","Catalog Record")</f>
        <v>Catalog Record</v>
      </c>
      <c r="AV1643" s="9" t="str">
        <f aca="false">HYPERLINK("http://www.worldcat.org/oclc/867536","WorldCat Record")</f>
        <v>WorldCat Record</v>
      </c>
      <c r="AW1643" s="6" t="s">
        <v>13956</v>
      </c>
      <c r="AX1643" s="6" t="s">
        <v>13957</v>
      </c>
      <c r="AY1643" s="6" t="s">
        <v>13958</v>
      </c>
      <c r="AZ1643" s="6" t="s">
        <v>13958</v>
      </c>
      <c r="BA1643" s="6" t="s">
        <v>13959</v>
      </c>
      <c r="BB1643" s="6" t="s">
        <v>13960</v>
      </c>
      <c r="BC1643" s="6" t="s">
        <v>13961</v>
      </c>
      <c r="BE1643" s="15" t="s">
        <v>2145</v>
      </c>
      <c r="BF1643" s="6" t="s">
        <v>13962</v>
      </c>
    </row>
    <row r="1644" customFormat="false" ht="197.5" hidden="false" customHeight="false" outlineLevel="0" collapsed="false">
      <c r="A1644" s="26" t="s">
        <v>63</v>
      </c>
      <c r="B1644" s="27" t="s">
        <v>2129</v>
      </c>
      <c r="C1644" s="27" t="s">
        <v>2130</v>
      </c>
      <c r="D1644" s="27" t="s">
        <v>13963</v>
      </c>
      <c r="E1644" s="27" t="s">
        <v>13964</v>
      </c>
      <c r="F1644" s="27" t="s">
        <v>13965</v>
      </c>
      <c r="G1644" s="28"/>
      <c r="H1644" s="6" t="s">
        <v>63</v>
      </c>
      <c r="I1644" s="6" t="s">
        <v>62</v>
      </c>
      <c r="J1644" s="6" t="s">
        <v>63</v>
      </c>
      <c r="K1644" s="6" t="s">
        <v>63</v>
      </c>
      <c r="L1644" s="6" t="s">
        <v>64</v>
      </c>
      <c r="M1644" s="27" t="s">
        <v>13966</v>
      </c>
      <c r="N1644" s="27" t="s">
        <v>13967</v>
      </c>
      <c r="O1644" s="6" t="s">
        <v>66</v>
      </c>
      <c r="P1644" s="28"/>
      <c r="Q1644" s="6" t="s">
        <v>67</v>
      </c>
      <c r="R1644" s="6" t="s">
        <v>272</v>
      </c>
      <c r="S1644" s="28"/>
      <c r="T1644" s="6" t="s">
        <v>6138</v>
      </c>
      <c r="U1644" s="7" t="n">
        <v>3</v>
      </c>
      <c r="V1644" s="7" t="n">
        <v>3</v>
      </c>
      <c r="W1644" s="8" t="s">
        <v>13968</v>
      </c>
      <c r="X1644" s="8" t="s">
        <v>13968</v>
      </c>
      <c r="Y1644" s="8" t="s">
        <v>13969</v>
      </c>
      <c r="Z1644" s="8" t="s">
        <v>13969</v>
      </c>
      <c r="AA1644" s="7" t="n">
        <v>446</v>
      </c>
      <c r="AB1644" s="7" t="n">
        <v>395</v>
      </c>
      <c r="AC1644" s="7" t="n">
        <v>426</v>
      </c>
      <c r="AD1644" s="7" t="n">
        <v>3</v>
      </c>
      <c r="AE1644" s="7" t="n">
        <v>3</v>
      </c>
      <c r="AF1644" s="7" t="n">
        <v>34</v>
      </c>
      <c r="AG1644" s="7" t="n">
        <v>35</v>
      </c>
      <c r="AH1644" s="7" t="n">
        <v>13</v>
      </c>
      <c r="AI1644" s="7" t="n">
        <v>13</v>
      </c>
      <c r="AJ1644" s="7" t="n">
        <v>7</v>
      </c>
      <c r="AK1644" s="7" t="n">
        <v>8</v>
      </c>
      <c r="AL1644" s="7" t="n">
        <v>20</v>
      </c>
      <c r="AM1644" s="7" t="n">
        <v>21</v>
      </c>
      <c r="AN1644" s="7" t="n">
        <v>2</v>
      </c>
      <c r="AO1644" s="7" t="n">
        <v>2</v>
      </c>
      <c r="AP1644" s="7" t="n">
        <v>0</v>
      </c>
      <c r="AQ1644" s="7" t="n">
        <v>0</v>
      </c>
      <c r="AR1644" s="6" t="s">
        <v>63</v>
      </c>
      <c r="AS1644" s="6" t="s">
        <v>63</v>
      </c>
      <c r="AT1644" s="28"/>
      <c r="AU1644" s="9" t="str">
        <f aca="false">HYPERLINK("https://creighton-primo.hosted.exlibrisgroup.com/primo-explore/search?tab=default_tab&amp;search_scope=EVERYTHING&amp;vid=01CRU&amp;lang=en_US&amp;offset=0&amp;query=any,contains,991002310459702656","Catalog Record")</f>
        <v>Catalog Record</v>
      </c>
      <c r="AV1644" s="9" t="str">
        <f aca="false">HYPERLINK("http://www.worldcat.org/oclc/29981056","WorldCat Record")</f>
        <v>WorldCat Record</v>
      </c>
      <c r="AW1644" s="6" t="s">
        <v>13970</v>
      </c>
      <c r="AX1644" s="6" t="s">
        <v>13971</v>
      </c>
      <c r="AY1644" s="6" t="s">
        <v>13972</v>
      </c>
      <c r="AZ1644" s="6" t="s">
        <v>13972</v>
      </c>
      <c r="BA1644" s="6" t="s">
        <v>13973</v>
      </c>
      <c r="BB1644" s="6" t="s">
        <v>13974</v>
      </c>
      <c r="BC1644" s="6" t="s">
        <v>13975</v>
      </c>
      <c r="BE1644" s="15" t="s">
        <v>2145</v>
      </c>
      <c r="BF1644" s="6" t="s">
        <v>13976</v>
      </c>
    </row>
    <row r="1645" customFormat="false" ht="94" hidden="false" customHeight="false" outlineLevel="0" collapsed="false">
      <c r="A1645" s="26" t="s">
        <v>63</v>
      </c>
      <c r="B1645" s="27" t="s">
        <v>2129</v>
      </c>
      <c r="C1645" s="27" t="s">
        <v>2130</v>
      </c>
      <c r="D1645" s="27" t="s">
        <v>13977</v>
      </c>
      <c r="E1645" s="27" t="s">
        <v>13978</v>
      </c>
      <c r="F1645" s="27" t="s">
        <v>13979</v>
      </c>
      <c r="G1645" s="28"/>
      <c r="H1645" s="6" t="s">
        <v>63</v>
      </c>
      <c r="I1645" s="6" t="s">
        <v>62</v>
      </c>
      <c r="J1645" s="6" t="s">
        <v>63</v>
      </c>
      <c r="K1645" s="6" t="s">
        <v>63</v>
      </c>
      <c r="L1645" s="6" t="s">
        <v>64</v>
      </c>
      <c r="M1645" s="27" t="s">
        <v>13980</v>
      </c>
      <c r="N1645" s="27" t="s">
        <v>13981</v>
      </c>
      <c r="O1645" s="6" t="s">
        <v>3934</v>
      </c>
      <c r="P1645" s="28"/>
      <c r="Q1645" s="6" t="s">
        <v>67</v>
      </c>
      <c r="R1645" s="6" t="s">
        <v>384</v>
      </c>
      <c r="S1645" s="27" t="s">
        <v>13982</v>
      </c>
      <c r="T1645" s="6" t="s">
        <v>6138</v>
      </c>
      <c r="U1645" s="7" t="n">
        <v>2</v>
      </c>
      <c r="V1645" s="7" t="n">
        <v>2</v>
      </c>
      <c r="W1645" s="8" t="s">
        <v>13955</v>
      </c>
      <c r="X1645" s="8" t="s">
        <v>13955</v>
      </c>
      <c r="Y1645" s="8" t="s">
        <v>13983</v>
      </c>
      <c r="Z1645" s="8" t="s">
        <v>13983</v>
      </c>
      <c r="AA1645" s="7" t="n">
        <v>358</v>
      </c>
      <c r="AB1645" s="7" t="n">
        <v>262</v>
      </c>
      <c r="AC1645" s="7" t="n">
        <v>632</v>
      </c>
      <c r="AD1645" s="7" t="n">
        <v>3</v>
      </c>
      <c r="AE1645" s="7" t="n">
        <v>6</v>
      </c>
      <c r="AF1645" s="7" t="n">
        <v>17</v>
      </c>
      <c r="AG1645" s="7" t="n">
        <v>34</v>
      </c>
      <c r="AH1645" s="7" t="n">
        <v>5</v>
      </c>
      <c r="AI1645" s="7" t="n">
        <v>11</v>
      </c>
      <c r="AJ1645" s="7" t="n">
        <v>5</v>
      </c>
      <c r="AK1645" s="7" t="n">
        <v>10</v>
      </c>
      <c r="AL1645" s="7" t="n">
        <v>10</v>
      </c>
      <c r="AM1645" s="7" t="n">
        <v>15</v>
      </c>
      <c r="AN1645" s="7" t="n">
        <v>2</v>
      </c>
      <c r="AO1645" s="7" t="n">
        <v>5</v>
      </c>
      <c r="AP1645" s="7" t="n">
        <v>0</v>
      </c>
      <c r="AQ1645" s="7" t="n">
        <v>1</v>
      </c>
      <c r="AR1645" s="6" t="s">
        <v>63</v>
      </c>
      <c r="AS1645" s="6" t="s">
        <v>57</v>
      </c>
      <c r="AT1645" s="9" t="str">
        <f aca="false">HYPERLINK("http://catalog.hathitrust.org/Record/003016534","HathiTrust Record")</f>
        <v>HathiTrust Record</v>
      </c>
      <c r="AU1645" s="9" t="str">
        <f aca="false">HYPERLINK("https://creighton-primo.hosted.exlibrisgroup.com/primo-explore/search?tab=default_tab&amp;search_scope=EVERYTHING&amp;vid=01CRU&amp;lang=en_US&amp;offset=0&amp;query=any,contains,991002475399702656","Catalog Record")</f>
        <v>Catalog Record</v>
      </c>
      <c r="AV1645" s="9" t="str">
        <f aca="false">HYPERLINK("http://www.worldcat.org/oclc/32236481","WorldCat Record")</f>
        <v>WorldCat Record</v>
      </c>
      <c r="AW1645" s="6" t="s">
        <v>13984</v>
      </c>
      <c r="AX1645" s="6" t="s">
        <v>13985</v>
      </c>
      <c r="AY1645" s="6" t="s">
        <v>13986</v>
      </c>
      <c r="AZ1645" s="6" t="s">
        <v>13986</v>
      </c>
      <c r="BA1645" s="6" t="s">
        <v>13987</v>
      </c>
      <c r="BB1645" s="6" t="s">
        <v>13988</v>
      </c>
      <c r="BC1645" s="6" t="s">
        <v>13989</v>
      </c>
      <c r="BE1645" s="15" t="s">
        <v>2145</v>
      </c>
      <c r="BF1645" s="6" t="s">
        <v>13990</v>
      </c>
    </row>
    <row r="1646" customFormat="false" ht="140" hidden="false" customHeight="false" outlineLevel="0" collapsed="false">
      <c r="A1646" s="26" t="s">
        <v>63</v>
      </c>
      <c r="B1646" s="27" t="s">
        <v>2129</v>
      </c>
      <c r="C1646" s="27" t="s">
        <v>2130</v>
      </c>
      <c r="D1646" s="27" t="s">
        <v>13991</v>
      </c>
      <c r="E1646" s="27" t="s">
        <v>13992</v>
      </c>
      <c r="F1646" s="27" t="s">
        <v>13993</v>
      </c>
      <c r="G1646" s="28"/>
      <c r="H1646" s="6" t="s">
        <v>63</v>
      </c>
      <c r="I1646" s="6" t="s">
        <v>62</v>
      </c>
      <c r="J1646" s="6" t="s">
        <v>63</v>
      </c>
      <c r="K1646" s="6" t="s">
        <v>63</v>
      </c>
      <c r="L1646" s="6" t="s">
        <v>64</v>
      </c>
      <c r="M1646" s="27" t="s">
        <v>13940</v>
      </c>
      <c r="N1646" s="27" t="s">
        <v>13994</v>
      </c>
      <c r="O1646" s="6" t="s">
        <v>208</v>
      </c>
      <c r="P1646" s="28"/>
      <c r="Q1646" s="6" t="s">
        <v>67</v>
      </c>
      <c r="R1646" s="6" t="s">
        <v>401</v>
      </c>
      <c r="S1646" s="28"/>
      <c r="T1646" s="6" t="s">
        <v>6138</v>
      </c>
      <c r="U1646" s="7" t="n">
        <v>5</v>
      </c>
      <c r="V1646" s="7" t="n">
        <v>5</v>
      </c>
      <c r="W1646" s="8" t="s">
        <v>13995</v>
      </c>
      <c r="X1646" s="8" t="s">
        <v>13995</v>
      </c>
      <c r="Y1646" s="8" t="s">
        <v>13795</v>
      </c>
      <c r="Z1646" s="8" t="s">
        <v>13795</v>
      </c>
      <c r="AA1646" s="7" t="n">
        <v>295</v>
      </c>
      <c r="AB1646" s="7" t="n">
        <v>244</v>
      </c>
      <c r="AC1646" s="7" t="n">
        <v>247</v>
      </c>
      <c r="AD1646" s="7" t="n">
        <v>1</v>
      </c>
      <c r="AE1646" s="7" t="n">
        <v>1</v>
      </c>
      <c r="AF1646" s="7" t="n">
        <v>14</v>
      </c>
      <c r="AG1646" s="7" t="n">
        <v>14</v>
      </c>
      <c r="AH1646" s="7" t="n">
        <v>3</v>
      </c>
      <c r="AI1646" s="7" t="n">
        <v>3</v>
      </c>
      <c r="AJ1646" s="7" t="n">
        <v>6</v>
      </c>
      <c r="AK1646" s="7" t="n">
        <v>6</v>
      </c>
      <c r="AL1646" s="7" t="n">
        <v>10</v>
      </c>
      <c r="AM1646" s="7" t="n">
        <v>10</v>
      </c>
      <c r="AN1646" s="7" t="n">
        <v>0</v>
      </c>
      <c r="AO1646" s="7" t="n">
        <v>0</v>
      </c>
      <c r="AP1646" s="7" t="n">
        <v>0</v>
      </c>
      <c r="AQ1646" s="7" t="n">
        <v>0</v>
      </c>
      <c r="AR1646" s="6" t="s">
        <v>63</v>
      </c>
      <c r="AS1646" s="6" t="s">
        <v>57</v>
      </c>
      <c r="AT1646" s="9" t="str">
        <f aca="false">HYPERLINK("http://catalog.hathitrust.org/Record/000872094","HathiTrust Record")</f>
        <v>HathiTrust Record</v>
      </c>
      <c r="AU1646" s="9" t="str">
        <f aca="false">HYPERLINK("https://creighton-primo.hosted.exlibrisgroup.com/primo-explore/search?tab=default_tab&amp;search_scope=EVERYTHING&amp;vid=01CRU&amp;lang=en_US&amp;offset=0&amp;query=any,contains,991000953659702656","Catalog Record")</f>
        <v>Catalog Record</v>
      </c>
      <c r="AV1646" s="9" t="str">
        <f aca="false">HYPERLINK("http://www.worldcat.org/oclc/14693278","WorldCat Record")</f>
        <v>WorldCat Record</v>
      </c>
      <c r="AW1646" s="6" t="s">
        <v>13996</v>
      </c>
      <c r="AX1646" s="6" t="s">
        <v>13997</v>
      </c>
      <c r="AY1646" s="6" t="s">
        <v>13998</v>
      </c>
      <c r="AZ1646" s="6" t="s">
        <v>13998</v>
      </c>
      <c r="BA1646" s="6" t="s">
        <v>13999</v>
      </c>
      <c r="BB1646" s="6" t="s">
        <v>14000</v>
      </c>
      <c r="BC1646" s="6" t="s">
        <v>14001</v>
      </c>
      <c r="BE1646" s="15" t="s">
        <v>2145</v>
      </c>
      <c r="BF1646" s="6" t="s">
        <v>14002</v>
      </c>
    </row>
    <row r="1647" customFormat="false" ht="94" hidden="false" customHeight="false" outlineLevel="0" collapsed="false">
      <c r="A1647" s="26" t="s">
        <v>63</v>
      </c>
      <c r="B1647" s="27" t="s">
        <v>2129</v>
      </c>
      <c r="C1647" s="27" t="s">
        <v>2130</v>
      </c>
      <c r="D1647" s="27" t="s">
        <v>14003</v>
      </c>
      <c r="E1647" s="27" t="s">
        <v>14004</v>
      </c>
      <c r="F1647" s="27" t="s">
        <v>14005</v>
      </c>
      <c r="G1647" s="28"/>
      <c r="H1647" s="6" t="s">
        <v>57</v>
      </c>
      <c r="I1647" s="6" t="s">
        <v>62</v>
      </c>
      <c r="J1647" s="6" t="s">
        <v>57</v>
      </c>
      <c r="K1647" s="6" t="s">
        <v>63</v>
      </c>
      <c r="L1647" s="6" t="s">
        <v>64</v>
      </c>
      <c r="M1647" s="27" t="s">
        <v>11759</v>
      </c>
      <c r="N1647" s="27" t="s">
        <v>14006</v>
      </c>
      <c r="O1647" s="6" t="s">
        <v>2426</v>
      </c>
      <c r="P1647" s="27" t="s">
        <v>327</v>
      </c>
      <c r="Q1647" s="6" t="s">
        <v>67</v>
      </c>
      <c r="R1647" s="6" t="s">
        <v>1059</v>
      </c>
      <c r="S1647" s="27" t="s">
        <v>14007</v>
      </c>
      <c r="T1647" s="6" t="s">
        <v>6138</v>
      </c>
      <c r="U1647" s="7" t="n">
        <v>2</v>
      </c>
      <c r="V1647" s="7" t="n">
        <v>2</v>
      </c>
      <c r="W1647" s="8" t="s">
        <v>14008</v>
      </c>
      <c r="X1647" s="8" t="s">
        <v>14008</v>
      </c>
      <c r="Y1647" s="8" t="s">
        <v>13795</v>
      </c>
      <c r="Z1647" s="8" t="s">
        <v>13795</v>
      </c>
      <c r="AA1647" s="7" t="n">
        <v>1073</v>
      </c>
      <c r="AB1647" s="7" t="n">
        <v>856</v>
      </c>
      <c r="AC1647" s="7" t="n">
        <v>878</v>
      </c>
      <c r="AD1647" s="7" t="n">
        <v>8</v>
      </c>
      <c r="AE1647" s="7" t="n">
        <v>8</v>
      </c>
      <c r="AF1647" s="7" t="n">
        <v>46</v>
      </c>
      <c r="AG1647" s="7" t="n">
        <v>47</v>
      </c>
      <c r="AH1647" s="7" t="n">
        <v>17</v>
      </c>
      <c r="AI1647" s="7" t="n">
        <v>18</v>
      </c>
      <c r="AJ1647" s="7" t="n">
        <v>10</v>
      </c>
      <c r="AK1647" s="7" t="n">
        <v>10</v>
      </c>
      <c r="AL1647" s="7" t="n">
        <v>24</v>
      </c>
      <c r="AM1647" s="7" t="n">
        <v>25</v>
      </c>
      <c r="AN1647" s="7" t="n">
        <v>6</v>
      </c>
      <c r="AO1647" s="7" t="n">
        <v>6</v>
      </c>
      <c r="AP1647" s="7" t="n">
        <v>1</v>
      </c>
      <c r="AQ1647" s="7" t="n">
        <v>1</v>
      </c>
      <c r="AR1647" s="6" t="s">
        <v>63</v>
      </c>
      <c r="AS1647" s="6" t="s">
        <v>57</v>
      </c>
      <c r="AT1647" s="9" t="str">
        <f aca="false">HYPERLINK("http://catalog.hathitrust.org/Record/000086426","HathiTrust Record")</f>
        <v>HathiTrust Record</v>
      </c>
      <c r="AU1647" s="9" t="str">
        <f aca="false">HYPERLINK("https://creighton-primo.hosted.exlibrisgroup.com/primo-explore/search?tab=default_tab&amp;search_scope=EVERYTHING&amp;vid=01CRU&amp;lang=en_US&amp;offset=0&amp;query=any,contains,991004170819702656","Catalog Record")</f>
        <v>Catalog Record</v>
      </c>
      <c r="AV1647" s="9" t="str">
        <f aca="false">HYPERLINK("http://www.worldcat.org/oclc/2580491","WorldCat Record")</f>
        <v>WorldCat Record</v>
      </c>
      <c r="AW1647" s="6" t="s">
        <v>14009</v>
      </c>
      <c r="AX1647" s="6" t="s">
        <v>14010</v>
      </c>
      <c r="AY1647" s="6" t="s">
        <v>14011</v>
      </c>
      <c r="AZ1647" s="6" t="s">
        <v>14011</v>
      </c>
      <c r="BA1647" s="6" t="s">
        <v>14012</v>
      </c>
      <c r="BB1647" s="6" t="s">
        <v>14013</v>
      </c>
      <c r="BC1647" s="6" t="s">
        <v>14014</v>
      </c>
      <c r="BE1647" s="15" t="s">
        <v>2145</v>
      </c>
      <c r="BF1647" s="6" t="s">
        <v>14015</v>
      </c>
    </row>
    <row r="1648" customFormat="false" ht="94" hidden="false" customHeight="false" outlineLevel="0" collapsed="false">
      <c r="A1648" s="26" t="s">
        <v>63</v>
      </c>
      <c r="B1648" s="27" t="s">
        <v>2129</v>
      </c>
      <c r="C1648" s="27" t="s">
        <v>2130</v>
      </c>
      <c r="D1648" s="27" t="s">
        <v>14016</v>
      </c>
      <c r="E1648" s="27" t="s">
        <v>14017</v>
      </c>
      <c r="F1648" s="27" t="s">
        <v>14005</v>
      </c>
      <c r="G1648" s="28"/>
      <c r="H1648" s="6" t="s">
        <v>57</v>
      </c>
      <c r="I1648" s="6" t="s">
        <v>62</v>
      </c>
      <c r="J1648" s="6" t="s">
        <v>57</v>
      </c>
      <c r="K1648" s="6" t="s">
        <v>63</v>
      </c>
      <c r="L1648" s="6" t="s">
        <v>64</v>
      </c>
      <c r="M1648" s="27" t="s">
        <v>11759</v>
      </c>
      <c r="N1648" s="27" t="s">
        <v>14006</v>
      </c>
      <c r="O1648" s="6" t="s">
        <v>2426</v>
      </c>
      <c r="P1648" s="27" t="s">
        <v>327</v>
      </c>
      <c r="Q1648" s="6" t="s">
        <v>67</v>
      </c>
      <c r="R1648" s="6" t="s">
        <v>1059</v>
      </c>
      <c r="S1648" s="27" t="s">
        <v>14007</v>
      </c>
      <c r="T1648" s="6" t="s">
        <v>6138</v>
      </c>
      <c r="U1648" s="7" t="n">
        <v>0</v>
      </c>
      <c r="V1648" s="7" t="n">
        <v>2</v>
      </c>
      <c r="W1648" s="28"/>
      <c r="X1648" s="8" t="s">
        <v>14008</v>
      </c>
      <c r="Y1648" s="8" t="s">
        <v>13795</v>
      </c>
      <c r="Z1648" s="8" t="s">
        <v>13795</v>
      </c>
      <c r="AA1648" s="7" t="n">
        <v>1073</v>
      </c>
      <c r="AB1648" s="7" t="n">
        <v>856</v>
      </c>
      <c r="AC1648" s="7" t="n">
        <v>878</v>
      </c>
      <c r="AD1648" s="7" t="n">
        <v>8</v>
      </c>
      <c r="AE1648" s="7" t="n">
        <v>8</v>
      </c>
      <c r="AF1648" s="7" t="n">
        <v>46</v>
      </c>
      <c r="AG1648" s="7" t="n">
        <v>47</v>
      </c>
      <c r="AH1648" s="7" t="n">
        <v>17</v>
      </c>
      <c r="AI1648" s="7" t="n">
        <v>18</v>
      </c>
      <c r="AJ1648" s="7" t="n">
        <v>10</v>
      </c>
      <c r="AK1648" s="7" t="n">
        <v>10</v>
      </c>
      <c r="AL1648" s="7" t="n">
        <v>24</v>
      </c>
      <c r="AM1648" s="7" t="n">
        <v>25</v>
      </c>
      <c r="AN1648" s="7" t="n">
        <v>6</v>
      </c>
      <c r="AO1648" s="7" t="n">
        <v>6</v>
      </c>
      <c r="AP1648" s="7" t="n">
        <v>1</v>
      </c>
      <c r="AQ1648" s="7" t="n">
        <v>1</v>
      </c>
      <c r="AR1648" s="6" t="s">
        <v>63</v>
      </c>
      <c r="AS1648" s="6" t="s">
        <v>57</v>
      </c>
      <c r="AT1648" s="9" t="str">
        <f aca="false">HYPERLINK("http://catalog.hathitrust.org/Record/000086426","HathiTrust Record")</f>
        <v>HathiTrust Record</v>
      </c>
      <c r="AU1648" s="9" t="str">
        <f aca="false">HYPERLINK("https://creighton-primo.hosted.exlibrisgroup.com/primo-explore/search?tab=default_tab&amp;search_scope=EVERYTHING&amp;vid=01CRU&amp;lang=en_US&amp;offset=0&amp;query=any,contains,991004170819702656","Catalog Record")</f>
        <v>Catalog Record</v>
      </c>
      <c r="AV1648" s="9" t="str">
        <f aca="false">HYPERLINK("http://www.worldcat.org/oclc/2580491","WorldCat Record")</f>
        <v>WorldCat Record</v>
      </c>
      <c r="AW1648" s="6" t="s">
        <v>14009</v>
      </c>
      <c r="AX1648" s="6" t="s">
        <v>14010</v>
      </c>
      <c r="AY1648" s="6" t="s">
        <v>14011</v>
      </c>
      <c r="AZ1648" s="6" t="s">
        <v>14011</v>
      </c>
      <c r="BA1648" s="6" t="s">
        <v>14012</v>
      </c>
      <c r="BB1648" s="6" t="s">
        <v>14013</v>
      </c>
      <c r="BC1648" s="6" t="s">
        <v>14018</v>
      </c>
      <c r="BE1648" s="15" t="s">
        <v>2145</v>
      </c>
      <c r="BF1648" s="6" t="s">
        <v>14019</v>
      </c>
    </row>
    <row r="1649" customFormat="false" ht="151.5" hidden="false" customHeight="false" outlineLevel="0" collapsed="false">
      <c r="A1649" s="26" t="s">
        <v>63</v>
      </c>
      <c r="B1649" s="27" t="s">
        <v>2129</v>
      </c>
      <c r="C1649" s="27" t="s">
        <v>2130</v>
      </c>
      <c r="D1649" s="27" t="s">
        <v>14020</v>
      </c>
      <c r="E1649" s="27" t="s">
        <v>14021</v>
      </c>
      <c r="F1649" s="27" t="s">
        <v>14022</v>
      </c>
      <c r="G1649" s="28"/>
      <c r="H1649" s="6" t="s">
        <v>63</v>
      </c>
      <c r="I1649" s="6" t="s">
        <v>62</v>
      </c>
      <c r="J1649" s="6" t="s">
        <v>63</v>
      </c>
      <c r="K1649" s="6" t="s">
        <v>63</v>
      </c>
      <c r="L1649" s="6" t="s">
        <v>64</v>
      </c>
      <c r="M1649" s="27" t="s">
        <v>14023</v>
      </c>
      <c r="N1649" s="27" t="s">
        <v>14024</v>
      </c>
      <c r="O1649" s="6" t="s">
        <v>152</v>
      </c>
      <c r="P1649" s="28"/>
      <c r="Q1649" s="6" t="s">
        <v>67</v>
      </c>
      <c r="R1649" s="6" t="s">
        <v>1059</v>
      </c>
      <c r="S1649" s="28"/>
      <c r="T1649" s="6" t="s">
        <v>6138</v>
      </c>
      <c r="U1649" s="7" t="n">
        <v>3</v>
      </c>
      <c r="V1649" s="7" t="n">
        <v>3</v>
      </c>
      <c r="W1649" s="8" t="s">
        <v>14025</v>
      </c>
      <c r="X1649" s="8" t="s">
        <v>14025</v>
      </c>
      <c r="Y1649" s="8" t="s">
        <v>13795</v>
      </c>
      <c r="Z1649" s="8" t="s">
        <v>13795</v>
      </c>
      <c r="AA1649" s="7" t="n">
        <v>174</v>
      </c>
      <c r="AB1649" s="7" t="n">
        <v>143</v>
      </c>
      <c r="AC1649" s="7" t="n">
        <v>146</v>
      </c>
      <c r="AD1649" s="7" t="n">
        <v>3</v>
      </c>
      <c r="AE1649" s="7" t="n">
        <v>3</v>
      </c>
      <c r="AF1649" s="7" t="n">
        <v>11</v>
      </c>
      <c r="AG1649" s="7" t="n">
        <v>11</v>
      </c>
      <c r="AH1649" s="7" t="n">
        <v>1</v>
      </c>
      <c r="AI1649" s="7" t="n">
        <v>1</v>
      </c>
      <c r="AJ1649" s="7" t="n">
        <v>4</v>
      </c>
      <c r="AK1649" s="7" t="n">
        <v>4</v>
      </c>
      <c r="AL1649" s="7" t="n">
        <v>8</v>
      </c>
      <c r="AM1649" s="7" t="n">
        <v>8</v>
      </c>
      <c r="AN1649" s="7" t="n">
        <v>1</v>
      </c>
      <c r="AO1649" s="7" t="n">
        <v>1</v>
      </c>
      <c r="AP1649" s="7" t="n">
        <v>0</v>
      </c>
      <c r="AQ1649" s="7" t="n">
        <v>0</v>
      </c>
      <c r="AR1649" s="6" t="s">
        <v>63</v>
      </c>
      <c r="AS1649" s="6" t="s">
        <v>57</v>
      </c>
      <c r="AT1649" s="9" t="str">
        <f aca="false">HYPERLINK("http://catalog.hathitrust.org/Record/000249372","HathiTrust Record")</f>
        <v>HathiTrust Record</v>
      </c>
      <c r="AU1649" s="9" t="str">
        <f aca="false">HYPERLINK("https://creighton-primo.hosted.exlibrisgroup.com/primo-explore/search?tab=default_tab&amp;search_scope=EVERYTHING&amp;vid=01CRU&amp;lang=en_US&amp;offset=0&amp;query=any,contains,991000048269702656","Catalog Record")</f>
        <v>Catalog Record</v>
      </c>
      <c r="AV1649" s="9" t="str">
        <f aca="false">HYPERLINK("http://www.worldcat.org/oclc/8670264","WorldCat Record")</f>
        <v>WorldCat Record</v>
      </c>
      <c r="AW1649" s="6" t="s">
        <v>14026</v>
      </c>
      <c r="AX1649" s="6" t="s">
        <v>14027</v>
      </c>
      <c r="AY1649" s="6" t="s">
        <v>14028</v>
      </c>
      <c r="AZ1649" s="6" t="s">
        <v>14028</v>
      </c>
      <c r="BA1649" s="6" t="s">
        <v>14029</v>
      </c>
      <c r="BB1649" s="6" t="s">
        <v>14030</v>
      </c>
      <c r="BC1649" s="6" t="s">
        <v>14031</v>
      </c>
      <c r="BE1649" s="15" t="s">
        <v>2145</v>
      </c>
      <c r="BF1649" s="6" t="s">
        <v>14032</v>
      </c>
    </row>
    <row r="1650" customFormat="false" ht="82.5" hidden="false" customHeight="false" outlineLevel="0" collapsed="false">
      <c r="A1650" s="26" t="s">
        <v>63</v>
      </c>
      <c r="B1650" s="27" t="s">
        <v>2129</v>
      </c>
      <c r="C1650" s="27" t="s">
        <v>2130</v>
      </c>
      <c r="D1650" s="27" t="s">
        <v>14033</v>
      </c>
      <c r="E1650" s="27" t="s">
        <v>14034</v>
      </c>
      <c r="F1650" s="27" t="s">
        <v>14035</v>
      </c>
      <c r="G1650" s="28"/>
      <c r="H1650" s="6" t="s">
        <v>63</v>
      </c>
      <c r="I1650" s="6" t="s">
        <v>62</v>
      </c>
      <c r="J1650" s="6" t="s">
        <v>63</v>
      </c>
      <c r="K1650" s="6" t="s">
        <v>63</v>
      </c>
      <c r="L1650" s="6" t="s">
        <v>64</v>
      </c>
      <c r="M1650" s="27" t="s">
        <v>14036</v>
      </c>
      <c r="N1650" s="27" t="s">
        <v>14037</v>
      </c>
      <c r="O1650" s="6" t="s">
        <v>2467</v>
      </c>
      <c r="P1650" s="28"/>
      <c r="Q1650" s="6" t="s">
        <v>67</v>
      </c>
      <c r="R1650" s="6" t="s">
        <v>802</v>
      </c>
      <c r="S1650" s="28"/>
      <c r="T1650" s="6" t="s">
        <v>6138</v>
      </c>
      <c r="U1650" s="7" t="n">
        <v>1</v>
      </c>
      <c r="V1650" s="7" t="n">
        <v>1</v>
      </c>
      <c r="W1650" s="8" t="s">
        <v>14025</v>
      </c>
      <c r="X1650" s="8" t="s">
        <v>14025</v>
      </c>
      <c r="Y1650" s="8" t="s">
        <v>13795</v>
      </c>
      <c r="Z1650" s="8" t="s">
        <v>13795</v>
      </c>
      <c r="AA1650" s="7" t="n">
        <v>265</v>
      </c>
      <c r="AB1650" s="7" t="n">
        <v>240</v>
      </c>
      <c r="AC1650" s="7" t="n">
        <v>325</v>
      </c>
      <c r="AD1650" s="7" t="n">
        <v>2</v>
      </c>
      <c r="AE1650" s="7" t="n">
        <v>2</v>
      </c>
      <c r="AF1650" s="7" t="n">
        <v>23</v>
      </c>
      <c r="AG1650" s="7" t="n">
        <v>31</v>
      </c>
      <c r="AH1650" s="7" t="n">
        <v>9</v>
      </c>
      <c r="AI1650" s="7" t="n">
        <v>13</v>
      </c>
      <c r="AJ1650" s="7" t="n">
        <v>6</v>
      </c>
      <c r="AK1650" s="7" t="n">
        <v>8</v>
      </c>
      <c r="AL1650" s="7" t="n">
        <v>14</v>
      </c>
      <c r="AM1650" s="7" t="n">
        <v>20</v>
      </c>
      <c r="AN1650" s="7" t="n">
        <v>1</v>
      </c>
      <c r="AO1650" s="7" t="n">
        <v>1</v>
      </c>
      <c r="AP1650" s="7" t="n">
        <v>0</v>
      </c>
      <c r="AQ1650" s="7" t="n">
        <v>0</v>
      </c>
      <c r="AR1650" s="6" t="s">
        <v>63</v>
      </c>
      <c r="AS1650" s="6" t="s">
        <v>63</v>
      </c>
      <c r="AT1650" s="28"/>
      <c r="AU1650" s="9" t="str">
        <f aca="false">HYPERLINK("https://creighton-primo.hosted.exlibrisgroup.com/primo-explore/search?tab=default_tab&amp;search_scope=EVERYTHING&amp;vid=01CRU&amp;lang=en_US&amp;offset=0&amp;query=any,contains,991002893779702656","Catalog Record")</f>
        <v>Catalog Record</v>
      </c>
      <c r="AV1650" s="9" t="str">
        <f aca="false">HYPERLINK("http://www.worldcat.org/oclc/512822","WorldCat Record")</f>
        <v>WorldCat Record</v>
      </c>
      <c r="AW1650" s="6" t="s">
        <v>14038</v>
      </c>
      <c r="AX1650" s="6" t="s">
        <v>14039</v>
      </c>
      <c r="AY1650" s="6" t="s">
        <v>14040</v>
      </c>
      <c r="AZ1650" s="6" t="s">
        <v>14040</v>
      </c>
      <c r="BA1650" s="6" t="s">
        <v>14041</v>
      </c>
      <c r="BB1650" s="28"/>
      <c r="BC1650" s="6" t="s">
        <v>14042</v>
      </c>
      <c r="BE1650" s="15" t="s">
        <v>2145</v>
      </c>
      <c r="BF1650" s="6" t="s">
        <v>14043</v>
      </c>
    </row>
    <row r="1651" customFormat="false" ht="94" hidden="false" customHeight="false" outlineLevel="0" collapsed="false">
      <c r="A1651" s="26" t="s">
        <v>63</v>
      </c>
      <c r="B1651" s="27" t="s">
        <v>2129</v>
      </c>
      <c r="C1651" s="27" t="s">
        <v>2130</v>
      </c>
      <c r="D1651" s="27" t="s">
        <v>14044</v>
      </c>
      <c r="E1651" s="27" t="s">
        <v>14045</v>
      </c>
      <c r="F1651" s="27" t="s">
        <v>14046</v>
      </c>
      <c r="G1651" s="28"/>
      <c r="H1651" s="6" t="s">
        <v>63</v>
      </c>
      <c r="I1651" s="6" t="s">
        <v>62</v>
      </c>
      <c r="J1651" s="6" t="s">
        <v>63</v>
      </c>
      <c r="K1651" s="6" t="s">
        <v>63</v>
      </c>
      <c r="L1651" s="6" t="s">
        <v>64</v>
      </c>
      <c r="M1651" s="27" t="s">
        <v>14047</v>
      </c>
      <c r="N1651" s="27" t="s">
        <v>14048</v>
      </c>
      <c r="O1651" s="6" t="s">
        <v>7401</v>
      </c>
      <c r="P1651" s="28"/>
      <c r="Q1651" s="6" t="s">
        <v>67</v>
      </c>
      <c r="R1651" s="6" t="s">
        <v>123</v>
      </c>
      <c r="S1651" s="28"/>
      <c r="T1651" s="6" t="s">
        <v>6138</v>
      </c>
      <c r="U1651" s="7" t="n">
        <v>4</v>
      </c>
      <c r="V1651" s="7" t="n">
        <v>4</v>
      </c>
      <c r="W1651" s="8" t="s">
        <v>8226</v>
      </c>
      <c r="X1651" s="8" t="s">
        <v>8226</v>
      </c>
      <c r="Y1651" s="8" t="s">
        <v>13795</v>
      </c>
      <c r="Z1651" s="8" t="s">
        <v>13795</v>
      </c>
      <c r="AA1651" s="7" t="n">
        <v>112</v>
      </c>
      <c r="AB1651" s="7" t="n">
        <v>102</v>
      </c>
      <c r="AC1651" s="7" t="n">
        <v>158</v>
      </c>
      <c r="AD1651" s="7" t="n">
        <v>3</v>
      </c>
      <c r="AE1651" s="7" t="n">
        <v>3</v>
      </c>
      <c r="AF1651" s="7" t="n">
        <v>3</v>
      </c>
      <c r="AG1651" s="7" t="n">
        <v>4</v>
      </c>
      <c r="AH1651" s="7" t="n">
        <v>1</v>
      </c>
      <c r="AI1651" s="7" t="n">
        <v>2</v>
      </c>
      <c r="AJ1651" s="7" t="n">
        <v>0</v>
      </c>
      <c r="AK1651" s="7" t="n">
        <v>1</v>
      </c>
      <c r="AL1651" s="7" t="n">
        <v>1</v>
      </c>
      <c r="AM1651" s="7" t="n">
        <v>1</v>
      </c>
      <c r="AN1651" s="7" t="n">
        <v>1</v>
      </c>
      <c r="AO1651" s="7" t="n">
        <v>1</v>
      </c>
      <c r="AP1651" s="7" t="n">
        <v>0</v>
      </c>
      <c r="AQ1651" s="7" t="n">
        <v>0</v>
      </c>
      <c r="AR1651" s="6" t="s">
        <v>63</v>
      </c>
      <c r="AS1651" s="6" t="s">
        <v>63</v>
      </c>
      <c r="AT1651" s="28"/>
      <c r="AU1651" s="9" t="str">
        <f aca="false">HYPERLINK("https://creighton-primo.hosted.exlibrisgroup.com/primo-explore/search?tab=default_tab&amp;search_scope=EVERYTHING&amp;vid=01CRU&amp;lang=en_US&amp;offset=0&amp;query=any,contains,991004815499702656","Catalog Record")</f>
        <v>Catalog Record</v>
      </c>
      <c r="AV1651" s="9" t="str">
        <f aca="false">HYPERLINK("http://www.worldcat.org/oclc/5308717","WorldCat Record")</f>
        <v>WorldCat Record</v>
      </c>
      <c r="AW1651" s="6" t="s">
        <v>14049</v>
      </c>
      <c r="AX1651" s="6" t="s">
        <v>14050</v>
      </c>
      <c r="AY1651" s="6" t="s">
        <v>14051</v>
      </c>
      <c r="AZ1651" s="6" t="s">
        <v>14051</v>
      </c>
      <c r="BA1651" s="6" t="s">
        <v>14052</v>
      </c>
      <c r="BB1651" s="28"/>
      <c r="BC1651" s="6" t="s">
        <v>14053</v>
      </c>
      <c r="BE1651" s="15" t="s">
        <v>2145</v>
      </c>
      <c r="BF1651" s="6" t="s">
        <v>14054</v>
      </c>
    </row>
    <row r="1652" customFormat="false" ht="94" hidden="false" customHeight="false" outlineLevel="0" collapsed="false">
      <c r="A1652" s="26" t="s">
        <v>63</v>
      </c>
      <c r="B1652" s="27" t="s">
        <v>2129</v>
      </c>
      <c r="C1652" s="27" t="s">
        <v>2130</v>
      </c>
      <c r="D1652" s="27" t="s">
        <v>14055</v>
      </c>
      <c r="E1652" s="27" t="s">
        <v>14056</v>
      </c>
      <c r="F1652" s="27" t="s">
        <v>14057</v>
      </c>
      <c r="G1652" s="28"/>
      <c r="H1652" s="6" t="s">
        <v>63</v>
      </c>
      <c r="I1652" s="6" t="s">
        <v>62</v>
      </c>
      <c r="J1652" s="6" t="s">
        <v>63</v>
      </c>
      <c r="K1652" s="6" t="s">
        <v>63</v>
      </c>
      <c r="L1652" s="6" t="s">
        <v>64</v>
      </c>
      <c r="M1652" s="27" t="s">
        <v>14058</v>
      </c>
      <c r="N1652" s="27" t="s">
        <v>14059</v>
      </c>
      <c r="O1652" s="6" t="s">
        <v>2329</v>
      </c>
      <c r="P1652" s="28"/>
      <c r="Q1652" s="6" t="s">
        <v>67</v>
      </c>
      <c r="R1652" s="6" t="s">
        <v>181</v>
      </c>
      <c r="S1652" s="28"/>
      <c r="T1652" s="6" t="s">
        <v>6138</v>
      </c>
      <c r="U1652" s="7" t="n">
        <v>1</v>
      </c>
      <c r="V1652" s="7" t="n">
        <v>1</v>
      </c>
      <c r="W1652" s="8" t="s">
        <v>14060</v>
      </c>
      <c r="X1652" s="8" t="s">
        <v>14060</v>
      </c>
      <c r="Y1652" s="8" t="s">
        <v>13795</v>
      </c>
      <c r="Z1652" s="8" t="s">
        <v>13795</v>
      </c>
      <c r="AA1652" s="7" t="n">
        <v>613</v>
      </c>
      <c r="AB1652" s="7" t="n">
        <v>534</v>
      </c>
      <c r="AC1652" s="7" t="n">
        <v>545</v>
      </c>
      <c r="AD1652" s="7" t="n">
        <v>4</v>
      </c>
      <c r="AE1652" s="7" t="n">
        <v>4</v>
      </c>
      <c r="AF1652" s="7" t="n">
        <v>31</v>
      </c>
      <c r="AG1652" s="7" t="n">
        <v>31</v>
      </c>
      <c r="AH1652" s="7" t="n">
        <v>13</v>
      </c>
      <c r="AI1652" s="7" t="n">
        <v>13</v>
      </c>
      <c r="AJ1652" s="7" t="n">
        <v>8</v>
      </c>
      <c r="AK1652" s="7" t="n">
        <v>8</v>
      </c>
      <c r="AL1652" s="7" t="n">
        <v>16</v>
      </c>
      <c r="AM1652" s="7" t="n">
        <v>16</v>
      </c>
      <c r="AN1652" s="7" t="n">
        <v>3</v>
      </c>
      <c r="AO1652" s="7" t="n">
        <v>3</v>
      </c>
      <c r="AP1652" s="7" t="n">
        <v>0</v>
      </c>
      <c r="AQ1652" s="7" t="n">
        <v>0</v>
      </c>
      <c r="AR1652" s="6" t="s">
        <v>57</v>
      </c>
      <c r="AS1652" s="6" t="s">
        <v>63</v>
      </c>
      <c r="AT1652" s="9" t="str">
        <f aca="false">HYPERLINK("http://catalog.hathitrust.org/Record/001386393","HathiTrust Record")</f>
        <v>HathiTrust Record</v>
      </c>
      <c r="AU1652" s="9" t="str">
        <f aca="false">HYPERLINK("https://creighton-primo.hosted.exlibrisgroup.com/primo-explore/search?tab=default_tab&amp;search_scope=EVERYTHING&amp;vid=01CRU&amp;lang=en_US&amp;offset=0&amp;query=any,contains,991003046409702656","Catalog Record")</f>
        <v>Catalog Record</v>
      </c>
      <c r="AV1652" s="9" t="str">
        <f aca="false">HYPERLINK("http://www.worldcat.org/oclc/606822","WorldCat Record")</f>
        <v>WorldCat Record</v>
      </c>
      <c r="AW1652" s="6" t="s">
        <v>14061</v>
      </c>
      <c r="AX1652" s="6" t="s">
        <v>14062</v>
      </c>
      <c r="AY1652" s="6" t="s">
        <v>14063</v>
      </c>
      <c r="AZ1652" s="6" t="s">
        <v>14063</v>
      </c>
      <c r="BA1652" s="6" t="s">
        <v>14064</v>
      </c>
      <c r="BB1652" s="28"/>
      <c r="BC1652" s="6" t="s">
        <v>14065</v>
      </c>
      <c r="BE1652" s="15" t="s">
        <v>2145</v>
      </c>
      <c r="BF1652" s="6" t="s">
        <v>14066</v>
      </c>
    </row>
    <row r="1653" customFormat="false" ht="232" hidden="false" customHeight="false" outlineLevel="0" collapsed="false">
      <c r="A1653" s="26" t="s">
        <v>63</v>
      </c>
      <c r="B1653" s="27" t="s">
        <v>2129</v>
      </c>
      <c r="C1653" s="27" t="s">
        <v>2130</v>
      </c>
      <c r="D1653" s="27" t="s">
        <v>14067</v>
      </c>
      <c r="E1653" s="27" t="s">
        <v>14068</v>
      </c>
      <c r="F1653" s="27" t="s">
        <v>14069</v>
      </c>
      <c r="G1653" s="28"/>
      <c r="H1653" s="6" t="s">
        <v>63</v>
      </c>
      <c r="I1653" s="6" t="s">
        <v>62</v>
      </c>
      <c r="J1653" s="6" t="s">
        <v>63</v>
      </c>
      <c r="K1653" s="6" t="s">
        <v>63</v>
      </c>
      <c r="L1653" s="6" t="s">
        <v>64</v>
      </c>
      <c r="M1653" s="27" t="s">
        <v>14070</v>
      </c>
      <c r="N1653" s="27" t="s">
        <v>14071</v>
      </c>
      <c r="O1653" s="6" t="s">
        <v>3405</v>
      </c>
      <c r="P1653" s="27" t="s">
        <v>14072</v>
      </c>
      <c r="Q1653" s="6" t="s">
        <v>67</v>
      </c>
      <c r="R1653" s="6" t="s">
        <v>384</v>
      </c>
      <c r="S1653" s="27" t="s">
        <v>7201</v>
      </c>
      <c r="T1653" s="6" t="s">
        <v>6138</v>
      </c>
      <c r="U1653" s="7" t="n">
        <v>7</v>
      </c>
      <c r="V1653" s="7" t="n">
        <v>7</v>
      </c>
      <c r="W1653" s="8" t="s">
        <v>5987</v>
      </c>
      <c r="X1653" s="8" t="s">
        <v>5987</v>
      </c>
      <c r="Y1653" s="8" t="s">
        <v>13795</v>
      </c>
      <c r="Z1653" s="8" t="s">
        <v>13795</v>
      </c>
      <c r="AA1653" s="7" t="n">
        <v>50</v>
      </c>
      <c r="AB1653" s="7" t="n">
        <v>49</v>
      </c>
      <c r="AC1653" s="7" t="n">
        <v>783</v>
      </c>
      <c r="AD1653" s="7" t="n">
        <v>1</v>
      </c>
      <c r="AE1653" s="7" t="n">
        <v>3</v>
      </c>
      <c r="AF1653" s="7" t="n">
        <v>4</v>
      </c>
      <c r="AG1653" s="7" t="n">
        <v>37</v>
      </c>
      <c r="AH1653" s="7" t="n">
        <v>3</v>
      </c>
      <c r="AI1653" s="7" t="n">
        <v>15</v>
      </c>
      <c r="AJ1653" s="7" t="n">
        <v>0</v>
      </c>
      <c r="AK1653" s="7" t="n">
        <v>10</v>
      </c>
      <c r="AL1653" s="7" t="n">
        <v>2</v>
      </c>
      <c r="AM1653" s="7" t="n">
        <v>21</v>
      </c>
      <c r="AN1653" s="7" t="n">
        <v>0</v>
      </c>
      <c r="AO1653" s="7" t="n">
        <v>2</v>
      </c>
      <c r="AP1653" s="7" t="n">
        <v>0</v>
      </c>
      <c r="AQ1653" s="7" t="n">
        <v>1</v>
      </c>
      <c r="AR1653" s="6" t="s">
        <v>63</v>
      </c>
      <c r="AS1653" s="6" t="s">
        <v>63</v>
      </c>
      <c r="AT1653" s="28"/>
      <c r="AU1653" s="9" t="str">
        <f aca="false">HYPERLINK("https://creighton-primo.hosted.exlibrisgroup.com/primo-explore/search?tab=default_tab&amp;search_scope=EVERYTHING&amp;vid=01CRU&amp;lang=en_US&amp;offset=0&amp;query=any,contains,991004764079702656","Catalog Record")</f>
        <v>Catalog Record</v>
      </c>
      <c r="AV1653" s="9" t="str">
        <f aca="false">HYPERLINK("http://www.worldcat.org/oclc/5022092","WorldCat Record")</f>
        <v>WorldCat Record</v>
      </c>
      <c r="AW1653" s="6" t="s">
        <v>14073</v>
      </c>
      <c r="AX1653" s="6" t="s">
        <v>14074</v>
      </c>
      <c r="AY1653" s="6" t="s">
        <v>14075</v>
      </c>
      <c r="AZ1653" s="6" t="s">
        <v>14075</v>
      </c>
      <c r="BA1653" s="6" t="s">
        <v>14076</v>
      </c>
      <c r="BB1653" s="28"/>
      <c r="BC1653" s="6" t="s">
        <v>14077</v>
      </c>
      <c r="BE1653" s="15" t="s">
        <v>2145</v>
      </c>
      <c r="BF1653" s="6" t="s">
        <v>14078</v>
      </c>
    </row>
    <row r="1654" customFormat="false" ht="151.5" hidden="false" customHeight="false" outlineLevel="0" collapsed="false">
      <c r="A1654" s="26" t="s">
        <v>63</v>
      </c>
      <c r="B1654" s="27" t="s">
        <v>2129</v>
      </c>
      <c r="C1654" s="27" t="s">
        <v>2130</v>
      </c>
      <c r="D1654" s="27" t="s">
        <v>14079</v>
      </c>
      <c r="E1654" s="27" t="s">
        <v>14080</v>
      </c>
      <c r="F1654" s="27" t="s">
        <v>14081</v>
      </c>
      <c r="G1654" s="28"/>
      <c r="H1654" s="6" t="s">
        <v>63</v>
      </c>
      <c r="I1654" s="6" t="s">
        <v>62</v>
      </c>
      <c r="J1654" s="6" t="s">
        <v>63</v>
      </c>
      <c r="K1654" s="6" t="s">
        <v>63</v>
      </c>
      <c r="L1654" s="6" t="s">
        <v>64</v>
      </c>
      <c r="M1654" s="27" t="s">
        <v>14082</v>
      </c>
      <c r="N1654" s="27" t="s">
        <v>8550</v>
      </c>
      <c r="O1654" s="6" t="s">
        <v>246</v>
      </c>
      <c r="P1654" s="28"/>
      <c r="Q1654" s="6" t="s">
        <v>67</v>
      </c>
      <c r="R1654" s="6" t="s">
        <v>272</v>
      </c>
      <c r="S1654" s="28"/>
      <c r="T1654" s="6" t="s">
        <v>6138</v>
      </c>
      <c r="U1654" s="7" t="n">
        <v>1</v>
      </c>
      <c r="V1654" s="7" t="n">
        <v>1</v>
      </c>
      <c r="W1654" s="8" t="s">
        <v>14083</v>
      </c>
      <c r="X1654" s="8" t="s">
        <v>14083</v>
      </c>
      <c r="Y1654" s="8" t="s">
        <v>13795</v>
      </c>
      <c r="Z1654" s="8" t="s">
        <v>13795</v>
      </c>
      <c r="AA1654" s="7" t="n">
        <v>718</v>
      </c>
      <c r="AB1654" s="7" t="n">
        <v>532</v>
      </c>
      <c r="AC1654" s="7" t="n">
        <v>575</v>
      </c>
      <c r="AD1654" s="7" t="n">
        <v>3</v>
      </c>
      <c r="AE1654" s="7" t="n">
        <v>3</v>
      </c>
      <c r="AF1654" s="7" t="n">
        <v>31</v>
      </c>
      <c r="AG1654" s="7" t="n">
        <v>31</v>
      </c>
      <c r="AH1654" s="7" t="n">
        <v>11</v>
      </c>
      <c r="AI1654" s="7" t="n">
        <v>11</v>
      </c>
      <c r="AJ1654" s="7" t="n">
        <v>9</v>
      </c>
      <c r="AK1654" s="7" t="n">
        <v>9</v>
      </c>
      <c r="AL1654" s="7" t="n">
        <v>18</v>
      </c>
      <c r="AM1654" s="7" t="n">
        <v>18</v>
      </c>
      <c r="AN1654" s="7" t="n">
        <v>2</v>
      </c>
      <c r="AO1654" s="7" t="n">
        <v>2</v>
      </c>
      <c r="AP1654" s="7" t="n">
        <v>0</v>
      </c>
      <c r="AQ1654" s="7" t="n">
        <v>0</v>
      </c>
      <c r="AR1654" s="6" t="s">
        <v>63</v>
      </c>
      <c r="AS1654" s="6" t="s">
        <v>63</v>
      </c>
      <c r="AT1654" s="28"/>
      <c r="AU1654" s="9" t="str">
        <f aca="false">HYPERLINK("https://creighton-primo.hosted.exlibrisgroup.com/primo-explore/search?tab=default_tab&amp;search_scope=EVERYTHING&amp;vid=01CRU&amp;lang=en_US&amp;offset=0&amp;query=any,contains,991004760869702656","Catalog Record")</f>
        <v>Catalog Record</v>
      </c>
      <c r="AV1654" s="9" t="str">
        <f aca="false">HYPERLINK("http://www.worldcat.org/oclc/4999203","WorldCat Record")</f>
        <v>WorldCat Record</v>
      </c>
      <c r="AW1654" s="6" t="s">
        <v>14084</v>
      </c>
      <c r="AX1654" s="6" t="s">
        <v>14085</v>
      </c>
      <c r="AY1654" s="6" t="s">
        <v>14086</v>
      </c>
      <c r="AZ1654" s="6" t="s">
        <v>14086</v>
      </c>
      <c r="BA1654" s="6" t="s">
        <v>14087</v>
      </c>
      <c r="BB1654" s="6" t="s">
        <v>14088</v>
      </c>
      <c r="BC1654" s="6" t="s">
        <v>14089</v>
      </c>
      <c r="BE1654" s="15" t="s">
        <v>2145</v>
      </c>
      <c r="BF1654" s="6" t="s">
        <v>14090</v>
      </c>
    </row>
    <row r="1655" customFormat="false" ht="209" hidden="false" customHeight="false" outlineLevel="0" collapsed="false">
      <c r="A1655" s="26" t="s">
        <v>63</v>
      </c>
      <c r="B1655" s="27" t="s">
        <v>2129</v>
      </c>
      <c r="C1655" s="27" t="s">
        <v>2130</v>
      </c>
      <c r="D1655" s="27" t="s">
        <v>14091</v>
      </c>
      <c r="E1655" s="27" t="s">
        <v>14092</v>
      </c>
      <c r="F1655" s="27" t="s">
        <v>14093</v>
      </c>
      <c r="G1655" s="28"/>
      <c r="H1655" s="6" t="s">
        <v>63</v>
      </c>
      <c r="I1655" s="6" t="s">
        <v>62</v>
      </c>
      <c r="J1655" s="6" t="s">
        <v>63</v>
      </c>
      <c r="K1655" s="6" t="s">
        <v>63</v>
      </c>
      <c r="L1655" s="6" t="s">
        <v>64</v>
      </c>
      <c r="M1655" s="27" t="s">
        <v>14094</v>
      </c>
      <c r="N1655" s="27" t="s">
        <v>14095</v>
      </c>
      <c r="O1655" s="6" t="s">
        <v>152</v>
      </c>
      <c r="P1655" s="28"/>
      <c r="Q1655" s="6" t="s">
        <v>67</v>
      </c>
      <c r="R1655" s="6" t="s">
        <v>384</v>
      </c>
      <c r="S1655" s="27" t="s">
        <v>4595</v>
      </c>
      <c r="T1655" s="6" t="s">
        <v>6138</v>
      </c>
      <c r="U1655" s="7" t="n">
        <v>2</v>
      </c>
      <c r="V1655" s="7" t="n">
        <v>2</v>
      </c>
      <c r="W1655" s="8" t="s">
        <v>14083</v>
      </c>
      <c r="X1655" s="8" t="s">
        <v>14083</v>
      </c>
      <c r="Y1655" s="8" t="s">
        <v>13795</v>
      </c>
      <c r="Z1655" s="8" t="s">
        <v>13795</v>
      </c>
      <c r="AA1655" s="7" t="n">
        <v>437</v>
      </c>
      <c r="AB1655" s="7" t="n">
        <v>277</v>
      </c>
      <c r="AC1655" s="7" t="n">
        <v>305</v>
      </c>
      <c r="AD1655" s="7" t="n">
        <v>3</v>
      </c>
      <c r="AE1655" s="7" t="n">
        <v>3</v>
      </c>
      <c r="AF1655" s="7" t="n">
        <v>17</v>
      </c>
      <c r="AG1655" s="7" t="n">
        <v>17</v>
      </c>
      <c r="AH1655" s="7" t="n">
        <v>3</v>
      </c>
      <c r="AI1655" s="7" t="n">
        <v>3</v>
      </c>
      <c r="AJ1655" s="7" t="n">
        <v>5</v>
      </c>
      <c r="AK1655" s="7" t="n">
        <v>5</v>
      </c>
      <c r="AL1655" s="7" t="n">
        <v>12</v>
      </c>
      <c r="AM1655" s="7" t="n">
        <v>12</v>
      </c>
      <c r="AN1655" s="7" t="n">
        <v>2</v>
      </c>
      <c r="AO1655" s="7" t="n">
        <v>2</v>
      </c>
      <c r="AP1655" s="7" t="n">
        <v>0</v>
      </c>
      <c r="AQ1655" s="7" t="n">
        <v>0</v>
      </c>
      <c r="AR1655" s="6" t="s">
        <v>63</v>
      </c>
      <c r="AS1655" s="6" t="s">
        <v>57</v>
      </c>
      <c r="AT1655" s="9" t="str">
        <f aca="false">HYPERLINK("http://catalog.hathitrust.org/Record/000245105","HathiTrust Record")</f>
        <v>HathiTrust Record</v>
      </c>
      <c r="AU1655" s="9" t="str">
        <f aca="false">HYPERLINK("https://creighton-primo.hosted.exlibrisgroup.com/primo-explore/search?tab=default_tab&amp;search_scope=EVERYTHING&amp;vid=01CRU&amp;lang=en_US&amp;offset=0&amp;query=any,contains,991000219839702656","Catalog Record")</f>
        <v>Catalog Record</v>
      </c>
      <c r="AV1655" s="9" t="str">
        <f aca="false">HYPERLINK("http://www.worldcat.org/oclc/9575669","WorldCat Record")</f>
        <v>WorldCat Record</v>
      </c>
      <c r="AW1655" s="6" t="s">
        <v>14096</v>
      </c>
      <c r="AX1655" s="6" t="s">
        <v>14097</v>
      </c>
      <c r="AY1655" s="6" t="s">
        <v>14098</v>
      </c>
      <c r="AZ1655" s="6" t="s">
        <v>14098</v>
      </c>
      <c r="BA1655" s="6" t="s">
        <v>14099</v>
      </c>
      <c r="BB1655" s="6" t="s">
        <v>14100</v>
      </c>
      <c r="BC1655" s="6" t="s">
        <v>14101</v>
      </c>
      <c r="BE1655" s="15" t="s">
        <v>2145</v>
      </c>
      <c r="BF1655" s="6" t="s">
        <v>14102</v>
      </c>
    </row>
    <row r="1656" customFormat="false" ht="232" hidden="false" customHeight="false" outlineLevel="0" collapsed="false">
      <c r="A1656" s="26" t="s">
        <v>57</v>
      </c>
      <c r="B1656" s="27" t="s">
        <v>2129</v>
      </c>
      <c r="C1656" s="27" t="s">
        <v>2130</v>
      </c>
      <c r="D1656" s="27" t="s">
        <v>14103</v>
      </c>
      <c r="E1656" s="27" t="s">
        <v>14104</v>
      </c>
      <c r="F1656" s="27" t="s">
        <v>14105</v>
      </c>
      <c r="G1656" s="6" t="s">
        <v>498</v>
      </c>
      <c r="H1656" s="6" t="s">
        <v>57</v>
      </c>
      <c r="I1656" s="6" t="s">
        <v>62</v>
      </c>
      <c r="J1656" s="6" t="s">
        <v>63</v>
      </c>
      <c r="K1656" s="6" t="s">
        <v>63</v>
      </c>
      <c r="L1656" s="6" t="s">
        <v>64</v>
      </c>
      <c r="M1656" s="27" t="s">
        <v>14106</v>
      </c>
      <c r="N1656" s="27" t="s">
        <v>14107</v>
      </c>
      <c r="O1656" s="6" t="s">
        <v>2623</v>
      </c>
      <c r="P1656" s="28"/>
      <c r="Q1656" s="6" t="s">
        <v>67</v>
      </c>
      <c r="R1656" s="6" t="s">
        <v>1059</v>
      </c>
      <c r="S1656" s="28"/>
      <c r="T1656" s="6" t="s">
        <v>6138</v>
      </c>
      <c r="U1656" s="7" t="n">
        <v>4</v>
      </c>
      <c r="V1656" s="7" t="n">
        <v>4</v>
      </c>
      <c r="W1656" s="8" t="s">
        <v>14108</v>
      </c>
      <c r="X1656" s="8" t="s">
        <v>14108</v>
      </c>
      <c r="Y1656" s="8" t="s">
        <v>14109</v>
      </c>
      <c r="Z1656" s="8" t="s">
        <v>14109</v>
      </c>
      <c r="AA1656" s="7" t="n">
        <v>484</v>
      </c>
      <c r="AB1656" s="7" t="n">
        <v>432</v>
      </c>
      <c r="AC1656" s="7" t="n">
        <v>611</v>
      </c>
      <c r="AD1656" s="7" t="n">
        <v>2</v>
      </c>
      <c r="AE1656" s="7" t="n">
        <v>3</v>
      </c>
      <c r="AF1656" s="7" t="n">
        <v>32</v>
      </c>
      <c r="AG1656" s="7" t="n">
        <v>38</v>
      </c>
      <c r="AH1656" s="7" t="n">
        <v>14</v>
      </c>
      <c r="AI1656" s="7" t="n">
        <v>17</v>
      </c>
      <c r="AJ1656" s="7" t="n">
        <v>8</v>
      </c>
      <c r="AK1656" s="7" t="n">
        <v>10</v>
      </c>
      <c r="AL1656" s="7" t="n">
        <v>19</v>
      </c>
      <c r="AM1656" s="7" t="n">
        <v>21</v>
      </c>
      <c r="AN1656" s="7" t="n">
        <v>0</v>
      </c>
      <c r="AO1656" s="7" t="n">
        <v>1</v>
      </c>
      <c r="AP1656" s="7" t="n">
        <v>1</v>
      </c>
      <c r="AQ1656" s="7" t="n">
        <v>1</v>
      </c>
      <c r="AR1656" s="6" t="s">
        <v>63</v>
      </c>
      <c r="AS1656" s="6" t="s">
        <v>63</v>
      </c>
      <c r="AT1656" s="28"/>
      <c r="AU1656" s="9" t="str">
        <f aca="false">HYPERLINK("https://creighton-primo.hosted.exlibrisgroup.com/primo-explore/search?tab=default_tab&amp;search_scope=EVERYTHING&amp;vid=01CRU&amp;lang=en_US&amp;offset=0&amp;query=any,contains,991004776599702656","Catalog Record")</f>
        <v>Catalog Record</v>
      </c>
      <c r="AV1656" s="9" t="str">
        <f aca="false">HYPERLINK("http://www.worldcat.org/oclc/5101409","WorldCat Record")</f>
        <v>WorldCat Record</v>
      </c>
      <c r="AW1656" s="6" t="s">
        <v>14110</v>
      </c>
      <c r="AX1656" s="6" t="s">
        <v>14111</v>
      </c>
      <c r="AY1656" s="6" t="s">
        <v>14112</v>
      </c>
      <c r="AZ1656" s="6" t="s">
        <v>14112</v>
      </c>
      <c r="BA1656" s="6" t="s">
        <v>14113</v>
      </c>
      <c r="BB1656" s="6" t="s">
        <v>14114</v>
      </c>
      <c r="BC1656" s="6" t="s">
        <v>14115</v>
      </c>
      <c r="BE1656" s="15" t="s">
        <v>2145</v>
      </c>
      <c r="BF1656" s="6" t="s">
        <v>14116</v>
      </c>
    </row>
    <row r="1657" customFormat="false" ht="163" hidden="false" customHeight="false" outlineLevel="0" collapsed="false">
      <c r="A1657" s="26" t="s">
        <v>63</v>
      </c>
      <c r="B1657" s="27" t="s">
        <v>2129</v>
      </c>
      <c r="C1657" s="27" t="s">
        <v>2130</v>
      </c>
      <c r="D1657" s="27" t="s">
        <v>14117</v>
      </c>
      <c r="E1657" s="27" t="s">
        <v>14118</v>
      </c>
      <c r="F1657" s="27" t="s">
        <v>14119</v>
      </c>
      <c r="G1657" s="28"/>
      <c r="H1657" s="6" t="s">
        <v>63</v>
      </c>
      <c r="I1657" s="6" t="s">
        <v>62</v>
      </c>
      <c r="J1657" s="6" t="s">
        <v>63</v>
      </c>
      <c r="K1657" s="6" t="s">
        <v>63</v>
      </c>
      <c r="L1657" s="6" t="s">
        <v>64</v>
      </c>
      <c r="M1657" s="27" t="s">
        <v>14120</v>
      </c>
      <c r="N1657" s="27" t="s">
        <v>14121</v>
      </c>
      <c r="O1657" s="6" t="s">
        <v>3340</v>
      </c>
      <c r="P1657" s="28"/>
      <c r="Q1657" s="6" t="s">
        <v>67</v>
      </c>
      <c r="R1657" s="6" t="s">
        <v>1108</v>
      </c>
      <c r="S1657" s="28"/>
      <c r="T1657" s="6" t="s">
        <v>6138</v>
      </c>
      <c r="U1657" s="7" t="n">
        <v>6</v>
      </c>
      <c r="V1657" s="7" t="n">
        <v>6</v>
      </c>
      <c r="W1657" s="8" t="s">
        <v>14122</v>
      </c>
      <c r="X1657" s="8" t="s">
        <v>14122</v>
      </c>
      <c r="Y1657" s="8" t="s">
        <v>14109</v>
      </c>
      <c r="Z1657" s="8" t="s">
        <v>14109</v>
      </c>
      <c r="AA1657" s="7" t="n">
        <v>453</v>
      </c>
      <c r="AB1657" s="7" t="n">
        <v>340</v>
      </c>
      <c r="AC1657" s="7" t="n">
        <v>344</v>
      </c>
      <c r="AD1657" s="7" t="n">
        <v>3</v>
      </c>
      <c r="AE1657" s="7" t="n">
        <v>3</v>
      </c>
      <c r="AF1657" s="7" t="n">
        <v>20</v>
      </c>
      <c r="AG1657" s="7" t="n">
        <v>20</v>
      </c>
      <c r="AH1657" s="7" t="n">
        <v>6</v>
      </c>
      <c r="AI1657" s="7" t="n">
        <v>6</v>
      </c>
      <c r="AJ1657" s="7" t="n">
        <v>3</v>
      </c>
      <c r="AK1657" s="7" t="n">
        <v>3</v>
      </c>
      <c r="AL1657" s="7" t="n">
        <v>16</v>
      </c>
      <c r="AM1657" s="7" t="n">
        <v>16</v>
      </c>
      <c r="AN1657" s="7" t="n">
        <v>2</v>
      </c>
      <c r="AO1657" s="7" t="n">
        <v>2</v>
      </c>
      <c r="AP1657" s="7" t="n">
        <v>0</v>
      </c>
      <c r="AQ1657" s="7" t="n">
        <v>0</v>
      </c>
      <c r="AR1657" s="6" t="s">
        <v>63</v>
      </c>
      <c r="AS1657" s="6" t="s">
        <v>57</v>
      </c>
      <c r="AT1657" s="9" t="str">
        <f aca="false">HYPERLINK("http://catalog.hathitrust.org/Record/000084208","HathiTrust Record")</f>
        <v>HathiTrust Record</v>
      </c>
      <c r="AU1657" s="9" t="str">
        <f aca="false">HYPERLINK("https://creighton-primo.hosted.exlibrisgroup.com/primo-explore/search?tab=default_tab&amp;search_scope=EVERYTHING&amp;vid=01CRU&amp;lang=en_US&amp;offset=0&amp;query=any,contains,991004150149702656","Catalog Record")</f>
        <v>Catalog Record</v>
      </c>
      <c r="AV1657" s="9" t="str">
        <f aca="false">HYPERLINK("http://www.worldcat.org/oclc/2523381","WorldCat Record")</f>
        <v>WorldCat Record</v>
      </c>
      <c r="AW1657" s="6" t="s">
        <v>14123</v>
      </c>
      <c r="AX1657" s="6" t="s">
        <v>14124</v>
      </c>
      <c r="AY1657" s="6" t="s">
        <v>14125</v>
      </c>
      <c r="AZ1657" s="6" t="s">
        <v>14125</v>
      </c>
      <c r="BA1657" s="6" t="s">
        <v>14126</v>
      </c>
      <c r="BB1657" s="6" t="s">
        <v>14127</v>
      </c>
      <c r="BC1657" s="6" t="s">
        <v>14128</v>
      </c>
      <c r="BE1657" s="15" t="s">
        <v>2145</v>
      </c>
      <c r="BF1657" s="6" t="s">
        <v>14129</v>
      </c>
    </row>
    <row r="1658" customFormat="false" ht="105.5" hidden="false" customHeight="false" outlineLevel="0" collapsed="false">
      <c r="A1658" s="26" t="s">
        <v>63</v>
      </c>
      <c r="B1658" s="27" t="s">
        <v>2129</v>
      </c>
      <c r="C1658" s="27" t="s">
        <v>2130</v>
      </c>
      <c r="D1658" s="27" t="s">
        <v>14130</v>
      </c>
      <c r="E1658" s="27" t="s">
        <v>14131</v>
      </c>
      <c r="F1658" s="27" t="s">
        <v>14132</v>
      </c>
      <c r="G1658" s="28"/>
      <c r="H1658" s="6" t="s">
        <v>63</v>
      </c>
      <c r="I1658" s="6" t="s">
        <v>62</v>
      </c>
      <c r="J1658" s="6" t="s">
        <v>63</v>
      </c>
      <c r="K1658" s="6" t="s">
        <v>63</v>
      </c>
      <c r="L1658" s="6" t="s">
        <v>64</v>
      </c>
      <c r="M1658" s="27" t="s">
        <v>14133</v>
      </c>
      <c r="N1658" s="27" t="s">
        <v>14134</v>
      </c>
      <c r="O1658" s="6" t="s">
        <v>2315</v>
      </c>
      <c r="P1658" s="27" t="s">
        <v>327</v>
      </c>
      <c r="Q1658" s="6" t="s">
        <v>67</v>
      </c>
      <c r="R1658" s="6" t="s">
        <v>68</v>
      </c>
      <c r="S1658" s="28"/>
      <c r="T1658" s="6" t="s">
        <v>6138</v>
      </c>
      <c r="U1658" s="7" t="n">
        <v>4</v>
      </c>
      <c r="V1658" s="7" t="n">
        <v>4</v>
      </c>
      <c r="W1658" s="8" t="s">
        <v>2480</v>
      </c>
      <c r="X1658" s="8" t="s">
        <v>2480</v>
      </c>
      <c r="Y1658" s="8" t="s">
        <v>14109</v>
      </c>
      <c r="Z1658" s="8" t="s">
        <v>14109</v>
      </c>
      <c r="AA1658" s="7" t="n">
        <v>364</v>
      </c>
      <c r="AB1658" s="7" t="n">
        <v>318</v>
      </c>
      <c r="AC1658" s="7" t="n">
        <v>321</v>
      </c>
      <c r="AD1658" s="7" t="n">
        <v>5</v>
      </c>
      <c r="AE1658" s="7" t="n">
        <v>5</v>
      </c>
      <c r="AF1658" s="7" t="n">
        <v>20</v>
      </c>
      <c r="AG1658" s="7" t="n">
        <v>20</v>
      </c>
      <c r="AH1658" s="7" t="n">
        <v>6</v>
      </c>
      <c r="AI1658" s="7" t="n">
        <v>6</v>
      </c>
      <c r="AJ1658" s="7" t="n">
        <v>5</v>
      </c>
      <c r="AK1658" s="7" t="n">
        <v>5</v>
      </c>
      <c r="AL1658" s="7" t="n">
        <v>12</v>
      </c>
      <c r="AM1658" s="7" t="n">
        <v>12</v>
      </c>
      <c r="AN1658" s="7" t="n">
        <v>3</v>
      </c>
      <c r="AO1658" s="7" t="n">
        <v>3</v>
      </c>
      <c r="AP1658" s="7" t="n">
        <v>0</v>
      </c>
      <c r="AQ1658" s="7" t="n">
        <v>0</v>
      </c>
      <c r="AR1658" s="6" t="s">
        <v>63</v>
      </c>
      <c r="AS1658" s="6" t="s">
        <v>57</v>
      </c>
      <c r="AT1658" s="9" t="str">
        <f aca="false">HYPERLINK("http://catalog.hathitrust.org/Record/000652842","HathiTrust Record")</f>
        <v>HathiTrust Record</v>
      </c>
      <c r="AU1658" s="9" t="str">
        <f aca="false">HYPERLINK("https://creighton-primo.hosted.exlibrisgroup.com/primo-explore/search?tab=default_tab&amp;search_scope=EVERYTHING&amp;vid=01CRU&amp;lang=en_US&amp;offset=0&amp;query=any,contains,991000567019702656","Catalog Record")</f>
        <v>Catalog Record</v>
      </c>
      <c r="AV1658" s="9" t="str">
        <f aca="false">HYPERLINK("http://www.worldcat.org/oclc/11622720","WorldCat Record")</f>
        <v>WorldCat Record</v>
      </c>
      <c r="AW1658" s="6" t="s">
        <v>14135</v>
      </c>
      <c r="AX1658" s="6" t="s">
        <v>14136</v>
      </c>
      <c r="AY1658" s="6" t="s">
        <v>14137</v>
      </c>
      <c r="AZ1658" s="6" t="s">
        <v>14137</v>
      </c>
      <c r="BA1658" s="6" t="s">
        <v>14138</v>
      </c>
      <c r="BB1658" s="6" t="s">
        <v>14139</v>
      </c>
      <c r="BC1658" s="6" t="s">
        <v>14140</v>
      </c>
      <c r="BE1658" s="15" t="s">
        <v>2145</v>
      </c>
      <c r="BF1658" s="6" t="s">
        <v>14141</v>
      </c>
    </row>
    <row r="1659" customFormat="false" ht="94" hidden="false" customHeight="false" outlineLevel="0" collapsed="false">
      <c r="A1659" s="26" t="s">
        <v>63</v>
      </c>
      <c r="B1659" s="27" t="s">
        <v>2129</v>
      </c>
      <c r="C1659" s="27" t="s">
        <v>2130</v>
      </c>
      <c r="D1659" s="27" t="s">
        <v>14142</v>
      </c>
      <c r="E1659" s="27" t="s">
        <v>14143</v>
      </c>
      <c r="F1659" s="27" t="s">
        <v>14144</v>
      </c>
      <c r="G1659" s="28"/>
      <c r="H1659" s="6" t="s">
        <v>63</v>
      </c>
      <c r="I1659" s="6" t="s">
        <v>62</v>
      </c>
      <c r="J1659" s="6" t="s">
        <v>63</v>
      </c>
      <c r="K1659" s="6" t="s">
        <v>63</v>
      </c>
      <c r="L1659" s="6" t="s">
        <v>64</v>
      </c>
      <c r="M1659" s="27" t="s">
        <v>14145</v>
      </c>
      <c r="N1659" s="27" t="s">
        <v>14146</v>
      </c>
      <c r="O1659" s="6" t="s">
        <v>2975</v>
      </c>
      <c r="P1659" s="28"/>
      <c r="Q1659" s="6" t="s">
        <v>67</v>
      </c>
      <c r="R1659" s="6" t="s">
        <v>272</v>
      </c>
      <c r="S1659" s="28"/>
      <c r="T1659" s="6" t="s">
        <v>6138</v>
      </c>
      <c r="U1659" s="7" t="n">
        <v>3</v>
      </c>
      <c r="V1659" s="7" t="n">
        <v>3</v>
      </c>
      <c r="W1659" s="8" t="s">
        <v>14147</v>
      </c>
      <c r="X1659" s="8" t="s">
        <v>14147</v>
      </c>
      <c r="Y1659" s="8" t="s">
        <v>4265</v>
      </c>
      <c r="Z1659" s="8" t="s">
        <v>4265</v>
      </c>
      <c r="AA1659" s="7" t="n">
        <v>662</v>
      </c>
      <c r="AB1659" s="7" t="n">
        <v>607</v>
      </c>
      <c r="AC1659" s="7" t="n">
        <v>803</v>
      </c>
      <c r="AD1659" s="7" t="n">
        <v>5</v>
      </c>
      <c r="AE1659" s="7" t="n">
        <v>7</v>
      </c>
      <c r="AF1659" s="7" t="n">
        <v>32</v>
      </c>
      <c r="AG1659" s="7" t="n">
        <v>45</v>
      </c>
      <c r="AH1659" s="7" t="n">
        <v>12</v>
      </c>
      <c r="AI1659" s="7" t="n">
        <v>18</v>
      </c>
      <c r="AJ1659" s="7" t="n">
        <v>8</v>
      </c>
      <c r="AK1659" s="7" t="n">
        <v>11</v>
      </c>
      <c r="AL1659" s="7" t="n">
        <v>18</v>
      </c>
      <c r="AM1659" s="7" t="n">
        <v>25</v>
      </c>
      <c r="AN1659" s="7" t="n">
        <v>3</v>
      </c>
      <c r="AO1659" s="7" t="n">
        <v>5</v>
      </c>
      <c r="AP1659" s="7" t="n">
        <v>0</v>
      </c>
      <c r="AQ1659" s="7" t="n">
        <v>0</v>
      </c>
      <c r="AR1659" s="6" t="s">
        <v>63</v>
      </c>
      <c r="AS1659" s="6" t="s">
        <v>57</v>
      </c>
      <c r="AT1659" s="9" t="str">
        <f aca="false">HYPERLINK("http://catalog.hathitrust.org/Record/007120059","HathiTrust Record")</f>
        <v>HathiTrust Record</v>
      </c>
      <c r="AU1659" s="9" t="str">
        <f aca="false">HYPERLINK("https://creighton-primo.hosted.exlibrisgroup.com/primo-explore/search?tab=default_tab&amp;search_scope=EVERYTHING&amp;vid=01CRU&amp;lang=en_US&amp;offset=0&amp;query=any,contains,991000180639702656","Catalog Record")</f>
        <v>Catalog Record</v>
      </c>
      <c r="AV1659" s="9" t="str">
        <f aca="false">HYPERLINK("http://www.worldcat.org/oclc/62361","WorldCat Record")</f>
        <v>WorldCat Record</v>
      </c>
      <c r="AW1659" s="6" t="s">
        <v>14148</v>
      </c>
      <c r="AX1659" s="6" t="s">
        <v>14149</v>
      </c>
      <c r="AY1659" s="6" t="s">
        <v>14150</v>
      </c>
      <c r="AZ1659" s="6" t="s">
        <v>14150</v>
      </c>
      <c r="BA1659" s="6" t="s">
        <v>14151</v>
      </c>
      <c r="BB1659" s="28"/>
      <c r="BC1659" s="6" t="s">
        <v>14152</v>
      </c>
      <c r="BE1659" s="15" t="s">
        <v>2145</v>
      </c>
      <c r="BF1659" s="6" t="s">
        <v>14153</v>
      </c>
    </row>
    <row r="1660" customFormat="false" ht="163" hidden="false" customHeight="false" outlineLevel="0" collapsed="false">
      <c r="A1660" s="26" t="s">
        <v>57</v>
      </c>
      <c r="B1660" s="27" t="s">
        <v>2129</v>
      </c>
      <c r="C1660" s="27" t="s">
        <v>2130</v>
      </c>
      <c r="D1660" s="27" t="s">
        <v>14154</v>
      </c>
      <c r="E1660" s="27" t="s">
        <v>14155</v>
      </c>
      <c r="F1660" s="27" t="s">
        <v>14156</v>
      </c>
      <c r="G1660" s="28"/>
      <c r="H1660" s="6" t="s">
        <v>63</v>
      </c>
      <c r="I1660" s="6" t="s">
        <v>62</v>
      </c>
      <c r="J1660" s="6" t="s">
        <v>63</v>
      </c>
      <c r="K1660" s="6" t="s">
        <v>63</v>
      </c>
      <c r="L1660" s="6" t="s">
        <v>64</v>
      </c>
      <c r="M1660" s="27" t="s">
        <v>14157</v>
      </c>
      <c r="N1660" s="27" t="s">
        <v>12897</v>
      </c>
      <c r="O1660" s="6" t="s">
        <v>2665</v>
      </c>
      <c r="P1660" s="28"/>
      <c r="Q1660" s="6" t="s">
        <v>67</v>
      </c>
      <c r="R1660" s="6" t="s">
        <v>384</v>
      </c>
      <c r="S1660" s="28"/>
      <c r="T1660" s="6" t="s">
        <v>6138</v>
      </c>
      <c r="U1660" s="7" t="n">
        <v>1</v>
      </c>
      <c r="V1660" s="7" t="n">
        <v>1</v>
      </c>
      <c r="W1660" s="8" t="s">
        <v>14158</v>
      </c>
      <c r="X1660" s="8" t="s">
        <v>14158</v>
      </c>
      <c r="Y1660" s="8" t="s">
        <v>4265</v>
      </c>
      <c r="Z1660" s="8" t="s">
        <v>4265</v>
      </c>
      <c r="AA1660" s="7" t="n">
        <v>673</v>
      </c>
      <c r="AB1660" s="7" t="n">
        <v>498</v>
      </c>
      <c r="AC1660" s="7" t="n">
        <v>567</v>
      </c>
      <c r="AD1660" s="7" t="n">
        <v>2</v>
      </c>
      <c r="AE1660" s="7" t="n">
        <v>4</v>
      </c>
      <c r="AF1660" s="7" t="n">
        <v>25</v>
      </c>
      <c r="AG1660" s="7" t="n">
        <v>28</v>
      </c>
      <c r="AH1660" s="7" t="n">
        <v>8</v>
      </c>
      <c r="AI1660" s="7" t="n">
        <v>9</v>
      </c>
      <c r="AJ1660" s="7" t="n">
        <v>8</v>
      </c>
      <c r="AK1660" s="7" t="n">
        <v>8</v>
      </c>
      <c r="AL1660" s="7" t="n">
        <v>16</v>
      </c>
      <c r="AM1660" s="7" t="n">
        <v>18</v>
      </c>
      <c r="AN1660" s="7" t="n">
        <v>1</v>
      </c>
      <c r="AO1660" s="7" t="n">
        <v>2</v>
      </c>
      <c r="AP1660" s="7" t="n">
        <v>0</v>
      </c>
      <c r="AQ1660" s="7" t="n">
        <v>0</v>
      </c>
      <c r="AR1660" s="6" t="s">
        <v>63</v>
      </c>
      <c r="AS1660" s="6" t="s">
        <v>57</v>
      </c>
      <c r="AT1660" s="9" t="str">
        <f aca="false">HYPERLINK("http://catalog.hathitrust.org/Record/000733955","HathiTrust Record")</f>
        <v>HathiTrust Record</v>
      </c>
      <c r="AU1660" s="9" t="str">
        <f aca="false">HYPERLINK("https://creighton-primo.hosted.exlibrisgroup.com/primo-explore/search?tab=default_tab&amp;search_scope=EVERYTHING&amp;vid=01CRU&amp;lang=en_US&amp;offset=0&amp;query=any,contains,991002909959702656","Catalog Record")</f>
        <v>Catalog Record</v>
      </c>
      <c r="AV1660" s="9" t="str">
        <f aca="false">HYPERLINK("http://www.worldcat.org/oclc/521349","WorldCat Record")</f>
        <v>WorldCat Record</v>
      </c>
      <c r="AW1660" s="6" t="s">
        <v>14159</v>
      </c>
      <c r="AX1660" s="6" t="s">
        <v>14160</v>
      </c>
      <c r="AY1660" s="6" t="s">
        <v>14161</v>
      </c>
      <c r="AZ1660" s="6" t="s">
        <v>14161</v>
      </c>
      <c r="BA1660" s="6" t="s">
        <v>14162</v>
      </c>
      <c r="BB1660" s="6" t="s">
        <v>14163</v>
      </c>
      <c r="BC1660" s="6" t="s">
        <v>14164</v>
      </c>
      <c r="BE1660" s="15" t="s">
        <v>2145</v>
      </c>
      <c r="BF1660" s="6" t="s">
        <v>14165</v>
      </c>
    </row>
    <row r="1661" customFormat="false" ht="117" hidden="false" customHeight="false" outlineLevel="0" collapsed="false">
      <c r="A1661" s="26" t="s">
        <v>63</v>
      </c>
      <c r="B1661" s="27" t="s">
        <v>2129</v>
      </c>
      <c r="C1661" s="27" t="s">
        <v>2130</v>
      </c>
      <c r="D1661" s="27" t="s">
        <v>14166</v>
      </c>
      <c r="E1661" s="27" t="s">
        <v>14167</v>
      </c>
      <c r="F1661" s="27" t="s">
        <v>14168</v>
      </c>
      <c r="G1661" s="28"/>
      <c r="H1661" s="6" t="s">
        <v>63</v>
      </c>
      <c r="I1661" s="6" t="s">
        <v>62</v>
      </c>
      <c r="J1661" s="6" t="s">
        <v>63</v>
      </c>
      <c r="K1661" s="6" t="s">
        <v>63</v>
      </c>
      <c r="L1661" s="6" t="s">
        <v>64</v>
      </c>
      <c r="M1661" s="27" t="s">
        <v>14169</v>
      </c>
      <c r="N1661" s="27" t="s">
        <v>11531</v>
      </c>
      <c r="O1661" s="6" t="s">
        <v>2811</v>
      </c>
      <c r="P1661" s="28"/>
      <c r="Q1661" s="6" t="s">
        <v>67</v>
      </c>
      <c r="R1661" s="6" t="s">
        <v>802</v>
      </c>
      <c r="S1661" s="27" t="s">
        <v>14170</v>
      </c>
      <c r="T1661" s="6" t="s">
        <v>6138</v>
      </c>
      <c r="U1661" s="7" t="n">
        <v>3</v>
      </c>
      <c r="V1661" s="7" t="n">
        <v>3</v>
      </c>
      <c r="W1661" s="8" t="s">
        <v>265</v>
      </c>
      <c r="X1661" s="8" t="s">
        <v>265</v>
      </c>
      <c r="Y1661" s="8" t="s">
        <v>3824</v>
      </c>
      <c r="Z1661" s="8" t="s">
        <v>3824</v>
      </c>
      <c r="AA1661" s="7" t="n">
        <v>578</v>
      </c>
      <c r="AB1661" s="7" t="n">
        <v>456</v>
      </c>
      <c r="AC1661" s="7" t="n">
        <v>766</v>
      </c>
      <c r="AD1661" s="7" t="n">
        <v>5</v>
      </c>
      <c r="AE1661" s="7" t="n">
        <v>7</v>
      </c>
      <c r="AF1661" s="7" t="n">
        <v>26</v>
      </c>
      <c r="AG1661" s="7" t="n">
        <v>42</v>
      </c>
      <c r="AH1661" s="7" t="n">
        <v>7</v>
      </c>
      <c r="AI1661" s="7" t="n">
        <v>14</v>
      </c>
      <c r="AJ1661" s="7" t="n">
        <v>5</v>
      </c>
      <c r="AK1661" s="7" t="n">
        <v>11</v>
      </c>
      <c r="AL1661" s="7" t="n">
        <v>17</v>
      </c>
      <c r="AM1661" s="7" t="n">
        <v>20</v>
      </c>
      <c r="AN1661" s="7" t="n">
        <v>4</v>
      </c>
      <c r="AO1661" s="7" t="n">
        <v>6</v>
      </c>
      <c r="AP1661" s="7" t="n">
        <v>0</v>
      </c>
      <c r="AQ1661" s="7" t="n">
        <v>1</v>
      </c>
      <c r="AR1661" s="6" t="s">
        <v>63</v>
      </c>
      <c r="AS1661" s="6" t="s">
        <v>57</v>
      </c>
      <c r="AT1661" s="9" t="str">
        <f aca="false">HYPERLINK("http://catalog.hathitrust.org/Record/001657848","HathiTrust Record")</f>
        <v>HathiTrust Record</v>
      </c>
      <c r="AU1661" s="9" t="str">
        <f aca="false">HYPERLINK("https://creighton-primo.hosted.exlibrisgroup.com/primo-explore/search?tab=default_tab&amp;search_scope=EVERYTHING&amp;vid=01CRU&amp;lang=en_US&amp;offset=0&amp;query=any,contains,991001926359702656","Catalog Record")</f>
        <v>Catalog Record</v>
      </c>
      <c r="AV1661" s="9" t="str">
        <f aca="false">HYPERLINK("http://www.worldcat.org/oclc/246787","WorldCat Record")</f>
        <v>WorldCat Record</v>
      </c>
      <c r="AW1661" s="6" t="s">
        <v>14171</v>
      </c>
      <c r="AX1661" s="6" t="s">
        <v>14172</v>
      </c>
      <c r="AY1661" s="6" t="s">
        <v>14173</v>
      </c>
      <c r="AZ1661" s="6" t="s">
        <v>14173</v>
      </c>
      <c r="BA1661" s="6" t="s">
        <v>14174</v>
      </c>
      <c r="BB1661" s="28"/>
      <c r="BC1661" s="6" t="s">
        <v>14175</v>
      </c>
      <c r="BE1661" s="15" t="s">
        <v>2145</v>
      </c>
      <c r="BF1661" s="6" t="s">
        <v>14176</v>
      </c>
    </row>
    <row r="1662" customFormat="false" ht="82.5" hidden="false" customHeight="false" outlineLevel="0" collapsed="false">
      <c r="A1662" s="26" t="s">
        <v>63</v>
      </c>
      <c r="B1662" s="27" t="s">
        <v>2129</v>
      </c>
      <c r="C1662" s="27" t="s">
        <v>2130</v>
      </c>
      <c r="D1662" s="27" t="s">
        <v>14177</v>
      </c>
      <c r="E1662" s="27" t="s">
        <v>14178</v>
      </c>
      <c r="F1662" s="27" t="s">
        <v>14179</v>
      </c>
      <c r="G1662" s="28"/>
      <c r="H1662" s="6" t="s">
        <v>63</v>
      </c>
      <c r="I1662" s="6" t="s">
        <v>62</v>
      </c>
      <c r="J1662" s="6" t="s">
        <v>63</v>
      </c>
      <c r="K1662" s="6" t="s">
        <v>63</v>
      </c>
      <c r="L1662" s="6" t="s">
        <v>64</v>
      </c>
      <c r="M1662" s="27" t="s">
        <v>8674</v>
      </c>
      <c r="N1662" s="27" t="s">
        <v>14180</v>
      </c>
      <c r="O1662" s="6" t="s">
        <v>2811</v>
      </c>
      <c r="P1662" s="28"/>
      <c r="Q1662" s="6" t="s">
        <v>67</v>
      </c>
      <c r="R1662" s="6" t="s">
        <v>1059</v>
      </c>
      <c r="S1662" s="27" t="s">
        <v>14181</v>
      </c>
      <c r="T1662" s="6" t="s">
        <v>6138</v>
      </c>
      <c r="U1662" s="7" t="n">
        <v>3</v>
      </c>
      <c r="V1662" s="7" t="n">
        <v>3</v>
      </c>
      <c r="W1662" s="8" t="s">
        <v>14182</v>
      </c>
      <c r="X1662" s="8" t="s">
        <v>14182</v>
      </c>
      <c r="Y1662" s="8" t="s">
        <v>12095</v>
      </c>
      <c r="Z1662" s="8" t="s">
        <v>12095</v>
      </c>
      <c r="AA1662" s="7" t="n">
        <v>690</v>
      </c>
      <c r="AB1662" s="7" t="n">
        <v>549</v>
      </c>
      <c r="AC1662" s="7" t="n">
        <v>549</v>
      </c>
      <c r="AD1662" s="7" t="n">
        <v>6</v>
      </c>
      <c r="AE1662" s="7" t="n">
        <v>6</v>
      </c>
      <c r="AF1662" s="7" t="n">
        <v>32</v>
      </c>
      <c r="AG1662" s="7" t="n">
        <v>32</v>
      </c>
      <c r="AH1662" s="7" t="n">
        <v>12</v>
      </c>
      <c r="AI1662" s="7" t="n">
        <v>12</v>
      </c>
      <c r="AJ1662" s="7" t="n">
        <v>8</v>
      </c>
      <c r="AK1662" s="7" t="n">
        <v>8</v>
      </c>
      <c r="AL1662" s="7" t="n">
        <v>18</v>
      </c>
      <c r="AM1662" s="7" t="n">
        <v>18</v>
      </c>
      <c r="AN1662" s="7" t="n">
        <v>4</v>
      </c>
      <c r="AO1662" s="7" t="n">
        <v>4</v>
      </c>
      <c r="AP1662" s="7" t="n">
        <v>0</v>
      </c>
      <c r="AQ1662" s="7" t="n">
        <v>0</v>
      </c>
      <c r="AR1662" s="6" t="s">
        <v>63</v>
      </c>
      <c r="AS1662" s="6" t="s">
        <v>63</v>
      </c>
      <c r="AT1662" s="28"/>
      <c r="AU1662" s="9" t="str">
        <f aca="false">HYPERLINK("https://creighton-primo.hosted.exlibrisgroup.com/primo-explore/search?tab=default_tab&amp;search_scope=EVERYTHING&amp;vid=01CRU&amp;lang=en_US&amp;offset=0&amp;query=any,contains,991000907699702656","Catalog Record")</f>
        <v>Catalog Record</v>
      </c>
      <c r="AV1662" s="9" t="str">
        <f aca="false">HYPERLINK("http://www.worldcat.org/oclc/158276","WorldCat Record")</f>
        <v>WorldCat Record</v>
      </c>
      <c r="AW1662" s="6" t="s">
        <v>14183</v>
      </c>
      <c r="AX1662" s="6" t="s">
        <v>14184</v>
      </c>
      <c r="AY1662" s="6" t="s">
        <v>14185</v>
      </c>
      <c r="AZ1662" s="6" t="s">
        <v>14185</v>
      </c>
      <c r="BA1662" s="6" t="s">
        <v>14186</v>
      </c>
      <c r="BB1662" s="6" t="s">
        <v>14187</v>
      </c>
      <c r="BC1662" s="6" t="s">
        <v>14188</v>
      </c>
      <c r="BE1662" s="15" t="s">
        <v>2145</v>
      </c>
      <c r="BF1662" s="6" t="s">
        <v>14189</v>
      </c>
    </row>
    <row r="1663" customFormat="false" ht="128.5" hidden="false" customHeight="false" outlineLevel="0" collapsed="false">
      <c r="A1663" s="26" t="s">
        <v>57</v>
      </c>
      <c r="B1663" s="27" t="s">
        <v>2129</v>
      </c>
      <c r="C1663" s="27" t="s">
        <v>2130</v>
      </c>
      <c r="D1663" s="27" t="s">
        <v>14190</v>
      </c>
      <c r="E1663" s="27" t="s">
        <v>14191</v>
      </c>
      <c r="F1663" s="27" t="s">
        <v>14192</v>
      </c>
      <c r="G1663" s="28"/>
      <c r="H1663" s="6" t="s">
        <v>63</v>
      </c>
      <c r="I1663" s="6" t="s">
        <v>62</v>
      </c>
      <c r="J1663" s="6" t="s">
        <v>63</v>
      </c>
      <c r="K1663" s="6" t="s">
        <v>63</v>
      </c>
      <c r="L1663" s="6" t="s">
        <v>64</v>
      </c>
      <c r="M1663" s="27" t="s">
        <v>4381</v>
      </c>
      <c r="N1663" s="27" t="s">
        <v>14193</v>
      </c>
      <c r="O1663" s="6" t="s">
        <v>2262</v>
      </c>
      <c r="P1663" s="28"/>
      <c r="Q1663" s="6" t="s">
        <v>67</v>
      </c>
      <c r="R1663" s="6" t="s">
        <v>384</v>
      </c>
      <c r="S1663" s="28"/>
      <c r="T1663" s="6" t="s">
        <v>6138</v>
      </c>
      <c r="U1663" s="7" t="n">
        <v>3</v>
      </c>
      <c r="V1663" s="7" t="n">
        <v>3</v>
      </c>
      <c r="W1663" s="8" t="s">
        <v>14194</v>
      </c>
      <c r="X1663" s="8" t="s">
        <v>14194</v>
      </c>
      <c r="Y1663" s="8" t="s">
        <v>4639</v>
      </c>
      <c r="Z1663" s="8" t="s">
        <v>4639</v>
      </c>
      <c r="AA1663" s="7" t="n">
        <v>501</v>
      </c>
      <c r="AB1663" s="7" t="n">
        <v>354</v>
      </c>
      <c r="AC1663" s="7" t="n">
        <v>355</v>
      </c>
      <c r="AD1663" s="7" t="n">
        <v>3</v>
      </c>
      <c r="AE1663" s="7" t="n">
        <v>3</v>
      </c>
      <c r="AF1663" s="7" t="n">
        <v>22</v>
      </c>
      <c r="AG1663" s="7" t="n">
        <v>22</v>
      </c>
      <c r="AH1663" s="7" t="n">
        <v>10</v>
      </c>
      <c r="AI1663" s="7" t="n">
        <v>10</v>
      </c>
      <c r="AJ1663" s="7" t="n">
        <v>3</v>
      </c>
      <c r="AK1663" s="7" t="n">
        <v>3</v>
      </c>
      <c r="AL1663" s="7" t="n">
        <v>15</v>
      </c>
      <c r="AM1663" s="7" t="n">
        <v>15</v>
      </c>
      <c r="AN1663" s="7" t="n">
        <v>2</v>
      </c>
      <c r="AO1663" s="7" t="n">
        <v>2</v>
      </c>
      <c r="AP1663" s="7" t="n">
        <v>0</v>
      </c>
      <c r="AQ1663" s="7" t="n">
        <v>0</v>
      </c>
      <c r="AR1663" s="6" t="s">
        <v>63</v>
      </c>
      <c r="AS1663" s="6" t="s">
        <v>57</v>
      </c>
      <c r="AT1663" s="9" t="str">
        <f aca="false">HYPERLINK("http://catalog.hathitrust.org/Record/000438057","HathiTrust Record")</f>
        <v>HathiTrust Record</v>
      </c>
      <c r="AU1663" s="9" t="str">
        <f aca="false">HYPERLINK("https://creighton-primo.hosted.exlibrisgroup.com/primo-explore/search?tab=default_tab&amp;search_scope=EVERYTHING&amp;vid=01CRU&amp;lang=en_US&amp;offset=0&amp;query=any,contains,991000760729702656","Catalog Record")</f>
        <v>Catalog Record</v>
      </c>
      <c r="AV1663" s="9" t="str">
        <f aca="false">HYPERLINK("http://www.worldcat.org/oclc/12972987","WorldCat Record")</f>
        <v>WorldCat Record</v>
      </c>
      <c r="AW1663" s="6" t="s">
        <v>14195</v>
      </c>
      <c r="AX1663" s="6" t="s">
        <v>14196</v>
      </c>
      <c r="AY1663" s="6" t="s">
        <v>14197</v>
      </c>
      <c r="AZ1663" s="6" t="s">
        <v>14197</v>
      </c>
      <c r="BA1663" s="6" t="s">
        <v>14198</v>
      </c>
      <c r="BB1663" s="6" t="s">
        <v>14199</v>
      </c>
      <c r="BC1663" s="6" t="s">
        <v>14200</v>
      </c>
      <c r="BE1663" s="15" t="s">
        <v>2145</v>
      </c>
      <c r="BF1663" s="6" t="s">
        <v>14201</v>
      </c>
    </row>
    <row r="1664" customFormat="false" ht="151.5" hidden="false" customHeight="false" outlineLevel="0" collapsed="false">
      <c r="A1664" s="26" t="s">
        <v>57</v>
      </c>
      <c r="B1664" s="27" t="s">
        <v>2129</v>
      </c>
      <c r="C1664" s="27" t="s">
        <v>2130</v>
      </c>
      <c r="D1664" s="27" t="s">
        <v>14202</v>
      </c>
      <c r="E1664" s="27" t="s">
        <v>14203</v>
      </c>
      <c r="F1664" s="27" t="s">
        <v>14204</v>
      </c>
      <c r="G1664" s="28"/>
      <c r="H1664" s="6" t="s">
        <v>63</v>
      </c>
      <c r="I1664" s="6" t="s">
        <v>62</v>
      </c>
      <c r="J1664" s="6" t="s">
        <v>57</v>
      </c>
      <c r="K1664" s="6" t="s">
        <v>63</v>
      </c>
      <c r="L1664" s="6" t="s">
        <v>64</v>
      </c>
      <c r="M1664" s="27" t="s">
        <v>14205</v>
      </c>
      <c r="N1664" s="27" t="s">
        <v>14206</v>
      </c>
      <c r="O1664" s="6" t="s">
        <v>2665</v>
      </c>
      <c r="P1664" s="28"/>
      <c r="Q1664" s="6" t="s">
        <v>67</v>
      </c>
      <c r="R1664" s="6" t="s">
        <v>272</v>
      </c>
      <c r="S1664" s="28"/>
      <c r="T1664" s="6" t="s">
        <v>6138</v>
      </c>
      <c r="U1664" s="7" t="n">
        <v>1</v>
      </c>
      <c r="V1664" s="7" t="n">
        <v>1</v>
      </c>
      <c r="W1664" s="8" t="s">
        <v>3146</v>
      </c>
      <c r="X1664" s="8" t="s">
        <v>3146</v>
      </c>
      <c r="Y1664" s="8" t="s">
        <v>4639</v>
      </c>
      <c r="Z1664" s="8" t="s">
        <v>12144</v>
      </c>
      <c r="AA1664" s="7" t="n">
        <v>878</v>
      </c>
      <c r="AB1664" s="7" t="n">
        <v>682</v>
      </c>
      <c r="AC1664" s="7" t="n">
        <v>744</v>
      </c>
      <c r="AD1664" s="7" t="n">
        <v>6</v>
      </c>
      <c r="AE1664" s="7" t="n">
        <v>6</v>
      </c>
      <c r="AF1664" s="7" t="n">
        <v>37</v>
      </c>
      <c r="AG1664" s="7" t="n">
        <v>39</v>
      </c>
      <c r="AH1664" s="7" t="n">
        <v>11</v>
      </c>
      <c r="AI1664" s="7" t="n">
        <v>11</v>
      </c>
      <c r="AJ1664" s="7" t="n">
        <v>10</v>
      </c>
      <c r="AK1664" s="7" t="n">
        <v>10</v>
      </c>
      <c r="AL1664" s="7" t="n">
        <v>18</v>
      </c>
      <c r="AM1664" s="7" t="n">
        <v>19</v>
      </c>
      <c r="AN1664" s="7" t="n">
        <v>3</v>
      </c>
      <c r="AO1664" s="7" t="n">
        <v>3</v>
      </c>
      <c r="AP1664" s="7" t="n">
        <v>4</v>
      </c>
      <c r="AQ1664" s="7" t="n">
        <v>5</v>
      </c>
      <c r="AR1664" s="6" t="s">
        <v>63</v>
      </c>
      <c r="AS1664" s="6" t="s">
        <v>63</v>
      </c>
      <c r="AT1664" s="28"/>
      <c r="AU1664" s="9" t="str">
        <f aca="false">HYPERLINK("https://creighton-primo.hosted.exlibrisgroup.com/primo-explore/search?tab=default_tab&amp;search_scope=EVERYTHING&amp;vid=01CRU&amp;lang=en_US&amp;offset=0&amp;query=any,contains,991001639919702656","Catalog Record")</f>
        <v>Catalog Record</v>
      </c>
      <c r="AV1664" s="9" t="str">
        <f aca="false">HYPERLINK("http://www.worldcat.org/oclc/446946","WorldCat Record")</f>
        <v>WorldCat Record</v>
      </c>
      <c r="AW1664" s="6" t="s">
        <v>14207</v>
      </c>
      <c r="AX1664" s="6" t="s">
        <v>14208</v>
      </c>
      <c r="AY1664" s="6" t="s">
        <v>14209</v>
      </c>
      <c r="AZ1664" s="6" t="s">
        <v>14209</v>
      </c>
      <c r="BA1664" s="6" t="s">
        <v>14210</v>
      </c>
      <c r="BB1664" s="6" t="s">
        <v>14211</v>
      </c>
      <c r="BC1664" s="6" t="s">
        <v>14212</v>
      </c>
      <c r="BE1664" s="15" t="s">
        <v>2145</v>
      </c>
      <c r="BF1664" s="6" t="s">
        <v>14213</v>
      </c>
    </row>
    <row r="1665" customFormat="false" ht="94" hidden="false" customHeight="false" outlineLevel="0" collapsed="false">
      <c r="A1665" s="26" t="s">
        <v>57</v>
      </c>
      <c r="B1665" s="27" t="s">
        <v>2129</v>
      </c>
      <c r="C1665" s="27" t="s">
        <v>2130</v>
      </c>
      <c r="D1665" s="27" t="s">
        <v>14214</v>
      </c>
      <c r="E1665" s="27" t="s">
        <v>14215</v>
      </c>
      <c r="F1665" s="27" t="s">
        <v>14216</v>
      </c>
      <c r="G1665" s="28"/>
      <c r="H1665" s="6" t="s">
        <v>63</v>
      </c>
      <c r="I1665" s="6" t="s">
        <v>62</v>
      </c>
      <c r="J1665" s="6" t="s">
        <v>63</v>
      </c>
      <c r="K1665" s="6" t="s">
        <v>63</v>
      </c>
      <c r="L1665" s="6" t="s">
        <v>64</v>
      </c>
      <c r="M1665" s="27" t="s">
        <v>14217</v>
      </c>
      <c r="N1665" s="27" t="s">
        <v>14218</v>
      </c>
      <c r="O1665" s="6" t="s">
        <v>2975</v>
      </c>
      <c r="P1665" s="28"/>
      <c r="Q1665" s="6" t="s">
        <v>67</v>
      </c>
      <c r="R1665" s="6" t="s">
        <v>3782</v>
      </c>
      <c r="S1665" s="28"/>
      <c r="T1665" s="6" t="s">
        <v>6138</v>
      </c>
      <c r="U1665" s="7" t="n">
        <v>1</v>
      </c>
      <c r="V1665" s="7" t="n">
        <v>1</v>
      </c>
      <c r="W1665" s="8" t="s">
        <v>265</v>
      </c>
      <c r="X1665" s="8" t="s">
        <v>265</v>
      </c>
      <c r="Y1665" s="8" t="s">
        <v>4639</v>
      </c>
      <c r="Z1665" s="8" t="s">
        <v>4639</v>
      </c>
      <c r="AA1665" s="7" t="n">
        <v>64</v>
      </c>
      <c r="AB1665" s="7" t="n">
        <v>48</v>
      </c>
      <c r="AC1665" s="7" t="n">
        <v>417</v>
      </c>
      <c r="AD1665" s="7" t="n">
        <v>2</v>
      </c>
      <c r="AE1665" s="7" t="n">
        <v>5</v>
      </c>
      <c r="AF1665" s="7" t="n">
        <v>3</v>
      </c>
      <c r="AG1665" s="7" t="n">
        <v>22</v>
      </c>
      <c r="AH1665" s="7" t="n">
        <v>1</v>
      </c>
      <c r="AI1665" s="7" t="n">
        <v>11</v>
      </c>
      <c r="AJ1665" s="7" t="n">
        <v>0</v>
      </c>
      <c r="AK1665" s="7" t="n">
        <v>5</v>
      </c>
      <c r="AL1665" s="7" t="n">
        <v>1</v>
      </c>
      <c r="AM1665" s="7" t="n">
        <v>11</v>
      </c>
      <c r="AN1665" s="7" t="n">
        <v>1</v>
      </c>
      <c r="AO1665" s="7" t="n">
        <v>4</v>
      </c>
      <c r="AP1665" s="7" t="n">
        <v>0</v>
      </c>
      <c r="AQ1665" s="7" t="n">
        <v>0</v>
      </c>
      <c r="AR1665" s="6" t="s">
        <v>63</v>
      </c>
      <c r="AS1665" s="6" t="s">
        <v>63</v>
      </c>
      <c r="AT1665" s="28"/>
      <c r="AU1665" s="9" t="str">
        <f aca="false">HYPERLINK("https://creighton-primo.hosted.exlibrisgroup.com/primo-explore/search?tab=default_tab&amp;search_scope=EVERYTHING&amp;vid=01CRU&amp;lang=en_US&amp;offset=0&amp;query=any,contains,991004250509702656","Catalog Record")</f>
        <v>Catalog Record</v>
      </c>
      <c r="AV1665" s="9" t="str">
        <f aca="false">HYPERLINK("http://www.worldcat.org/oclc/2810723","WorldCat Record")</f>
        <v>WorldCat Record</v>
      </c>
      <c r="AW1665" s="6" t="s">
        <v>14219</v>
      </c>
      <c r="AX1665" s="6" t="s">
        <v>14220</v>
      </c>
      <c r="AY1665" s="6" t="s">
        <v>14221</v>
      </c>
      <c r="AZ1665" s="6" t="s">
        <v>14221</v>
      </c>
      <c r="BA1665" s="6" t="s">
        <v>14222</v>
      </c>
      <c r="BB1665" s="6" t="s">
        <v>14223</v>
      </c>
      <c r="BC1665" s="6" t="s">
        <v>14224</v>
      </c>
      <c r="BE1665" s="15" t="s">
        <v>2145</v>
      </c>
      <c r="BF1665" s="6" t="s">
        <v>14225</v>
      </c>
    </row>
    <row r="1666" customFormat="false" ht="105.5" hidden="false" customHeight="false" outlineLevel="0" collapsed="false">
      <c r="A1666" s="26" t="s">
        <v>63</v>
      </c>
      <c r="B1666" s="27" t="s">
        <v>2129</v>
      </c>
      <c r="C1666" s="27" t="s">
        <v>2130</v>
      </c>
      <c r="D1666" s="27" t="s">
        <v>14226</v>
      </c>
      <c r="E1666" s="27" t="s">
        <v>14227</v>
      </c>
      <c r="F1666" s="27" t="s">
        <v>14228</v>
      </c>
      <c r="G1666" s="28"/>
      <c r="H1666" s="6" t="s">
        <v>63</v>
      </c>
      <c r="I1666" s="6" t="s">
        <v>62</v>
      </c>
      <c r="J1666" s="6" t="s">
        <v>63</v>
      </c>
      <c r="K1666" s="6" t="s">
        <v>63</v>
      </c>
      <c r="L1666" s="6" t="s">
        <v>64</v>
      </c>
      <c r="M1666" s="27" t="s">
        <v>14229</v>
      </c>
      <c r="N1666" s="27" t="s">
        <v>14230</v>
      </c>
      <c r="O1666" s="6" t="s">
        <v>2975</v>
      </c>
      <c r="P1666" s="28"/>
      <c r="Q1666" s="6" t="s">
        <v>67</v>
      </c>
      <c r="R1666" s="6" t="s">
        <v>384</v>
      </c>
      <c r="S1666" s="27" t="s">
        <v>3030</v>
      </c>
      <c r="T1666" s="6" t="s">
        <v>6138</v>
      </c>
      <c r="U1666" s="7" t="n">
        <v>3</v>
      </c>
      <c r="V1666" s="7" t="n">
        <v>3</v>
      </c>
      <c r="W1666" s="8" t="s">
        <v>14231</v>
      </c>
      <c r="X1666" s="8" t="s">
        <v>14231</v>
      </c>
      <c r="Y1666" s="8" t="s">
        <v>4639</v>
      </c>
      <c r="Z1666" s="8" t="s">
        <v>4639</v>
      </c>
      <c r="AA1666" s="7" t="n">
        <v>519</v>
      </c>
      <c r="AB1666" s="7" t="n">
        <v>323</v>
      </c>
      <c r="AC1666" s="7" t="n">
        <v>1046</v>
      </c>
      <c r="AD1666" s="7" t="n">
        <v>3</v>
      </c>
      <c r="AE1666" s="7" t="n">
        <v>13</v>
      </c>
      <c r="AF1666" s="7" t="n">
        <v>16</v>
      </c>
      <c r="AG1666" s="7" t="n">
        <v>52</v>
      </c>
      <c r="AH1666" s="7" t="n">
        <v>5</v>
      </c>
      <c r="AI1666" s="7" t="n">
        <v>17</v>
      </c>
      <c r="AJ1666" s="7" t="n">
        <v>5</v>
      </c>
      <c r="AK1666" s="7" t="n">
        <v>11</v>
      </c>
      <c r="AL1666" s="7" t="n">
        <v>9</v>
      </c>
      <c r="AM1666" s="7" t="n">
        <v>21</v>
      </c>
      <c r="AN1666" s="7" t="n">
        <v>2</v>
      </c>
      <c r="AO1666" s="7" t="n">
        <v>11</v>
      </c>
      <c r="AP1666" s="7" t="n">
        <v>0</v>
      </c>
      <c r="AQ1666" s="7" t="n">
        <v>2</v>
      </c>
      <c r="AR1666" s="6" t="s">
        <v>63</v>
      </c>
      <c r="AS1666" s="6" t="s">
        <v>63</v>
      </c>
      <c r="AT1666" s="28"/>
      <c r="AU1666" s="9" t="str">
        <f aca="false">HYPERLINK("https://creighton-primo.hosted.exlibrisgroup.com/primo-explore/search?tab=default_tab&amp;search_scope=EVERYTHING&amp;vid=01CRU&amp;lang=en_US&amp;offset=0&amp;query=any,contains,991000089059702656","Catalog Record")</f>
        <v>Catalog Record</v>
      </c>
      <c r="AV1666" s="9" t="str">
        <f aca="false">HYPERLINK("http://www.worldcat.org/oclc/34988","WorldCat Record")</f>
        <v>WorldCat Record</v>
      </c>
      <c r="AW1666" s="6" t="s">
        <v>14232</v>
      </c>
      <c r="AX1666" s="6" t="s">
        <v>14233</v>
      </c>
      <c r="AY1666" s="6" t="s">
        <v>14234</v>
      </c>
      <c r="AZ1666" s="6" t="s">
        <v>14234</v>
      </c>
      <c r="BA1666" s="6" t="s">
        <v>14235</v>
      </c>
      <c r="BB1666" s="6" t="s">
        <v>14236</v>
      </c>
      <c r="BC1666" s="6" t="s">
        <v>14237</v>
      </c>
      <c r="BE1666" s="15" t="s">
        <v>2145</v>
      </c>
      <c r="BF1666" s="6" t="s">
        <v>14238</v>
      </c>
    </row>
    <row r="1667" customFormat="false" ht="324" hidden="false" customHeight="false" outlineLevel="0" collapsed="false">
      <c r="A1667" s="26" t="s">
        <v>63</v>
      </c>
      <c r="B1667" s="27" t="s">
        <v>2129</v>
      </c>
      <c r="C1667" s="27" t="s">
        <v>2130</v>
      </c>
      <c r="D1667" s="27" t="s">
        <v>14239</v>
      </c>
      <c r="E1667" s="27" t="s">
        <v>14240</v>
      </c>
      <c r="F1667" s="27" t="s">
        <v>14241</v>
      </c>
      <c r="G1667" s="6" t="s">
        <v>1513</v>
      </c>
      <c r="H1667" s="6" t="s">
        <v>57</v>
      </c>
      <c r="I1667" s="6" t="s">
        <v>62</v>
      </c>
      <c r="J1667" s="6" t="s">
        <v>63</v>
      </c>
      <c r="K1667" s="6" t="s">
        <v>63</v>
      </c>
      <c r="L1667" s="6" t="s">
        <v>64</v>
      </c>
      <c r="M1667" s="27" t="s">
        <v>14242</v>
      </c>
      <c r="N1667" s="27" t="s">
        <v>14243</v>
      </c>
      <c r="O1667" s="6" t="s">
        <v>3340</v>
      </c>
      <c r="P1667" s="28"/>
      <c r="Q1667" s="6" t="s">
        <v>67</v>
      </c>
      <c r="R1667" s="6" t="s">
        <v>14244</v>
      </c>
      <c r="S1667" s="28"/>
      <c r="T1667" s="6" t="s">
        <v>6138</v>
      </c>
      <c r="U1667" s="7" t="n">
        <v>0</v>
      </c>
      <c r="V1667" s="7" t="n">
        <v>3</v>
      </c>
      <c r="W1667" s="28"/>
      <c r="X1667" s="8" t="s">
        <v>14245</v>
      </c>
      <c r="Y1667" s="8" t="s">
        <v>4639</v>
      </c>
      <c r="Z1667" s="8" t="s">
        <v>4639</v>
      </c>
      <c r="AA1667" s="7" t="n">
        <v>218</v>
      </c>
      <c r="AB1667" s="7" t="n">
        <v>216</v>
      </c>
      <c r="AC1667" s="7" t="n">
        <v>238</v>
      </c>
      <c r="AD1667" s="7" t="n">
        <v>3</v>
      </c>
      <c r="AE1667" s="7" t="n">
        <v>4</v>
      </c>
      <c r="AF1667" s="7" t="n">
        <v>17</v>
      </c>
      <c r="AG1667" s="7" t="n">
        <v>17</v>
      </c>
      <c r="AH1667" s="7" t="n">
        <v>9</v>
      </c>
      <c r="AI1667" s="7" t="n">
        <v>9</v>
      </c>
      <c r="AJ1667" s="7" t="n">
        <v>1</v>
      </c>
      <c r="AK1667" s="7" t="n">
        <v>1</v>
      </c>
      <c r="AL1667" s="7" t="n">
        <v>13</v>
      </c>
      <c r="AM1667" s="7" t="n">
        <v>13</v>
      </c>
      <c r="AN1667" s="7" t="n">
        <v>1</v>
      </c>
      <c r="AO1667" s="7" t="n">
        <v>1</v>
      </c>
      <c r="AP1667" s="7" t="n">
        <v>0</v>
      </c>
      <c r="AQ1667" s="7" t="n">
        <v>0</v>
      </c>
      <c r="AR1667" s="6" t="s">
        <v>63</v>
      </c>
      <c r="AS1667" s="6" t="s">
        <v>63</v>
      </c>
      <c r="AT1667" s="28"/>
      <c r="AU1667" s="9" t="str">
        <f aca="false">HYPERLINK("https://creighton-primo.hosted.exlibrisgroup.com/primo-explore/search?tab=default_tab&amp;search_scope=EVERYTHING&amp;vid=01CRU&amp;lang=en_US&amp;offset=0&amp;query=any,contains,991004477949702656","Catalog Record")</f>
        <v>Catalog Record</v>
      </c>
      <c r="AV1667" s="9" t="str">
        <f aca="false">HYPERLINK("http://www.worldcat.org/oclc/3614688","WorldCat Record")</f>
        <v>WorldCat Record</v>
      </c>
      <c r="AW1667" s="6" t="s">
        <v>14246</v>
      </c>
      <c r="AX1667" s="6" t="s">
        <v>14247</v>
      </c>
      <c r="AY1667" s="6" t="s">
        <v>14248</v>
      </c>
      <c r="AZ1667" s="6" t="s">
        <v>14248</v>
      </c>
      <c r="BA1667" s="6" t="s">
        <v>14249</v>
      </c>
      <c r="BB1667" s="28"/>
      <c r="BC1667" s="6" t="s">
        <v>14250</v>
      </c>
      <c r="BE1667" s="15" t="s">
        <v>2145</v>
      </c>
      <c r="BF1667" s="6" t="s">
        <v>14251</v>
      </c>
    </row>
    <row r="1668" customFormat="false" ht="324" hidden="false" customHeight="false" outlineLevel="0" collapsed="false">
      <c r="A1668" s="26" t="s">
        <v>63</v>
      </c>
      <c r="B1668" s="27" t="s">
        <v>2129</v>
      </c>
      <c r="C1668" s="27" t="s">
        <v>2130</v>
      </c>
      <c r="D1668" s="27" t="s">
        <v>14239</v>
      </c>
      <c r="E1668" s="27" t="s">
        <v>14240</v>
      </c>
      <c r="F1668" s="27" t="s">
        <v>14241</v>
      </c>
      <c r="G1668" s="6" t="s">
        <v>498</v>
      </c>
      <c r="H1668" s="6" t="s">
        <v>57</v>
      </c>
      <c r="I1668" s="6" t="s">
        <v>62</v>
      </c>
      <c r="J1668" s="6" t="s">
        <v>63</v>
      </c>
      <c r="K1668" s="6" t="s">
        <v>63</v>
      </c>
      <c r="L1668" s="6" t="s">
        <v>64</v>
      </c>
      <c r="M1668" s="27" t="s">
        <v>14242</v>
      </c>
      <c r="N1668" s="27" t="s">
        <v>14243</v>
      </c>
      <c r="O1668" s="6" t="s">
        <v>3340</v>
      </c>
      <c r="P1668" s="28"/>
      <c r="Q1668" s="6" t="s">
        <v>67</v>
      </c>
      <c r="R1668" s="6" t="s">
        <v>14244</v>
      </c>
      <c r="S1668" s="28"/>
      <c r="T1668" s="6" t="s">
        <v>6138</v>
      </c>
      <c r="U1668" s="7" t="n">
        <v>0</v>
      </c>
      <c r="V1668" s="7" t="n">
        <v>3</v>
      </c>
      <c r="W1668" s="28"/>
      <c r="X1668" s="8" t="s">
        <v>14245</v>
      </c>
      <c r="Y1668" s="8" t="s">
        <v>4639</v>
      </c>
      <c r="Z1668" s="8" t="s">
        <v>4639</v>
      </c>
      <c r="AA1668" s="7" t="n">
        <v>218</v>
      </c>
      <c r="AB1668" s="7" t="n">
        <v>216</v>
      </c>
      <c r="AC1668" s="7" t="n">
        <v>238</v>
      </c>
      <c r="AD1668" s="7" t="n">
        <v>3</v>
      </c>
      <c r="AE1668" s="7" t="n">
        <v>4</v>
      </c>
      <c r="AF1668" s="7" t="n">
        <v>17</v>
      </c>
      <c r="AG1668" s="7" t="n">
        <v>17</v>
      </c>
      <c r="AH1668" s="7" t="n">
        <v>9</v>
      </c>
      <c r="AI1668" s="7" t="n">
        <v>9</v>
      </c>
      <c r="AJ1668" s="7" t="n">
        <v>1</v>
      </c>
      <c r="AK1668" s="7" t="n">
        <v>1</v>
      </c>
      <c r="AL1668" s="7" t="n">
        <v>13</v>
      </c>
      <c r="AM1668" s="7" t="n">
        <v>13</v>
      </c>
      <c r="AN1668" s="7" t="n">
        <v>1</v>
      </c>
      <c r="AO1668" s="7" t="n">
        <v>1</v>
      </c>
      <c r="AP1668" s="7" t="n">
        <v>0</v>
      </c>
      <c r="AQ1668" s="7" t="n">
        <v>0</v>
      </c>
      <c r="AR1668" s="6" t="s">
        <v>63</v>
      </c>
      <c r="AS1668" s="6" t="s">
        <v>63</v>
      </c>
      <c r="AT1668" s="28"/>
      <c r="AU1668" s="9" t="str">
        <f aca="false">HYPERLINK("https://creighton-primo.hosted.exlibrisgroup.com/primo-explore/search?tab=default_tab&amp;search_scope=EVERYTHING&amp;vid=01CRU&amp;lang=en_US&amp;offset=0&amp;query=any,contains,991004477949702656","Catalog Record")</f>
        <v>Catalog Record</v>
      </c>
      <c r="AV1668" s="9" t="str">
        <f aca="false">HYPERLINK("http://www.worldcat.org/oclc/3614688","WorldCat Record")</f>
        <v>WorldCat Record</v>
      </c>
      <c r="AW1668" s="6" t="s">
        <v>14246</v>
      </c>
      <c r="AX1668" s="6" t="s">
        <v>14247</v>
      </c>
      <c r="AY1668" s="6" t="s">
        <v>14248</v>
      </c>
      <c r="AZ1668" s="6" t="s">
        <v>14248</v>
      </c>
      <c r="BA1668" s="6" t="s">
        <v>14249</v>
      </c>
      <c r="BB1668" s="28"/>
      <c r="BC1668" s="6" t="s">
        <v>14252</v>
      </c>
      <c r="BE1668" s="15" t="s">
        <v>2145</v>
      </c>
      <c r="BF1668" s="6" t="s">
        <v>14253</v>
      </c>
    </row>
    <row r="1669" customFormat="false" ht="324" hidden="false" customHeight="false" outlineLevel="0" collapsed="false">
      <c r="A1669" s="26" t="s">
        <v>63</v>
      </c>
      <c r="B1669" s="27" t="s">
        <v>2129</v>
      </c>
      <c r="C1669" s="27" t="s">
        <v>2130</v>
      </c>
      <c r="D1669" s="27" t="s">
        <v>14239</v>
      </c>
      <c r="E1669" s="27" t="s">
        <v>14240</v>
      </c>
      <c r="F1669" s="27" t="s">
        <v>14241</v>
      </c>
      <c r="G1669" s="6" t="s">
        <v>1510</v>
      </c>
      <c r="H1669" s="6" t="s">
        <v>57</v>
      </c>
      <c r="I1669" s="6" t="s">
        <v>62</v>
      </c>
      <c r="J1669" s="6" t="s">
        <v>63</v>
      </c>
      <c r="K1669" s="6" t="s">
        <v>63</v>
      </c>
      <c r="L1669" s="6" t="s">
        <v>64</v>
      </c>
      <c r="M1669" s="27" t="s">
        <v>14242</v>
      </c>
      <c r="N1669" s="27" t="s">
        <v>14243</v>
      </c>
      <c r="O1669" s="6" t="s">
        <v>3340</v>
      </c>
      <c r="P1669" s="28"/>
      <c r="Q1669" s="6" t="s">
        <v>67</v>
      </c>
      <c r="R1669" s="6" t="s">
        <v>14244</v>
      </c>
      <c r="S1669" s="28"/>
      <c r="T1669" s="6" t="s">
        <v>6138</v>
      </c>
      <c r="U1669" s="7" t="n">
        <v>3</v>
      </c>
      <c r="V1669" s="7" t="n">
        <v>3</v>
      </c>
      <c r="W1669" s="8" t="s">
        <v>14245</v>
      </c>
      <c r="X1669" s="8" t="s">
        <v>14245</v>
      </c>
      <c r="Y1669" s="8" t="s">
        <v>4639</v>
      </c>
      <c r="Z1669" s="8" t="s">
        <v>4639</v>
      </c>
      <c r="AA1669" s="7" t="n">
        <v>218</v>
      </c>
      <c r="AB1669" s="7" t="n">
        <v>216</v>
      </c>
      <c r="AC1669" s="7" t="n">
        <v>238</v>
      </c>
      <c r="AD1669" s="7" t="n">
        <v>3</v>
      </c>
      <c r="AE1669" s="7" t="n">
        <v>4</v>
      </c>
      <c r="AF1669" s="7" t="n">
        <v>17</v>
      </c>
      <c r="AG1669" s="7" t="n">
        <v>17</v>
      </c>
      <c r="AH1669" s="7" t="n">
        <v>9</v>
      </c>
      <c r="AI1669" s="7" t="n">
        <v>9</v>
      </c>
      <c r="AJ1669" s="7" t="n">
        <v>1</v>
      </c>
      <c r="AK1669" s="7" t="n">
        <v>1</v>
      </c>
      <c r="AL1669" s="7" t="n">
        <v>13</v>
      </c>
      <c r="AM1669" s="7" t="n">
        <v>13</v>
      </c>
      <c r="AN1669" s="7" t="n">
        <v>1</v>
      </c>
      <c r="AO1669" s="7" t="n">
        <v>1</v>
      </c>
      <c r="AP1669" s="7" t="n">
        <v>0</v>
      </c>
      <c r="AQ1669" s="7" t="n">
        <v>0</v>
      </c>
      <c r="AR1669" s="6" t="s">
        <v>63</v>
      </c>
      <c r="AS1669" s="6" t="s">
        <v>63</v>
      </c>
      <c r="AT1669" s="28"/>
      <c r="AU1669" s="9" t="str">
        <f aca="false">HYPERLINK("https://creighton-primo.hosted.exlibrisgroup.com/primo-explore/search?tab=default_tab&amp;search_scope=EVERYTHING&amp;vid=01CRU&amp;lang=en_US&amp;offset=0&amp;query=any,contains,991004477949702656","Catalog Record")</f>
        <v>Catalog Record</v>
      </c>
      <c r="AV1669" s="9" t="str">
        <f aca="false">HYPERLINK("http://www.worldcat.org/oclc/3614688","WorldCat Record")</f>
        <v>WorldCat Record</v>
      </c>
      <c r="AW1669" s="6" t="s">
        <v>14246</v>
      </c>
      <c r="AX1669" s="6" t="s">
        <v>14247</v>
      </c>
      <c r="AY1669" s="6" t="s">
        <v>14248</v>
      </c>
      <c r="AZ1669" s="6" t="s">
        <v>14248</v>
      </c>
      <c r="BA1669" s="6" t="s">
        <v>14249</v>
      </c>
      <c r="BB1669" s="28"/>
      <c r="BC1669" s="6" t="s">
        <v>14254</v>
      </c>
      <c r="BE1669" s="15" t="s">
        <v>2145</v>
      </c>
      <c r="BF1669" s="6" t="s">
        <v>14255</v>
      </c>
    </row>
    <row r="1670" customFormat="false" ht="324" hidden="false" customHeight="false" outlineLevel="0" collapsed="false">
      <c r="A1670" s="26" t="s">
        <v>63</v>
      </c>
      <c r="B1670" s="27" t="s">
        <v>2129</v>
      </c>
      <c r="C1670" s="27" t="s">
        <v>2130</v>
      </c>
      <c r="D1670" s="27" t="s">
        <v>14239</v>
      </c>
      <c r="E1670" s="27" t="s">
        <v>14240</v>
      </c>
      <c r="F1670" s="27" t="s">
        <v>14241</v>
      </c>
      <c r="G1670" s="6" t="s">
        <v>1512</v>
      </c>
      <c r="H1670" s="6" t="s">
        <v>57</v>
      </c>
      <c r="I1670" s="6" t="s">
        <v>62</v>
      </c>
      <c r="J1670" s="6" t="s">
        <v>63</v>
      </c>
      <c r="K1670" s="6" t="s">
        <v>63</v>
      </c>
      <c r="L1670" s="6" t="s">
        <v>64</v>
      </c>
      <c r="M1670" s="27" t="s">
        <v>14242</v>
      </c>
      <c r="N1670" s="27" t="s">
        <v>14243</v>
      </c>
      <c r="O1670" s="6" t="s">
        <v>3340</v>
      </c>
      <c r="P1670" s="28"/>
      <c r="Q1670" s="6" t="s">
        <v>67</v>
      </c>
      <c r="R1670" s="6" t="s">
        <v>14244</v>
      </c>
      <c r="S1670" s="28"/>
      <c r="T1670" s="6" t="s">
        <v>6138</v>
      </c>
      <c r="U1670" s="7" t="n">
        <v>0</v>
      </c>
      <c r="V1670" s="7" t="n">
        <v>3</v>
      </c>
      <c r="W1670" s="28"/>
      <c r="X1670" s="8" t="s">
        <v>14245</v>
      </c>
      <c r="Y1670" s="8" t="s">
        <v>4639</v>
      </c>
      <c r="Z1670" s="8" t="s">
        <v>4639</v>
      </c>
      <c r="AA1670" s="7" t="n">
        <v>218</v>
      </c>
      <c r="AB1670" s="7" t="n">
        <v>216</v>
      </c>
      <c r="AC1670" s="7" t="n">
        <v>238</v>
      </c>
      <c r="AD1670" s="7" t="n">
        <v>3</v>
      </c>
      <c r="AE1670" s="7" t="n">
        <v>4</v>
      </c>
      <c r="AF1670" s="7" t="n">
        <v>17</v>
      </c>
      <c r="AG1670" s="7" t="n">
        <v>17</v>
      </c>
      <c r="AH1670" s="7" t="n">
        <v>9</v>
      </c>
      <c r="AI1670" s="7" t="n">
        <v>9</v>
      </c>
      <c r="AJ1670" s="7" t="n">
        <v>1</v>
      </c>
      <c r="AK1670" s="7" t="n">
        <v>1</v>
      </c>
      <c r="AL1670" s="7" t="n">
        <v>13</v>
      </c>
      <c r="AM1670" s="7" t="n">
        <v>13</v>
      </c>
      <c r="AN1670" s="7" t="n">
        <v>1</v>
      </c>
      <c r="AO1670" s="7" t="n">
        <v>1</v>
      </c>
      <c r="AP1670" s="7" t="n">
        <v>0</v>
      </c>
      <c r="AQ1670" s="7" t="n">
        <v>0</v>
      </c>
      <c r="AR1670" s="6" t="s">
        <v>63</v>
      </c>
      <c r="AS1670" s="6" t="s">
        <v>63</v>
      </c>
      <c r="AT1670" s="28"/>
      <c r="AU1670" s="9" t="str">
        <f aca="false">HYPERLINK("https://creighton-primo.hosted.exlibrisgroup.com/primo-explore/search?tab=default_tab&amp;search_scope=EVERYTHING&amp;vid=01CRU&amp;lang=en_US&amp;offset=0&amp;query=any,contains,991004477949702656","Catalog Record")</f>
        <v>Catalog Record</v>
      </c>
      <c r="AV1670" s="9" t="str">
        <f aca="false">HYPERLINK("http://www.worldcat.org/oclc/3614688","WorldCat Record")</f>
        <v>WorldCat Record</v>
      </c>
      <c r="AW1670" s="6" t="s">
        <v>14246</v>
      </c>
      <c r="AX1670" s="6" t="s">
        <v>14247</v>
      </c>
      <c r="AY1670" s="6" t="s">
        <v>14248</v>
      </c>
      <c r="AZ1670" s="6" t="s">
        <v>14248</v>
      </c>
      <c r="BA1670" s="6" t="s">
        <v>14249</v>
      </c>
      <c r="BB1670" s="28"/>
      <c r="BC1670" s="6" t="s">
        <v>14256</v>
      </c>
      <c r="BE1670" s="15" t="s">
        <v>2145</v>
      </c>
      <c r="BF1670" s="6" t="s">
        <v>14257</v>
      </c>
    </row>
    <row r="1671" customFormat="false" ht="324" hidden="false" customHeight="false" outlineLevel="0" collapsed="false">
      <c r="A1671" s="26" t="s">
        <v>63</v>
      </c>
      <c r="B1671" s="27" t="s">
        <v>2129</v>
      </c>
      <c r="C1671" s="27" t="s">
        <v>2130</v>
      </c>
      <c r="D1671" s="27" t="s">
        <v>14239</v>
      </c>
      <c r="E1671" s="27" t="s">
        <v>14240</v>
      </c>
      <c r="F1671" s="27" t="s">
        <v>14241</v>
      </c>
      <c r="G1671" s="6" t="s">
        <v>502</v>
      </c>
      <c r="H1671" s="6" t="s">
        <v>57</v>
      </c>
      <c r="I1671" s="6" t="s">
        <v>62</v>
      </c>
      <c r="J1671" s="6" t="s">
        <v>63</v>
      </c>
      <c r="K1671" s="6" t="s">
        <v>63</v>
      </c>
      <c r="L1671" s="6" t="s">
        <v>64</v>
      </c>
      <c r="M1671" s="27" t="s">
        <v>14242</v>
      </c>
      <c r="N1671" s="27" t="s">
        <v>14243</v>
      </c>
      <c r="O1671" s="6" t="s">
        <v>3340</v>
      </c>
      <c r="P1671" s="28"/>
      <c r="Q1671" s="6" t="s">
        <v>67</v>
      </c>
      <c r="R1671" s="6" t="s">
        <v>14244</v>
      </c>
      <c r="S1671" s="28"/>
      <c r="T1671" s="6" t="s">
        <v>6138</v>
      </c>
      <c r="U1671" s="7" t="n">
        <v>0</v>
      </c>
      <c r="V1671" s="7" t="n">
        <v>3</v>
      </c>
      <c r="W1671" s="28"/>
      <c r="X1671" s="8" t="s">
        <v>14245</v>
      </c>
      <c r="Y1671" s="8" t="s">
        <v>4639</v>
      </c>
      <c r="Z1671" s="8" t="s">
        <v>4639</v>
      </c>
      <c r="AA1671" s="7" t="n">
        <v>218</v>
      </c>
      <c r="AB1671" s="7" t="n">
        <v>216</v>
      </c>
      <c r="AC1671" s="7" t="n">
        <v>238</v>
      </c>
      <c r="AD1671" s="7" t="n">
        <v>3</v>
      </c>
      <c r="AE1671" s="7" t="n">
        <v>4</v>
      </c>
      <c r="AF1671" s="7" t="n">
        <v>17</v>
      </c>
      <c r="AG1671" s="7" t="n">
        <v>17</v>
      </c>
      <c r="AH1671" s="7" t="n">
        <v>9</v>
      </c>
      <c r="AI1671" s="7" t="n">
        <v>9</v>
      </c>
      <c r="AJ1671" s="7" t="n">
        <v>1</v>
      </c>
      <c r="AK1671" s="7" t="n">
        <v>1</v>
      </c>
      <c r="AL1671" s="7" t="n">
        <v>13</v>
      </c>
      <c r="AM1671" s="7" t="n">
        <v>13</v>
      </c>
      <c r="AN1671" s="7" t="n">
        <v>1</v>
      </c>
      <c r="AO1671" s="7" t="n">
        <v>1</v>
      </c>
      <c r="AP1671" s="7" t="n">
        <v>0</v>
      </c>
      <c r="AQ1671" s="7" t="n">
        <v>0</v>
      </c>
      <c r="AR1671" s="6" t="s">
        <v>63</v>
      </c>
      <c r="AS1671" s="6" t="s">
        <v>63</v>
      </c>
      <c r="AT1671" s="28"/>
      <c r="AU1671" s="9" t="str">
        <f aca="false">HYPERLINK("https://creighton-primo.hosted.exlibrisgroup.com/primo-explore/search?tab=default_tab&amp;search_scope=EVERYTHING&amp;vid=01CRU&amp;lang=en_US&amp;offset=0&amp;query=any,contains,991004477949702656","Catalog Record")</f>
        <v>Catalog Record</v>
      </c>
      <c r="AV1671" s="9" t="str">
        <f aca="false">HYPERLINK("http://www.worldcat.org/oclc/3614688","WorldCat Record")</f>
        <v>WorldCat Record</v>
      </c>
      <c r="AW1671" s="6" t="s">
        <v>14246</v>
      </c>
      <c r="AX1671" s="6" t="s">
        <v>14247</v>
      </c>
      <c r="AY1671" s="6" t="s">
        <v>14248</v>
      </c>
      <c r="AZ1671" s="6" t="s">
        <v>14248</v>
      </c>
      <c r="BA1671" s="6" t="s">
        <v>14249</v>
      </c>
      <c r="BB1671" s="28"/>
      <c r="BC1671" s="6" t="s">
        <v>14258</v>
      </c>
      <c r="BE1671" s="15" t="s">
        <v>2145</v>
      </c>
      <c r="BF1671" s="6" t="s">
        <v>14259</v>
      </c>
    </row>
    <row r="1672" customFormat="false" ht="197.5" hidden="false" customHeight="false" outlineLevel="0" collapsed="false">
      <c r="A1672" s="26" t="s">
        <v>63</v>
      </c>
      <c r="B1672" s="27" t="s">
        <v>2129</v>
      </c>
      <c r="C1672" s="27" t="s">
        <v>2130</v>
      </c>
      <c r="D1672" s="27" t="s">
        <v>14260</v>
      </c>
      <c r="E1672" s="27" t="s">
        <v>14261</v>
      </c>
      <c r="F1672" s="27" t="s">
        <v>14262</v>
      </c>
      <c r="G1672" s="28"/>
      <c r="H1672" s="6" t="s">
        <v>63</v>
      </c>
      <c r="I1672" s="6" t="s">
        <v>62</v>
      </c>
      <c r="J1672" s="6" t="s">
        <v>63</v>
      </c>
      <c r="K1672" s="6" t="s">
        <v>63</v>
      </c>
      <c r="L1672" s="6" t="s">
        <v>64</v>
      </c>
      <c r="M1672" s="27" t="s">
        <v>14263</v>
      </c>
      <c r="N1672" s="27" t="s">
        <v>14264</v>
      </c>
      <c r="O1672" s="6" t="s">
        <v>14265</v>
      </c>
      <c r="P1672" s="28"/>
      <c r="Q1672" s="6" t="s">
        <v>67</v>
      </c>
      <c r="R1672" s="6" t="s">
        <v>68</v>
      </c>
      <c r="S1672" s="28"/>
      <c r="T1672" s="6" t="s">
        <v>6138</v>
      </c>
      <c r="U1672" s="7" t="n">
        <v>12</v>
      </c>
      <c r="V1672" s="7" t="n">
        <v>12</v>
      </c>
      <c r="W1672" s="8" t="s">
        <v>14266</v>
      </c>
      <c r="X1672" s="8" t="s">
        <v>14266</v>
      </c>
      <c r="Y1672" s="8" t="s">
        <v>14267</v>
      </c>
      <c r="Z1672" s="8" t="s">
        <v>14267</v>
      </c>
      <c r="AA1672" s="7" t="n">
        <v>119</v>
      </c>
      <c r="AB1672" s="7" t="n">
        <v>106</v>
      </c>
      <c r="AC1672" s="7" t="n">
        <v>123</v>
      </c>
      <c r="AD1672" s="7" t="n">
        <v>1</v>
      </c>
      <c r="AE1672" s="7" t="n">
        <v>1</v>
      </c>
      <c r="AF1672" s="7" t="n">
        <v>4</v>
      </c>
      <c r="AG1672" s="7" t="n">
        <v>5</v>
      </c>
      <c r="AH1672" s="7" t="n">
        <v>2</v>
      </c>
      <c r="AI1672" s="7" t="n">
        <v>2</v>
      </c>
      <c r="AJ1672" s="7" t="n">
        <v>2</v>
      </c>
      <c r="AK1672" s="7" t="n">
        <v>2</v>
      </c>
      <c r="AL1672" s="7" t="n">
        <v>2</v>
      </c>
      <c r="AM1672" s="7" t="n">
        <v>3</v>
      </c>
      <c r="AN1672" s="7" t="n">
        <v>0</v>
      </c>
      <c r="AO1672" s="7" t="n">
        <v>0</v>
      </c>
      <c r="AP1672" s="7" t="n">
        <v>0</v>
      </c>
      <c r="AQ1672" s="7" t="n">
        <v>0</v>
      </c>
      <c r="AR1672" s="6" t="s">
        <v>63</v>
      </c>
      <c r="AS1672" s="6" t="s">
        <v>63</v>
      </c>
      <c r="AT1672" s="28"/>
      <c r="AU1672" s="9" t="str">
        <f aca="false">HYPERLINK("https://creighton-primo.hosted.exlibrisgroup.com/primo-explore/search?tab=default_tab&amp;search_scope=EVERYTHING&amp;vid=01CRU&amp;lang=en_US&amp;offset=0&amp;query=any,contains,991003776599702656","Catalog Record")</f>
        <v>Catalog Record</v>
      </c>
      <c r="AV1672" s="9" t="str">
        <f aca="false">HYPERLINK("http://www.worldcat.org/oclc/1484847","WorldCat Record")</f>
        <v>WorldCat Record</v>
      </c>
      <c r="AW1672" s="6" t="s">
        <v>14268</v>
      </c>
      <c r="AX1672" s="6" t="s">
        <v>14269</v>
      </c>
      <c r="AY1672" s="6" t="s">
        <v>14270</v>
      </c>
      <c r="AZ1672" s="6" t="s">
        <v>14270</v>
      </c>
      <c r="BA1672" s="6" t="s">
        <v>14271</v>
      </c>
      <c r="BB1672" s="28"/>
      <c r="BC1672" s="6" t="s">
        <v>14272</v>
      </c>
      <c r="BE1672" s="15" t="s">
        <v>2145</v>
      </c>
      <c r="BF1672" s="6" t="s">
        <v>14273</v>
      </c>
    </row>
    <row r="1673" customFormat="false" ht="347.5" hidden="false" customHeight="false" outlineLevel="0" collapsed="false">
      <c r="A1673" s="26" t="s">
        <v>63</v>
      </c>
      <c r="B1673" s="27" t="s">
        <v>2129</v>
      </c>
      <c r="C1673" s="27" t="s">
        <v>2130</v>
      </c>
      <c r="D1673" s="27" t="s">
        <v>14274</v>
      </c>
      <c r="E1673" s="27" t="s">
        <v>14275</v>
      </c>
      <c r="F1673" s="27" t="s">
        <v>14276</v>
      </c>
      <c r="G1673" s="28"/>
      <c r="H1673" s="6" t="s">
        <v>63</v>
      </c>
      <c r="I1673" s="6" t="s">
        <v>62</v>
      </c>
      <c r="J1673" s="6" t="s">
        <v>63</v>
      </c>
      <c r="K1673" s="6" t="s">
        <v>63</v>
      </c>
      <c r="L1673" s="6" t="s">
        <v>64</v>
      </c>
      <c r="M1673" s="27" t="s">
        <v>14263</v>
      </c>
      <c r="N1673" s="27" t="s">
        <v>14277</v>
      </c>
      <c r="O1673" s="6" t="s">
        <v>14278</v>
      </c>
      <c r="P1673" s="28"/>
      <c r="Q1673" s="6" t="s">
        <v>67</v>
      </c>
      <c r="R1673" s="6" t="s">
        <v>68</v>
      </c>
      <c r="S1673" s="28"/>
      <c r="T1673" s="6" t="s">
        <v>6138</v>
      </c>
      <c r="U1673" s="7" t="n">
        <v>4</v>
      </c>
      <c r="V1673" s="7" t="n">
        <v>4</v>
      </c>
      <c r="W1673" s="8" t="s">
        <v>14279</v>
      </c>
      <c r="X1673" s="8" t="s">
        <v>14279</v>
      </c>
      <c r="Y1673" s="8" t="s">
        <v>14267</v>
      </c>
      <c r="Z1673" s="8" t="s">
        <v>14267</v>
      </c>
      <c r="AA1673" s="7" t="n">
        <v>140</v>
      </c>
      <c r="AB1673" s="7" t="n">
        <v>137</v>
      </c>
      <c r="AC1673" s="7" t="n">
        <v>240</v>
      </c>
      <c r="AD1673" s="7" t="n">
        <v>1</v>
      </c>
      <c r="AE1673" s="7" t="n">
        <v>3</v>
      </c>
      <c r="AF1673" s="7" t="n">
        <v>5</v>
      </c>
      <c r="AG1673" s="7" t="n">
        <v>14</v>
      </c>
      <c r="AH1673" s="7" t="n">
        <v>3</v>
      </c>
      <c r="AI1673" s="7" t="n">
        <v>5</v>
      </c>
      <c r="AJ1673" s="7" t="n">
        <v>0</v>
      </c>
      <c r="AK1673" s="7" t="n">
        <v>1</v>
      </c>
      <c r="AL1673" s="7" t="n">
        <v>3</v>
      </c>
      <c r="AM1673" s="7" t="n">
        <v>7</v>
      </c>
      <c r="AN1673" s="7" t="n">
        <v>0</v>
      </c>
      <c r="AO1673" s="7" t="n">
        <v>2</v>
      </c>
      <c r="AP1673" s="7" t="n">
        <v>0</v>
      </c>
      <c r="AQ1673" s="7" t="n">
        <v>0</v>
      </c>
      <c r="AR1673" s="6" t="s">
        <v>57</v>
      </c>
      <c r="AS1673" s="6" t="s">
        <v>63</v>
      </c>
      <c r="AT1673" s="9" t="str">
        <f aca="false">HYPERLINK("http://catalog.hathitrust.org/Record/001395475","HathiTrust Record")</f>
        <v>HathiTrust Record</v>
      </c>
      <c r="AU1673" s="9" t="str">
        <f aca="false">HYPERLINK("https://creighton-primo.hosted.exlibrisgroup.com/primo-explore/search?tab=default_tab&amp;search_scope=EVERYTHING&amp;vid=01CRU&amp;lang=en_US&amp;offset=0&amp;query=any,contains,991003233029702656","Catalog Record")</f>
        <v>Catalog Record</v>
      </c>
      <c r="AV1673" s="9" t="str">
        <f aca="false">HYPERLINK("http://www.worldcat.org/oclc/757450","WorldCat Record")</f>
        <v>WorldCat Record</v>
      </c>
      <c r="AW1673" s="6" t="s">
        <v>14280</v>
      </c>
      <c r="AX1673" s="6" t="s">
        <v>14281</v>
      </c>
      <c r="AY1673" s="6" t="s">
        <v>14282</v>
      </c>
      <c r="AZ1673" s="6" t="s">
        <v>14282</v>
      </c>
      <c r="BA1673" s="6" t="s">
        <v>14283</v>
      </c>
      <c r="BB1673" s="28"/>
      <c r="BC1673" s="6" t="s">
        <v>14284</v>
      </c>
      <c r="BE1673" s="15" t="s">
        <v>2145</v>
      </c>
      <c r="BF1673" s="6" t="s">
        <v>14285</v>
      </c>
    </row>
    <row r="1674" customFormat="false" ht="266.5" hidden="false" customHeight="false" outlineLevel="0" collapsed="false">
      <c r="A1674" s="26" t="s">
        <v>57</v>
      </c>
      <c r="B1674" s="27" t="s">
        <v>2129</v>
      </c>
      <c r="C1674" s="27" t="s">
        <v>2130</v>
      </c>
      <c r="D1674" s="27" t="s">
        <v>14286</v>
      </c>
      <c r="E1674" s="27" t="s">
        <v>14287</v>
      </c>
      <c r="F1674" s="27" t="s">
        <v>14288</v>
      </c>
      <c r="G1674" s="28"/>
      <c r="H1674" s="6" t="s">
        <v>63</v>
      </c>
      <c r="I1674" s="6" t="s">
        <v>62</v>
      </c>
      <c r="J1674" s="6" t="s">
        <v>63</v>
      </c>
      <c r="K1674" s="6" t="s">
        <v>63</v>
      </c>
      <c r="L1674" s="6" t="s">
        <v>64</v>
      </c>
      <c r="M1674" s="27" t="s">
        <v>14263</v>
      </c>
      <c r="N1674" s="27" t="s">
        <v>14289</v>
      </c>
      <c r="O1674" s="6" t="s">
        <v>3029</v>
      </c>
      <c r="P1674" s="28"/>
      <c r="Q1674" s="6" t="s">
        <v>67</v>
      </c>
      <c r="R1674" s="6" t="s">
        <v>1108</v>
      </c>
      <c r="S1674" s="27" t="s">
        <v>14290</v>
      </c>
      <c r="T1674" s="6" t="s">
        <v>6138</v>
      </c>
      <c r="U1674" s="7" t="n">
        <v>3</v>
      </c>
      <c r="V1674" s="7" t="n">
        <v>3</v>
      </c>
      <c r="W1674" s="8" t="s">
        <v>14291</v>
      </c>
      <c r="X1674" s="8" t="s">
        <v>14291</v>
      </c>
      <c r="Y1674" s="8" t="s">
        <v>14292</v>
      </c>
      <c r="Z1674" s="8" t="s">
        <v>14292</v>
      </c>
      <c r="AA1674" s="7" t="n">
        <v>176</v>
      </c>
      <c r="AB1674" s="7" t="n">
        <v>162</v>
      </c>
      <c r="AC1674" s="7" t="n">
        <v>1917</v>
      </c>
      <c r="AD1674" s="7" t="n">
        <v>1</v>
      </c>
      <c r="AE1674" s="7" t="n">
        <v>18</v>
      </c>
      <c r="AF1674" s="7" t="n">
        <v>8</v>
      </c>
      <c r="AG1674" s="7" t="n">
        <v>63</v>
      </c>
      <c r="AH1674" s="7" t="n">
        <v>3</v>
      </c>
      <c r="AI1674" s="7" t="n">
        <v>24</v>
      </c>
      <c r="AJ1674" s="7" t="n">
        <v>3</v>
      </c>
      <c r="AK1674" s="7" t="n">
        <v>11</v>
      </c>
      <c r="AL1674" s="7" t="n">
        <v>6</v>
      </c>
      <c r="AM1674" s="7" t="n">
        <v>26</v>
      </c>
      <c r="AN1674" s="7" t="n">
        <v>0</v>
      </c>
      <c r="AO1674" s="7" t="n">
        <v>12</v>
      </c>
      <c r="AP1674" s="7" t="n">
        <v>0</v>
      </c>
      <c r="AQ1674" s="7" t="n">
        <v>4</v>
      </c>
      <c r="AR1674" s="6" t="s">
        <v>63</v>
      </c>
      <c r="AS1674" s="6" t="s">
        <v>63</v>
      </c>
      <c r="AT1674" s="28"/>
      <c r="AU1674" s="9" t="str">
        <f aca="false">HYPERLINK("https://creighton-primo.hosted.exlibrisgroup.com/primo-explore/search?tab=default_tab&amp;search_scope=EVERYTHING&amp;vid=01CRU&amp;lang=en_US&amp;offset=0&amp;query=any,contains,991005196729702656","Catalog Record")</f>
        <v>Catalog Record</v>
      </c>
      <c r="AV1674" s="9" t="str">
        <f aca="false">HYPERLINK("http://www.worldcat.org/oclc/2787710","WorldCat Record")</f>
        <v>WorldCat Record</v>
      </c>
      <c r="AW1674" s="6" t="s">
        <v>14293</v>
      </c>
      <c r="AX1674" s="6" t="s">
        <v>14294</v>
      </c>
      <c r="AY1674" s="6" t="s">
        <v>14295</v>
      </c>
      <c r="AZ1674" s="6" t="s">
        <v>14295</v>
      </c>
      <c r="BA1674" s="6" t="s">
        <v>14296</v>
      </c>
      <c r="BB1674" s="28"/>
      <c r="BC1674" s="6" t="s">
        <v>14297</v>
      </c>
      <c r="BE1674" s="15" t="s">
        <v>2145</v>
      </c>
      <c r="BF1674" s="6" t="s">
        <v>14298</v>
      </c>
    </row>
    <row r="1675" customFormat="false" ht="163" hidden="false" customHeight="false" outlineLevel="0" collapsed="false">
      <c r="A1675" s="26" t="s">
        <v>63</v>
      </c>
      <c r="B1675" s="27" t="s">
        <v>2129</v>
      </c>
      <c r="C1675" s="27" t="s">
        <v>2130</v>
      </c>
      <c r="D1675" s="27" t="s">
        <v>14299</v>
      </c>
      <c r="E1675" s="27" t="s">
        <v>14300</v>
      </c>
      <c r="F1675" s="27" t="s">
        <v>14301</v>
      </c>
      <c r="G1675" s="28"/>
      <c r="H1675" s="6" t="s">
        <v>63</v>
      </c>
      <c r="I1675" s="6" t="s">
        <v>62</v>
      </c>
      <c r="J1675" s="6" t="s">
        <v>63</v>
      </c>
      <c r="K1675" s="6" t="s">
        <v>63</v>
      </c>
      <c r="L1675" s="6" t="s">
        <v>64</v>
      </c>
      <c r="M1675" s="27" t="s">
        <v>14302</v>
      </c>
      <c r="N1675" s="27" t="s">
        <v>14303</v>
      </c>
      <c r="O1675" s="6" t="s">
        <v>208</v>
      </c>
      <c r="P1675" s="28"/>
      <c r="Q1675" s="6" t="s">
        <v>67</v>
      </c>
      <c r="R1675" s="6" t="s">
        <v>68</v>
      </c>
      <c r="S1675" s="27" t="s">
        <v>14304</v>
      </c>
      <c r="T1675" s="6" t="s">
        <v>6138</v>
      </c>
      <c r="U1675" s="7" t="n">
        <v>1</v>
      </c>
      <c r="V1675" s="7" t="n">
        <v>1</v>
      </c>
      <c r="W1675" s="8" t="s">
        <v>14305</v>
      </c>
      <c r="X1675" s="8" t="s">
        <v>14305</v>
      </c>
      <c r="Y1675" s="8" t="s">
        <v>5081</v>
      </c>
      <c r="Z1675" s="8" t="s">
        <v>5081</v>
      </c>
      <c r="AA1675" s="7" t="n">
        <v>143</v>
      </c>
      <c r="AB1675" s="7" t="n">
        <v>102</v>
      </c>
      <c r="AC1675" s="7" t="n">
        <v>104</v>
      </c>
      <c r="AD1675" s="7" t="n">
        <v>3</v>
      </c>
      <c r="AE1675" s="7" t="n">
        <v>3</v>
      </c>
      <c r="AF1675" s="7" t="n">
        <v>8</v>
      </c>
      <c r="AG1675" s="7" t="n">
        <v>8</v>
      </c>
      <c r="AH1675" s="7" t="n">
        <v>1</v>
      </c>
      <c r="AI1675" s="7" t="n">
        <v>1</v>
      </c>
      <c r="AJ1675" s="7" t="n">
        <v>2</v>
      </c>
      <c r="AK1675" s="7" t="n">
        <v>2</v>
      </c>
      <c r="AL1675" s="7" t="n">
        <v>5</v>
      </c>
      <c r="AM1675" s="7" t="n">
        <v>5</v>
      </c>
      <c r="AN1675" s="7" t="n">
        <v>2</v>
      </c>
      <c r="AO1675" s="7" t="n">
        <v>2</v>
      </c>
      <c r="AP1675" s="7" t="n">
        <v>0</v>
      </c>
      <c r="AQ1675" s="7" t="n">
        <v>0</v>
      </c>
      <c r="AR1675" s="6" t="s">
        <v>63</v>
      </c>
      <c r="AS1675" s="6" t="s">
        <v>57</v>
      </c>
      <c r="AT1675" s="9" t="str">
        <f aca="false">HYPERLINK("http://catalog.hathitrust.org/Record/002203343","HathiTrust Record")</f>
        <v>HathiTrust Record</v>
      </c>
      <c r="AU1675" s="9" t="str">
        <f aca="false">HYPERLINK("https://creighton-primo.hosted.exlibrisgroup.com/primo-explore/search?tab=default_tab&amp;search_scope=EVERYTHING&amp;vid=01CRU&amp;lang=en_US&amp;offset=0&amp;query=any,contains,991001008339702656","Catalog Record")</f>
        <v>Catalog Record</v>
      </c>
      <c r="AV1675" s="9" t="str">
        <f aca="false">HYPERLINK("http://www.worldcat.org/oclc/15253020","WorldCat Record")</f>
        <v>WorldCat Record</v>
      </c>
      <c r="AW1675" s="6" t="s">
        <v>14306</v>
      </c>
      <c r="AX1675" s="6" t="s">
        <v>14307</v>
      </c>
      <c r="AY1675" s="6" t="s">
        <v>14308</v>
      </c>
      <c r="AZ1675" s="6" t="s">
        <v>14308</v>
      </c>
      <c r="BA1675" s="6" t="s">
        <v>14309</v>
      </c>
      <c r="BB1675" s="6" t="s">
        <v>14310</v>
      </c>
      <c r="BC1675" s="6" t="s">
        <v>14311</v>
      </c>
      <c r="BE1675" s="15" t="s">
        <v>2145</v>
      </c>
      <c r="BF1675" s="6" t="s">
        <v>14312</v>
      </c>
    </row>
    <row r="1676" customFormat="false" ht="82.5" hidden="false" customHeight="false" outlineLevel="0" collapsed="false">
      <c r="A1676" s="26" t="s">
        <v>63</v>
      </c>
      <c r="B1676" s="27" t="s">
        <v>2129</v>
      </c>
      <c r="C1676" s="27" t="s">
        <v>2130</v>
      </c>
      <c r="D1676" s="27" t="s">
        <v>14313</v>
      </c>
      <c r="E1676" s="27" t="s">
        <v>14314</v>
      </c>
      <c r="F1676" s="27" t="s">
        <v>14315</v>
      </c>
      <c r="G1676" s="28"/>
      <c r="H1676" s="6" t="s">
        <v>63</v>
      </c>
      <c r="I1676" s="6" t="s">
        <v>62</v>
      </c>
      <c r="J1676" s="6" t="s">
        <v>63</v>
      </c>
      <c r="K1676" s="6" t="s">
        <v>63</v>
      </c>
      <c r="L1676" s="6" t="s">
        <v>64</v>
      </c>
      <c r="M1676" s="27" t="s">
        <v>14316</v>
      </c>
      <c r="N1676" s="27" t="s">
        <v>14317</v>
      </c>
      <c r="O1676" s="6" t="s">
        <v>2975</v>
      </c>
      <c r="P1676" s="28"/>
      <c r="Q1676" s="6" t="s">
        <v>67</v>
      </c>
      <c r="R1676" s="6" t="s">
        <v>181</v>
      </c>
      <c r="S1676" s="28"/>
      <c r="T1676" s="6" t="s">
        <v>6138</v>
      </c>
      <c r="U1676" s="7" t="n">
        <v>4</v>
      </c>
      <c r="V1676" s="7" t="n">
        <v>4</v>
      </c>
      <c r="W1676" s="8" t="s">
        <v>9523</v>
      </c>
      <c r="X1676" s="8" t="s">
        <v>9523</v>
      </c>
      <c r="Y1676" s="8" t="s">
        <v>5081</v>
      </c>
      <c r="Z1676" s="8" t="s">
        <v>5081</v>
      </c>
      <c r="AA1676" s="7" t="n">
        <v>341</v>
      </c>
      <c r="AB1676" s="7" t="n">
        <v>273</v>
      </c>
      <c r="AC1676" s="7" t="n">
        <v>275</v>
      </c>
      <c r="AD1676" s="7" t="n">
        <v>4</v>
      </c>
      <c r="AE1676" s="7" t="n">
        <v>4</v>
      </c>
      <c r="AF1676" s="7" t="n">
        <v>18</v>
      </c>
      <c r="AG1676" s="7" t="n">
        <v>18</v>
      </c>
      <c r="AH1676" s="7" t="n">
        <v>7</v>
      </c>
      <c r="AI1676" s="7" t="n">
        <v>7</v>
      </c>
      <c r="AJ1676" s="7" t="n">
        <v>2</v>
      </c>
      <c r="AK1676" s="7" t="n">
        <v>2</v>
      </c>
      <c r="AL1676" s="7" t="n">
        <v>13</v>
      </c>
      <c r="AM1676" s="7" t="n">
        <v>13</v>
      </c>
      <c r="AN1676" s="7" t="n">
        <v>2</v>
      </c>
      <c r="AO1676" s="7" t="n">
        <v>2</v>
      </c>
      <c r="AP1676" s="7" t="n">
        <v>0</v>
      </c>
      <c r="AQ1676" s="7" t="n">
        <v>0</v>
      </c>
      <c r="AR1676" s="6" t="s">
        <v>63</v>
      </c>
      <c r="AS1676" s="6" t="s">
        <v>57</v>
      </c>
      <c r="AT1676" s="9" t="str">
        <f aca="false">HYPERLINK("http://catalog.hathitrust.org/Record/001386499","HathiTrust Record")</f>
        <v>HathiTrust Record</v>
      </c>
      <c r="AU1676" s="9" t="str">
        <f aca="false">HYPERLINK("https://creighton-primo.hosted.exlibrisgroup.com/primo-explore/search?tab=default_tab&amp;search_scope=EVERYTHING&amp;vid=01CRU&amp;lang=en_US&amp;offset=0&amp;query=any,contains,991000101339702656","Catalog Record")</f>
        <v>Catalog Record</v>
      </c>
      <c r="AV1676" s="9" t="str">
        <f aca="false">HYPERLINK("http://www.worldcat.org/oclc/44623","WorldCat Record")</f>
        <v>WorldCat Record</v>
      </c>
      <c r="AW1676" s="6" t="s">
        <v>14318</v>
      </c>
      <c r="AX1676" s="6" t="s">
        <v>14319</v>
      </c>
      <c r="AY1676" s="6" t="s">
        <v>14320</v>
      </c>
      <c r="AZ1676" s="6" t="s">
        <v>14320</v>
      </c>
      <c r="BA1676" s="6" t="s">
        <v>14321</v>
      </c>
      <c r="BB1676" s="6" t="s">
        <v>14322</v>
      </c>
      <c r="BC1676" s="6" t="s">
        <v>14323</v>
      </c>
      <c r="BE1676" s="15" t="s">
        <v>2145</v>
      </c>
      <c r="BF1676" s="6" t="s">
        <v>14324</v>
      </c>
    </row>
    <row r="1677" customFormat="false" ht="209" hidden="false" customHeight="false" outlineLevel="0" collapsed="false">
      <c r="A1677" s="26" t="s">
        <v>63</v>
      </c>
      <c r="B1677" s="27" t="s">
        <v>2129</v>
      </c>
      <c r="C1677" s="27" t="s">
        <v>2130</v>
      </c>
      <c r="D1677" s="27" t="s">
        <v>14325</v>
      </c>
      <c r="E1677" s="27" t="s">
        <v>14326</v>
      </c>
      <c r="F1677" s="27" t="s">
        <v>14327</v>
      </c>
      <c r="G1677" s="28"/>
      <c r="H1677" s="6" t="s">
        <v>63</v>
      </c>
      <c r="I1677" s="6" t="s">
        <v>62</v>
      </c>
      <c r="J1677" s="6" t="s">
        <v>63</v>
      </c>
      <c r="K1677" s="6" t="s">
        <v>63</v>
      </c>
      <c r="L1677" s="6" t="s">
        <v>64</v>
      </c>
      <c r="M1677" s="27" t="s">
        <v>14328</v>
      </c>
      <c r="N1677" s="27" t="s">
        <v>14329</v>
      </c>
      <c r="O1677" s="6" t="s">
        <v>2136</v>
      </c>
      <c r="P1677" s="28"/>
      <c r="Q1677" s="6" t="s">
        <v>67</v>
      </c>
      <c r="R1677" s="6" t="s">
        <v>123</v>
      </c>
      <c r="S1677" s="28"/>
      <c r="T1677" s="6" t="s">
        <v>6138</v>
      </c>
      <c r="U1677" s="7" t="n">
        <v>1</v>
      </c>
      <c r="V1677" s="7" t="n">
        <v>1</v>
      </c>
      <c r="W1677" s="8" t="s">
        <v>14330</v>
      </c>
      <c r="X1677" s="8" t="s">
        <v>14330</v>
      </c>
      <c r="Y1677" s="8" t="s">
        <v>5144</v>
      </c>
      <c r="Z1677" s="8" t="s">
        <v>5144</v>
      </c>
      <c r="AA1677" s="7" t="n">
        <v>598</v>
      </c>
      <c r="AB1677" s="7" t="n">
        <v>505</v>
      </c>
      <c r="AC1677" s="7" t="n">
        <v>720</v>
      </c>
      <c r="AD1677" s="7" t="n">
        <v>5</v>
      </c>
      <c r="AE1677" s="7" t="n">
        <v>5</v>
      </c>
      <c r="AF1677" s="7" t="n">
        <v>32</v>
      </c>
      <c r="AG1677" s="7" t="n">
        <v>36</v>
      </c>
      <c r="AH1677" s="7" t="n">
        <v>10</v>
      </c>
      <c r="AI1677" s="7" t="n">
        <v>13</v>
      </c>
      <c r="AJ1677" s="7" t="n">
        <v>8</v>
      </c>
      <c r="AK1677" s="7" t="n">
        <v>9</v>
      </c>
      <c r="AL1677" s="7" t="n">
        <v>17</v>
      </c>
      <c r="AM1677" s="7" t="n">
        <v>19</v>
      </c>
      <c r="AN1677" s="7" t="n">
        <v>3</v>
      </c>
      <c r="AO1677" s="7" t="n">
        <v>3</v>
      </c>
      <c r="AP1677" s="7" t="n">
        <v>0</v>
      </c>
      <c r="AQ1677" s="7" t="n">
        <v>0</v>
      </c>
      <c r="AR1677" s="6" t="s">
        <v>63</v>
      </c>
      <c r="AS1677" s="6" t="s">
        <v>57</v>
      </c>
      <c r="AT1677" s="9" t="str">
        <f aca="false">HYPERLINK("http://catalog.hathitrust.org/Record/001386519","HathiTrust Record")</f>
        <v>HathiTrust Record</v>
      </c>
      <c r="AU1677" s="9" t="str">
        <f aca="false">HYPERLINK("https://creighton-primo.hosted.exlibrisgroup.com/primo-explore/search?tab=default_tab&amp;search_scope=EVERYTHING&amp;vid=01CRU&amp;lang=en_US&amp;offset=0&amp;query=any,contains,991002955649702656","Catalog Record")</f>
        <v>Catalog Record</v>
      </c>
      <c r="AV1677" s="9" t="str">
        <f aca="false">HYPERLINK("http://www.worldcat.org/oclc/541943","WorldCat Record")</f>
        <v>WorldCat Record</v>
      </c>
      <c r="AW1677" s="6" t="s">
        <v>14331</v>
      </c>
      <c r="AX1677" s="6" t="s">
        <v>14332</v>
      </c>
      <c r="AY1677" s="6" t="s">
        <v>14333</v>
      </c>
      <c r="AZ1677" s="6" t="s">
        <v>14333</v>
      </c>
      <c r="BA1677" s="6" t="s">
        <v>14334</v>
      </c>
      <c r="BB1677" s="28"/>
      <c r="BC1677" s="6" t="s">
        <v>14335</v>
      </c>
      <c r="BE1677" s="15" t="s">
        <v>2145</v>
      </c>
      <c r="BF1677" s="6" t="s">
        <v>14336</v>
      </c>
    </row>
    <row r="1678" customFormat="false" ht="82.5" hidden="false" customHeight="false" outlineLevel="0" collapsed="false">
      <c r="A1678" s="26" t="s">
        <v>63</v>
      </c>
      <c r="B1678" s="27" t="s">
        <v>2129</v>
      </c>
      <c r="C1678" s="27" t="s">
        <v>2130</v>
      </c>
      <c r="D1678" s="27" t="s">
        <v>14337</v>
      </c>
      <c r="E1678" s="27" t="s">
        <v>14338</v>
      </c>
      <c r="F1678" s="27" t="s">
        <v>14339</v>
      </c>
      <c r="G1678" s="28"/>
      <c r="H1678" s="6" t="s">
        <v>63</v>
      </c>
      <c r="I1678" s="6" t="s">
        <v>62</v>
      </c>
      <c r="J1678" s="6" t="s">
        <v>63</v>
      </c>
      <c r="K1678" s="6" t="s">
        <v>63</v>
      </c>
      <c r="L1678" s="6" t="s">
        <v>64</v>
      </c>
      <c r="M1678" s="27" t="s">
        <v>14340</v>
      </c>
      <c r="N1678" s="27" t="s">
        <v>14341</v>
      </c>
      <c r="O1678" s="6" t="s">
        <v>3094</v>
      </c>
      <c r="P1678" s="28"/>
      <c r="Q1678" s="6" t="s">
        <v>67</v>
      </c>
      <c r="R1678" s="6" t="s">
        <v>123</v>
      </c>
      <c r="S1678" s="28"/>
      <c r="T1678" s="6" t="s">
        <v>6138</v>
      </c>
      <c r="U1678" s="7" t="n">
        <v>1</v>
      </c>
      <c r="V1678" s="7" t="n">
        <v>1</v>
      </c>
      <c r="W1678" s="8" t="s">
        <v>14342</v>
      </c>
      <c r="X1678" s="8" t="s">
        <v>14342</v>
      </c>
      <c r="Y1678" s="8" t="s">
        <v>5144</v>
      </c>
      <c r="Z1678" s="8" t="s">
        <v>5144</v>
      </c>
      <c r="AA1678" s="7" t="n">
        <v>692</v>
      </c>
      <c r="AB1678" s="7" t="n">
        <v>584</v>
      </c>
      <c r="AC1678" s="7" t="n">
        <v>593</v>
      </c>
      <c r="AD1678" s="7" t="n">
        <v>4</v>
      </c>
      <c r="AE1678" s="7" t="n">
        <v>4</v>
      </c>
      <c r="AF1678" s="7" t="n">
        <v>32</v>
      </c>
      <c r="AG1678" s="7" t="n">
        <v>32</v>
      </c>
      <c r="AH1678" s="7" t="n">
        <v>12</v>
      </c>
      <c r="AI1678" s="7" t="n">
        <v>12</v>
      </c>
      <c r="AJ1678" s="7" t="n">
        <v>8</v>
      </c>
      <c r="AK1678" s="7" t="n">
        <v>8</v>
      </c>
      <c r="AL1678" s="7" t="n">
        <v>19</v>
      </c>
      <c r="AM1678" s="7" t="n">
        <v>19</v>
      </c>
      <c r="AN1678" s="7" t="n">
        <v>3</v>
      </c>
      <c r="AO1678" s="7" t="n">
        <v>3</v>
      </c>
      <c r="AP1678" s="7" t="n">
        <v>0</v>
      </c>
      <c r="AQ1678" s="7" t="n">
        <v>0</v>
      </c>
      <c r="AR1678" s="6" t="s">
        <v>63</v>
      </c>
      <c r="AS1678" s="6" t="s">
        <v>63</v>
      </c>
      <c r="AT1678" s="9" t="str">
        <f aca="false">HYPERLINK("http://catalog.hathitrust.org/Record/001386550","HathiTrust Record")</f>
        <v>HathiTrust Record</v>
      </c>
      <c r="AU1678" s="9" t="str">
        <f aca="false">HYPERLINK("https://creighton-primo.hosted.exlibrisgroup.com/primo-explore/search?tab=default_tab&amp;search_scope=EVERYTHING&amp;vid=01CRU&amp;lang=en_US&amp;offset=0&amp;query=any,contains,991002230819702656","Catalog Record")</f>
        <v>Catalog Record</v>
      </c>
      <c r="AV1678" s="9" t="str">
        <f aca="false">HYPERLINK("http://www.worldcat.org/oclc/293926","WorldCat Record")</f>
        <v>WorldCat Record</v>
      </c>
      <c r="AW1678" s="6" t="s">
        <v>14343</v>
      </c>
      <c r="AX1678" s="6" t="s">
        <v>14344</v>
      </c>
      <c r="AY1678" s="6" t="s">
        <v>14345</v>
      </c>
      <c r="AZ1678" s="6" t="s">
        <v>14345</v>
      </c>
      <c r="BA1678" s="6" t="s">
        <v>14346</v>
      </c>
      <c r="BB1678" s="28"/>
      <c r="BC1678" s="6" t="s">
        <v>14347</v>
      </c>
      <c r="BE1678" s="15" t="s">
        <v>2145</v>
      </c>
      <c r="BF1678" s="6" t="s">
        <v>14348</v>
      </c>
    </row>
    <row r="1679" customFormat="false" ht="71" hidden="false" customHeight="false" outlineLevel="0" collapsed="false">
      <c r="A1679" s="26" t="s">
        <v>63</v>
      </c>
      <c r="B1679" s="27" t="s">
        <v>2129</v>
      </c>
      <c r="C1679" s="27" t="s">
        <v>2130</v>
      </c>
      <c r="D1679" s="27" t="s">
        <v>14349</v>
      </c>
      <c r="E1679" s="27" t="s">
        <v>14350</v>
      </c>
      <c r="F1679" s="27" t="s">
        <v>14351</v>
      </c>
      <c r="G1679" s="28"/>
      <c r="H1679" s="6" t="s">
        <v>63</v>
      </c>
      <c r="I1679" s="6" t="s">
        <v>62</v>
      </c>
      <c r="J1679" s="6" t="s">
        <v>63</v>
      </c>
      <c r="K1679" s="6" t="s">
        <v>63</v>
      </c>
      <c r="L1679" s="6" t="s">
        <v>64</v>
      </c>
      <c r="M1679" s="27" t="s">
        <v>14352</v>
      </c>
      <c r="N1679" s="27" t="s">
        <v>14353</v>
      </c>
      <c r="O1679" s="6" t="s">
        <v>3405</v>
      </c>
      <c r="P1679" s="28"/>
      <c r="Q1679" s="6" t="s">
        <v>67</v>
      </c>
      <c r="R1679" s="6" t="s">
        <v>384</v>
      </c>
      <c r="S1679" s="27" t="s">
        <v>10740</v>
      </c>
      <c r="T1679" s="6" t="s">
        <v>6138</v>
      </c>
      <c r="U1679" s="7" t="n">
        <v>2</v>
      </c>
      <c r="V1679" s="7" t="n">
        <v>2</v>
      </c>
      <c r="W1679" s="8" t="s">
        <v>14342</v>
      </c>
      <c r="X1679" s="8" t="s">
        <v>14342</v>
      </c>
      <c r="Y1679" s="8" t="s">
        <v>5144</v>
      </c>
      <c r="Z1679" s="8" t="s">
        <v>5144</v>
      </c>
      <c r="AA1679" s="7" t="n">
        <v>271</v>
      </c>
      <c r="AB1679" s="7" t="n">
        <v>190</v>
      </c>
      <c r="AC1679" s="7" t="n">
        <v>487</v>
      </c>
      <c r="AD1679" s="7" t="n">
        <v>1</v>
      </c>
      <c r="AE1679" s="7" t="n">
        <v>5</v>
      </c>
      <c r="AF1679" s="7" t="n">
        <v>14</v>
      </c>
      <c r="AG1679" s="7" t="n">
        <v>29</v>
      </c>
      <c r="AH1679" s="7" t="n">
        <v>3</v>
      </c>
      <c r="AI1679" s="7" t="n">
        <v>11</v>
      </c>
      <c r="AJ1679" s="7" t="n">
        <v>4</v>
      </c>
      <c r="AK1679" s="7" t="n">
        <v>5</v>
      </c>
      <c r="AL1679" s="7" t="n">
        <v>10</v>
      </c>
      <c r="AM1679" s="7" t="n">
        <v>19</v>
      </c>
      <c r="AN1679" s="7" t="n">
        <v>0</v>
      </c>
      <c r="AO1679" s="7" t="n">
        <v>3</v>
      </c>
      <c r="AP1679" s="7" t="n">
        <v>0</v>
      </c>
      <c r="AQ1679" s="7" t="n">
        <v>0</v>
      </c>
      <c r="AR1679" s="6" t="s">
        <v>63</v>
      </c>
      <c r="AS1679" s="6" t="s">
        <v>57</v>
      </c>
      <c r="AT1679" s="9" t="str">
        <f aca="false">HYPERLINK("http://catalog.hathitrust.org/Record/009513822","HathiTrust Record")</f>
        <v>HathiTrust Record</v>
      </c>
      <c r="AU1679" s="9" t="str">
        <f aca="false">HYPERLINK("https://creighton-primo.hosted.exlibrisgroup.com/primo-explore/search?tab=default_tab&amp;search_scope=EVERYTHING&amp;vid=01CRU&amp;lang=en_US&amp;offset=0&amp;query=any,contains,991002574709702656","Catalog Record")</f>
        <v>Catalog Record</v>
      </c>
      <c r="AV1679" s="9" t="str">
        <f aca="false">HYPERLINK("http://www.worldcat.org/oclc/374544","WorldCat Record")</f>
        <v>WorldCat Record</v>
      </c>
      <c r="AW1679" s="6" t="s">
        <v>14354</v>
      </c>
      <c r="AX1679" s="6" t="s">
        <v>14355</v>
      </c>
      <c r="AY1679" s="6" t="s">
        <v>14356</v>
      </c>
      <c r="AZ1679" s="6" t="s">
        <v>14356</v>
      </c>
      <c r="BA1679" s="6" t="s">
        <v>14357</v>
      </c>
      <c r="BB1679" s="28"/>
      <c r="BC1679" s="6" t="s">
        <v>14358</v>
      </c>
      <c r="BE1679" s="15" t="s">
        <v>2145</v>
      </c>
      <c r="BF1679" s="6" t="s">
        <v>14359</v>
      </c>
    </row>
    <row r="1680" customFormat="false" ht="117" hidden="false" customHeight="false" outlineLevel="0" collapsed="false">
      <c r="A1680" s="26" t="s">
        <v>63</v>
      </c>
      <c r="B1680" s="27" t="s">
        <v>2129</v>
      </c>
      <c r="C1680" s="27" t="s">
        <v>2130</v>
      </c>
      <c r="D1680" s="27" t="s">
        <v>14360</v>
      </c>
      <c r="E1680" s="27" t="s">
        <v>14361</v>
      </c>
      <c r="F1680" s="27" t="s">
        <v>14362</v>
      </c>
      <c r="G1680" s="28"/>
      <c r="H1680" s="6" t="s">
        <v>63</v>
      </c>
      <c r="I1680" s="6" t="s">
        <v>62</v>
      </c>
      <c r="J1680" s="6" t="s">
        <v>63</v>
      </c>
      <c r="K1680" s="6" t="s">
        <v>63</v>
      </c>
      <c r="L1680" s="6" t="s">
        <v>64</v>
      </c>
      <c r="M1680" s="27" t="s">
        <v>13247</v>
      </c>
      <c r="N1680" s="27" t="s">
        <v>10383</v>
      </c>
      <c r="O1680" s="6" t="s">
        <v>3301</v>
      </c>
      <c r="P1680" s="28"/>
      <c r="Q1680" s="6" t="s">
        <v>67</v>
      </c>
      <c r="R1680" s="6" t="s">
        <v>2288</v>
      </c>
      <c r="S1680" s="28"/>
      <c r="T1680" s="6" t="s">
        <v>6138</v>
      </c>
      <c r="U1680" s="7" t="n">
        <v>1</v>
      </c>
      <c r="V1680" s="7" t="n">
        <v>1</v>
      </c>
      <c r="W1680" s="8" t="s">
        <v>14363</v>
      </c>
      <c r="X1680" s="8" t="s">
        <v>14363</v>
      </c>
      <c r="Y1680" s="8" t="s">
        <v>3824</v>
      </c>
      <c r="Z1680" s="8" t="s">
        <v>3824</v>
      </c>
      <c r="AA1680" s="7" t="n">
        <v>412</v>
      </c>
      <c r="AB1680" s="7" t="n">
        <v>345</v>
      </c>
      <c r="AC1680" s="7" t="n">
        <v>346</v>
      </c>
      <c r="AD1680" s="7" t="n">
        <v>3</v>
      </c>
      <c r="AE1680" s="7" t="n">
        <v>3</v>
      </c>
      <c r="AF1680" s="7" t="n">
        <v>23</v>
      </c>
      <c r="AG1680" s="7" t="n">
        <v>23</v>
      </c>
      <c r="AH1680" s="7" t="n">
        <v>7</v>
      </c>
      <c r="AI1680" s="7" t="n">
        <v>7</v>
      </c>
      <c r="AJ1680" s="7" t="n">
        <v>6</v>
      </c>
      <c r="AK1680" s="7" t="n">
        <v>6</v>
      </c>
      <c r="AL1680" s="7" t="n">
        <v>16</v>
      </c>
      <c r="AM1680" s="7" t="n">
        <v>16</v>
      </c>
      <c r="AN1680" s="7" t="n">
        <v>1</v>
      </c>
      <c r="AO1680" s="7" t="n">
        <v>1</v>
      </c>
      <c r="AP1680" s="7" t="n">
        <v>0</v>
      </c>
      <c r="AQ1680" s="7" t="n">
        <v>0</v>
      </c>
      <c r="AR1680" s="6" t="s">
        <v>63</v>
      </c>
      <c r="AS1680" s="6" t="s">
        <v>63</v>
      </c>
      <c r="AT1680" s="28"/>
      <c r="AU1680" s="9" t="str">
        <f aca="false">HYPERLINK("https://creighton-primo.hosted.exlibrisgroup.com/primo-explore/search?tab=default_tab&amp;search_scope=EVERYTHING&amp;vid=01CRU&amp;lang=en_US&amp;offset=0&amp;query=any,contains,991005214049702656","Catalog Record")</f>
        <v>Catalog Record</v>
      </c>
      <c r="AV1680" s="9" t="str">
        <f aca="false">HYPERLINK("http://www.worldcat.org/oclc/8171915","WorldCat Record")</f>
        <v>WorldCat Record</v>
      </c>
      <c r="AW1680" s="6" t="s">
        <v>14364</v>
      </c>
      <c r="AX1680" s="6" t="s">
        <v>14365</v>
      </c>
      <c r="AY1680" s="6" t="s">
        <v>14366</v>
      </c>
      <c r="AZ1680" s="6" t="s">
        <v>14366</v>
      </c>
      <c r="BA1680" s="6" t="s">
        <v>14367</v>
      </c>
      <c r="BB1680" s="6" t="s">
        <v>14368</v>
      </c>
      <c r="BC1680" s="6" t="s">
        <v>14369</v>
      </c>
      <c r="BE1680" s="15" t="s">
        <v>2145</v>
      </c>
      <c r="BF1680" s="6" t="s">
        <v>14370</v>
      </c>
    </row>
    <row r="1681" customFormat="false" ht="174.5" hidden="false" customHeight="false" outlineLevel="0" collapsed="false">
      <c r="A1681" s="26" t="s">
        <v>63</v>
      </c>
      <c r="B1681" s="27" t="s">
        <v>2129</v>
      </c>
      <c r="C1681" s="27" t="s">
        <v>2130</v>
      </c>
      <c r="D1681" s="27" t="s">
        <v>14371</v>
      </c>
      <c r="E1681" s="27" t="s">
        <v>14372</v>
      </c>
      <c r="F1681" s="27" t="s">
        <v>14373</v>
      </c>
      <c r="G1681" s="28"/>
      <c r="H1681" s="6" t="s">
        <v>63</v>
      </c>
      <c r="I1681" s="6" t="s">
        <v>62</v>
      </c>
      <c r="J1681" s="6" t="s">
        <v>63</v>
      </c>
      <c r="K1681" s="6" t="s">
        <v>63</v>
      </c>
      <c r="L1681" s="6" t="s">
        <v>64</v>
      </c>
      <c r="M1681" s="27" t="s">
        <v>14374</v>
      </c>
      <c r="N1681" s="27" t="s">
        <v>14375</v>
      </c>
      <c r="O1681" s="6" t="s">
        <v>2343</v>
      </c>
      <c r="P1681" s="28"/>
      <c r="Q1681" s="6" t="s">
        <v>67</v>
      </c>
      <c r="R1681" s="6" t="s">
        <v>272</v>
      </c>
      <c r="S1681" s="28"/>
      <c r="T1681" s="6" t="s">
        <v>6138</v>
      </c>
      <c r="U1681" s="7" t="n">
        <v>2</v>
      </c>
      <c r="V1681" s="7" t="n">
        <v>2</v>
      </c>
      <c r="W1681" s="8" t="s">
        <v>14376</v>
      </c>
      <c r="X1681" s="8" t="s">
        <v>14376</v>
      </c>
      <c r="Y1681" s="8" t="s">
        <v>14267</v>
      </c>
      <c r="Z1681" s="8" t="s">
        <v>14267</v>
      </c>
      <c r="AA1681" s="7" t="n">
        <v>379</v>
      </c>
      <c r="AB1681" s="7" t="n">
        <v>301</v>
      </c>
      <c r="AC1681" s="7" t="n">
        <v>301</v>
      </c>
      <c r="AD1681" s="7" t="n">
        <v>2</v>
      </c>
      <c r="AE1681" s="7" t="n">
        <v>2</v>
      </c>
      <c r="AF1681" s="7" t="n">
        <v>17</v>
      </c>
      <c r="AG1681" s="7" t="n">
        <v>17</v>
      </c>
      <c r="AH1681" s="7" t="n">
        <v>3</v>
      </c>
      <c r="AI1681" s="7" t="n">
        <v>3</v>
      </c>
      <c r="AJ1681" s="7" t="n">
        <v>6</v>
      </c>
      <c r="AK1681" s="7" t="n">
        <v>6</v>
      </c>
      <c r="AL1681" s="7" t="n">
        <v>13</v>
      </c>
      <c r="AM1681" s="7" t="n">
        <v>13</v>
      </c>
      <c r="AN1681" s="7" t="n">
        <v>1</v>
      </c>
      <c r="AO1681" s="7" t="n">
        <v>1</v>
      </c>
      <c r="AP1681" s="7" t="n">
        <v>0</v>
      </c>
      <c r="AQ1681" s="7" t="n">
        <v>0</v>
      </c>
      <c r="AR1681" s="6" t="s">
        <v>63</v>
      </c>
      <c r="AS1681" s="6" t="s">
        <v>63</v>
      </c>
      <c r="AT1681" s="28"/>
      <c r="AU1681" s="9" t="str">
        <f aca="false">HYPERLINK("https://creighton-primo.hosted.exlibrisgroup.com/primo-explore/search?tab=default_tab&amp;search_scope=EVERYTHING&amp;vid=01CRU&amp;lang=en_US&amp;offset=0&amp;query=any,contains,991005016219702656","Catalog Record")</f>
        <v>Catalog Record</v>
      </c>
      <c r="AV1681" s="9" t="str">
        <f aca="false">HYPERLINK("http://www.worldcat.org/oclc/6626510","WorldCat Record")</f>
        <v>WorldCat Record</v>
      </c>
      <c r="AW1681" s="6" t="s">
        <v>14377</v>
      </c>
      <c r="AX1681" s="6" t="s">
        <v>14378</v>
      </c>
      <c r="AY1681" s="6" t="s">
        <v>14379</v>
      </c>
      <c r="AZ1681" s="6" t="s">
        <v>14379</v>
      </c>
      <c r="BA1681" s="6" t="s">
        <v>14380</v>
      </c>
      <c r="BB1681" s="6" t="s">
        <v>14381</v>
      </c>
      <c r="BC1681" s="6" t="s">
        <v>14382</v>
      </c>
      <c r="BE1681" s="15" t="s">
        <v>2145</v>
      </c>
      <c r="BF1681" s="6" t="s">
        <v>14383</v>
      </c>
    </row>
    <row r="1682" customFormat="false" ht="105.5" hidden="false" customHeight="false" outlineLevel="0" collapsed="false">
      <c r="A1682" s="26" t="s">
        <v>63</v>
      </c>
      <c r="B1682" s="27" t="s">
        <v>2129</v>
      </c>
      <c r="C1682" s="27" t="s">
        <v>2130</v>
      </c>
      <c r="D1682" s="27" t="s">
        <v>14384</v>
      </c>
      <c r="E1682" s="27" t="s">
        <v>14385</v>
      </c>
      <c r="F1682" s="27" t="s">
        <v>14386</v>
      </c>
      <c r="G1682" s="28"/>
      <c r="H1682" s="6" t="s">
        <v>63</v>
      </c>
      <c r="I1682" s="6" t="s">
        <v>62</v>
      </c>
      <c r="J1682" s="6" t="s">
        <v>63</v>
      </c>
      <c r="K1682" s="6" t="s">
        <v>63</v>
      </c>
      <c r="L1682" s="6" t="s">
        <v>64</v>
      </c>
      <c r="M1682" s="27" t="s">
        <v>14387</v>
      </c>
      <c r="N1682" s="27" t="s">
        <v>4357</v>
      </c>
      <c r="O1682" s="6" t="s">
        <v>2262</v>
      </c>
      <c r="P1682" s="28"/>
      <c r="Q1682" s="6" t="s">
        <v>67</v>
      </c>
      <c r="R1682" s="6" t="s">
        <v>181</v>
      </c>
      <c r="S1682" s="28"/>
      <c r="T1682" s="6" t="s">
        <v>6138</v>
      </c>
      <c r="U1682" s="7" t="n">
        <v>2</v>
      </c>
      <c r="V1682" s="7" t="n">
        <v>2</v>
      </c>
      <c r="W1682" s="8" t="s">
        <v>14388</v>
      </c>
      <c r="X1682" s="8" t="s">
        <v>14388</v>
      </c>
      <c r="Y1682" s="8" t="s">
        <v>14267</v>
      </c>
      <c r="Z1682" s="8" t="s">
        <v>14267</v>
      </c>
      <c r="AA1682" s="7" t="n">
        <v>625</v>
      </c>
      <c r="AB1682" s="7" t="n">
        <v>494</v>
      </c>
      <c r="AC1682" s="7" t="n">
        <v>532</v>
      </c>
      <c r="AD1682" s="7" t="n">
        <v>6</v>
      </c>
      <c r="AE1682" s="7" t="n">
        <v>6</v>
      </c>
      <c r="AF1682" s="7" t="n">
        <v>37</v>
      </c>
      <c r="AG1682" s="7" t="n">
        <v>41</v>
      </c>
      <c r="AH1682" s="7" t="n">
        <v>15</v>
      </c>
      <c r="AI1682" s="7" t="n">
        <v>18</v>
      </c>
      <c r="AJ1682" s="7" t="n">
        <v>8</v>
      </c>
      <c r="AK1682" s="7" t="n">
        <v>8</v>
      </c>
      <c r="AL1682" s="7" t="n">
        <v>22</v>
      </c>
      <c r="AM1682" s="7" t="n">
        <v>23</v>
      </c>
      <c r="AN1682" s="7" t="n">
        <v>4</v>
      </c>
      <c r="AO1682" s="7" t="n">
        <v>4</v>
      </c>
      <c r="AP1682" s="7" t="n">
        <v>0</v>
      </c>
      <c r="AQ1682" s="7" t="n">
        <v>0</v>
      </c>
      <c r="AR1682" s="6" t="s">
        <v>63</v>
      </c>
      <c r="AS1682" s="6" t="s">
        <v>63</v>
      </c>
      <c r="AT1682" s="28"/>
      <c r="AU1682" s="9" t="str">
        <f aca="false">HYPERLINK("https://creighton-primo.hosted.exlibrisgroup.com/primo-explore/search?tab=default_tab&amp;search_scope=EVERYTHING&amp;vid=01CRU&amp;lang=en_US&amp;offset=0&amp;query=any,contains,991000810079702656","Catalog Record")</f>
        <v>Catalog Record</v>
      </c>
      <c r="AV1682" s="9" t="str">
        <f aca="false">HYPERLINK("http://www.worldcat.org/oclc/13330626","WorldCat Record")</f>
        <v>WorldCat Record</v>
      </c>
      <c r="AW1682" s="6" t="s">
        <v>14389</v>
      </c>
      <c r="AX1682" s="6" t="s">
        <v>14390</v>
      </c>
      <c r="AY1682" s="6" t="s">
        <v>14391</v>
      </c>
      <c r="AZ1682" s="6" t="s">
        <v>14391</v>
      </c>
      <c r="BA1682" s="6" t="s">
        <v>14392</v>
      </c>
      <c r="BB1682" s="6" t="s">
        <v>14393</v>
      </c>
      <c r="BC1682" s="6" t="s">
        <v>14394</v>
      </c>
      <c r="BE1682" s="15" t="s">
        <v>2145</v>
      </c>
      <c r="BF1682" s="6" t="s">
        <v>14395</v>
      </c>
    </row>
    <row r="1683" customFormat="false" ht="140" hidden="false" customHeight="false" outlineLevel="0" collapsed="false">
      <c r="A1683" s="26" t="s">
        <v>63</v>
      </c>
      <c r="B1683" s="27" t="s">
        <v>2129</v>
      </c>
      <c r="C1683" s="27" t="s">
        <v>2130</v>
      </c>
      <c r="D1683" s="27" t="s">
        <v>14396</v>
      </c>
      <c r="E1683" s="27" t="s">
        <v>14397</v>
      </c>
      <c r="F1683" s="27" t="s">
        <v>14398</v>
      </c>
      <c r="G1683" s="28"/>
      <c r="H1683" s="6" t="s">
        <v>63</v>
      </c>
      <c r="I1683" s="6" t="s">
        <v>62</v>
      </c>
      <c r="J1683" s="6" t="s">
        <v>63</v>
      </c>
      <c r="K1683" s="6" t="s">
        <v>63</v>
      </c>
      <c r="L1683" s="6" t="s">
        <v>64</v>
      </c>
      <c r="M1683" s="27" t="s">
        <v>3391</v>
      </c>
      <c r="N1683" s="27" t="s">
        <v>14399</v>
      </c>
      <c r="O1683" s="6" t="s">
        <v>2329</v>
      </c>
      <c r="P1683" s="28"/>
      <c r="Q1683" s="6" t="s">
        <v>9090</v>
      </c>
      <c r="R1683" s="6" t="s">
        <v>9091</v>
      </c>
      <c r="S1683" s="28"/>
      <c r="T1683" s="6" t="s">
        <v>6138</v>
      </c>
      <c r="U1683" s="7" t="n">
        <v>11</v>
      </c>
      <c r="V1683" s="7" t="n">
        <v>11</v>
      </c>
      <c r="W1683" s="8" t="s">
        <v>14400</v>
      </c>
      <c r="X1683" s="8" t="s">
        <v>14400</v>
      </c>
      <c r="Y1683" s="8" t="s">
        <v>14267</v>
      </c>
      <c r="Z1683" s="8" t="s">
        <v>14267</v>
      </c>
      <c r="AA1683" s="7" t="n">
        <v>92</v>
      </c>
      <c r="AB1683" s="7" t="n">
        <v>44</v>
      </c>
      <c r="AC1683" s="7" t="n">
        <v>45</v>
      </c>
      <c r="AD1683" s="7" t="n">
        <v>1</v>
      </c>
      <c r="AE1683" s="7" t="n">
        <v>1</v>
      </c>
      <c r="AF1683" s="7" t="n">
        <v>5</v>
      </c>
      <c r="AG1683" s="7" t="n">
        <v>5</v>
      </c>
      <c r="AH1683" s="7" t="n">
        <v>0</v>
      </c>
      <c r="AI1683" s="7" t="n">
        <v>0</v>
      </c>
      <c r="AJ1683" s="7" t="n">
        <v>1</v>
      </c>
      <c r="AK1683" s="7" t="n">
        <v>1</v>
      </c>
      <c r="AL1683" s="7" t="n">
        <v>5</v>
      </c>
      <c r="AM1683" s="7" t="n">
        <v>5</v>
      </c>
      <c r="AN1683" s="7" t="n">
        <v>0</v>
      </c>
      <c r="AO1683" s="7" t="n">
        <v>0</v>
      </c>
      <c r="AP1683" s="7" t="n">
        <v>0</v>
      </c>
      <c r="AQ1683" s="7" t="n">
        <v>0</v>
      </c>
      <c r="AR1683" s="6" t="s">
        <v>63</v>
      </c>
      <c r="AS1683" s="6" t="s">
        <v>57</v>
      </c>
      <c r="AT1683" s="9" t="str">
        <f aca="false">HYPERLINK("http://catalog.hathitrust.org/Record/001913258","HathiTrust Record")</f>
        <v>HathiTrust Record</v>
      </c>
      <c r="AU1683" s="9" t="str">
        <f aca="false">HYPERLINK("https://creighton-primo.hosted.exlibrisgroup.com/primo-explore/search?tab=default_tab&amp;search_scope=EVERYTHING&amp;vid=01CRU&amp;lang=en_US&amp;offset=0&amp;query=any,contains,991004620999702656","Catalog Record")</f>
        <v>Catalog Record</v>
      </c>
      <c r="AV1683" s="9" t="str">
        <f aca="false">HYPERLINK("http://www.worldcat.org/oclc/4295023","WorldCat Record")</f>
        <v>WorldCat Record</v>
      </c>
      <c r="AW1683" s="6" t="s">
        <v>14401</v>
      </c>
      <c r="AX1683" s="6" t="s">
        <v>14402</v>
      </c>
      <c r="AY1683" s="6" t="s">
        <v>14403</v>
      </c>
      <c r="AZ1683" s="6" t="s">
        <v>14403</v>
      </c>
      <c r="BA1683" s="6" t="s">
        <v>14404</v>
      </c>
      <c r="BB1683" s="28"/>
      <c r="BC1683" s="6" t="s">
        <v>14405</v>
      </c>
      <c r="BE1683" s="15" t="s">
        <v>2145</v>
      </c>
      <c r="BF1683" s="6" t="s">
        <v>14406</v>
      </c>
    </row>
    <row r="1684" customFormat="false" ht="255" hidden="false" customHeight="false" outlineLevel="0" collapsed="false">
      <c r="A1684" s="26" t="s">
        <v>63</v>
      </c>
      <c r="B1684" s="27" t="s">
        <v>2129</v>
      </c>
      <c r="C1684" s="27" t="s">
        <v>2130</v>
      </c>
      <c r="D1684" s="27" t="s">
        <v>14407</v>
      </c>
      <c r="E1684" s="27" t="s">
        <v>14408</v>
      </c>
      <c r="F1684" s="27" t="s">
        <v>14409</v>
      </c>
      <c r="G1684" s="28"/>
      <c r="H1684" s="6" t="s">
        <v>63</v>
      </c>
      <c r="I1684" s="6" t="s">
        <v>62</v>
      </c>
      <c r="J1684" s="6" t="s">
        <v>63</v>
      </c>
      <c r="K1684" s="6" t="s">
        <v>63</v>
      </c>
      <c r="L1684" s="6" t="s">
        <v>64</v>
      </c>
      <c r="M1684" s="27" t="s">
        <v>14410</v>
      </c>
      <c r="N1684" s="27" t="s">
        <v>14411</v>
      </c>
      <c r="O1684" s="6" t="s">
        <v>4025</v>
      </c>
      <c r="P1684" s="28"/>
      <c r="Q1684" s="6" t="s">
        <v>67</v>
      </c>
      <c r="R1684" s="6" t="s">
        <v>181</v>
      </c>
      <c r="S1684" s="28"/>
      <c r="T1684" s="6" t="s">
        <v>6138</v>
      </c>
      <c r="U1684" s="7" t="n">
        <v>1</v>
      </c>
      <c r="V1684" s="7" t="n">
        <v>1</v>
      </c>
      <c r="W1684" s="8" t="s">
        <v>14412</v>
      </c>
      <c r="X1684" s="8" t="s">
        <v>14412</v>
      </c>
      <c r="Y1684" s="8" t="s">
        <v>14413</v>
      </c>
      <c r="Z1684" s="8" t="s">
        <v>14413</v>
      </c>
      <c r="AA1684" s="7" t="n">
        <v>489</v>
      </c>
      <c r="AB1684" s="7" t="n">
        <v>395</v>
      </c>
      <c r="AC1684" s="7" t="n">
        <v>398</v>
      </c>
      <c r="AD1684" s="7" t="n">
        <v>3</v>
      </c>
      <c r="AE1684" s="7" t="n">
        <v>3</v>
      </c>
      <c r="AF1684" s="7" t="n">
        <v>34</v>
      </c>
      <c r="AG1684" s="7" t="n">
        <v>34</v>
      </c>
      <c r="AH1684" s="7" t="n">
        <v>12</v>
      </c>
      <c r="AI1684" s="7" t="n">
        <v>12</v>
      </c>
      <c r="AJ1684" s="7" t="n">
        <v>9</v>
      </c>
      <c r="AK1684" s="7" t="n">
        <v>9</v>
      </c>
      <c r="AL1684" s="7" t="n">
        <v>20</v>
      </c>
      <c r="AM1684" s="7" t="n">
        <v>20</v>
      </c>
      <c r="AN1684" s="7" t="n">
        <v>2</v>
      </c>
      <c r="AO1684" s="7" t="n">
        <v>2</v>
      </c>
      <c r="AP1684" s="7" t="n">
        <v>1</v>
      </c>
      <c r="AQ1684" s="7" t="n">
        <v>1</v>
      </c>
      <c r="AR1684" s="6" t="s">
        <v>63</v>
      </c>
      <c r="AS1684" s="6" t="s">
        <v>63</v>
      </c>
      <c r="AT1684" s="28"/>
      <c r="AU1684" s="9" t="str">
        <f aca="false">HYPERLINK("https://creighton-primo.hosted.exlibrisgroup.com/primo-explore/search?tab=default_tab&amp;search_scope=EVERYTHING&amp;vid=01CRU&amp;lang=en_US&amp;offset=0&amp;query=any,contains,991001850709702656","Catalog Record")</f>
        <v>Catalog Record</v>
      </c>
      <c r="AV1684" s="9" t="str">
        <f aca="false">HYPERLINK("http://www.worldcat.org/oclc/23219606","WorldCat Record")</f>
        <v>WorldCat Record</v>
      </c>
      <c r="AW1684" s="6" t="s">
        <v>14414</v>
      </c>
      <c r="AX1684" s="6" t="s">
        <v>14415</v>
      </c>
      <c r="AY1684" s="6" t="s">
        <v>14416</v>
      </c>
      <c r="AZ1684" s="6" t="s">
        <v>14416</v>
      </c>
      <c r="BA1684" s="6" t="s">
        <v>14417</v>
      </c>
      <c r="BB1684" s="6" t="s">
        <v>14418</v>
      </c>
      <c r="BC1684" s="6" t="s">
        <v>14419</v>
      </c>
      <c r="BE1684" s="15" t="s">
        <v>2145</v>
      </c>
      <c r="BF1684" s="6" t="s">
        <v>14420</v>
      </c>
    </row>
    <row r="1685" customFormat="false" ht="174.5" hidden="false" customHeight="false" outlineLevel="0" collapsed="false">
      <c r="A1685" s="26" t="s">
        <v>63</v>
      </c>
      <c r="B1685" s="27" t="s">
        <v>2129</v>
      </c>
      <c r="C1685" s="27" t="s">
        <v>2130</v>
      </c>
      <c r="D1685" s="27" t="s">
        <v>14421</v>
      </c>
      <c r="E1685" s="27" t="s">
        <v>14422</v>
      </c>
      <c r="F1685" s="27" t="s">
        <v>14423</v>
      </c>
      <c r="G1685" s="28"/>
      <c r="H1685" s="6" t="s">
        <v>63</v>
      </c>
      <c r="I1685" s="6" t="s">
        <v>62</v>
      </c>
      <c r="J1685" s="6" t="s">
        <v>63</v>
      </c>
      <c r="K1685" s="6" t="s">
        <v>63</v>
      </c>
      <c r="L1685" s="6" t="s">
        <v>64</v>
      </c>
      <c r="M1685" s="27" t="s">
        <v>14263</v>
      </c>
      <c r="N1685" s="27" t="s">
        <v>14424</v>
      </c>
      <c r="O1685" s="6" t="s">
        <v>9303</v>
      </c>
      <c r="P1685" s="28"/>
      <c r="Q1685" s="6" t="s">
        <v>67</v>
      </c>
      <c r="R1685" s="6" t="s">
        <v>222</v>
      </c>
      <c r="S1685" s="27" t="s">
        <v>14425</v>
      </c>
      <c r="T1685" s="6" t="s">
        <v>6138</v>
      </c>
      <c r="U1685" s="7" t="n">
        <v>4</v>
      </c>
      <c r="V1685" s="7" t="n">
        <v>4</v>
      </c>
      <c r="W1685" s="8" t="s">
        <v>14426</v>
      </c>
      <c r="X1685" s="8" t="s">
        <v>14426</v>
      </c>
      <c r="Y1685" s="8" t="s">
        <v>14427</v>
      </c>
      <c r="Z1685" s="8" t="s">
        <v>14427</v>
      </c>
      <c r="AA1685" s="7" t="n">
        <v>40</v>
      </c>
      <c r="AB1685" s="7" t="n">
        <v>26</v>
      </c>
      <c r="AC1685" s="7" t="n">
        <v>92</v>
      </c>
      <c r="AD1685" s="7" t="n">
        <v>2</v>
      </c>
      <c r="AE1685" s="7" t="n">
        <v>2</v>
      </c>
      <c r="AF1685" s="7" t="n">
        <v>1</v>
      </c>
      <c r="AG1685" s="7" t="n">
        <v>7</v>
      </c>
      <c r="AH1685" s="7" t="n">
        <v>0</v>
      </c>
      <c r="AI1685" s="7" t="n">
        <v>4</v>
      </c>
      <c r="AJ1685" s="7" t="n">
        <v>0</v>
      </c>
      <c r="AK1685" s="7" t="n">
        <v>1</v>
      </c>
      <c r="AL1685" s="7" t="n">
        <v>0</v>
      </c>
      <c r="AM1685" s="7" t="n">
        <v>2</v>
      </c>
      <c r="AN1685" s="7" t="n">
        <v>1</v>
      </c>
      <c r="AO1685" s="7" t="n">
        <v>1</v>
      </c>
      <c r="AP1685" s="7" t="n">
        <v>0</v>
      </c>
      <c r="AQ1685" s="7" t="n">
        <v>0</v>
      </c>
      <c r="AR1685" s="6" t="s">
        <v>63</v>
      </c>
      <c r="AS1685" s="6" t="s">
        <v>57</v>
      </c>
      <c r="AT1685" s="9" t="str">
        <f aca="false">HYPERLINK("http://catalog.hathitrust.org/Record/004433210","HathiTrust Record")</f>
        <v>HathiTrust Record</v>
      </c>
      <c r="AU1685" s="9" t="str">
        <f aca="false">HYPERLINK("https://creighton-primo.hosted.exlibrisgroup.com/primo-explore/search?tab=default_tab&amp;search_scope=EVERYTHING&amp;vid=01CRU&amp;lang=en_US&amp;offset=0&amp;query=any,contains,991001721969702656","Catalog Record")</f>
        <v>Catalog Record</v>
      </c>
      <c r="AV1685" s="9" t="str">
        <f aca="false">HYPERLINK("http://www.worldcat.org/oclc/21777650","WorldCat Record")</f>
        <v>WorldCat Record</v>
      </c>
      <c r="AW1685" s="6" t="s">
        <v>14428</v>
      </c>
      <c r="AX1685" s="6" t="s">
        <v>14429</v>
      </c>
      <c r="AY1685" s="6" t="s">
        <v>14430</v>
      </c>
      <c r="AZ1685" s="6" t="s">
        <v>14430</v>
      </c>
      <c r="BA1685" s="6" t="s">
        <v>14431</v>
      </c>
      <c r="BB1685" s="6" t="s">
        <v>14432</v>
      </c>
      <c r="BC1685" s="6" t="s">
        <v>14433</v>
      </c>
      <c r="BE1685" s="15" t="s">
        <v>2145</v>
      </c>
      <c r="BF1685" s="6" t="s">
        <v>14434</v>
      </c>
    </row>
    <row r="1686" customFormat="false" ht="163" hidden="false" customHeight="false" outlineLevel="0" collapsed="false">
      <c r="A1686" s="26" t="s">
        <v>63</v>
      </c>
      <c r="B1686" s="27" t="s">
        <v>2129</v>
      </c>
      <c r="C1686" s="27" t="s">
        <v>2130</v>
      </c>
      <c r="D1686" s="27" t="s">
        <v>14435</v>
      </c>
      <c r="E1686" s="27" t="s">
        <v>14436</v>
      </c>
      <c r="F1686" s="27" t="s">
        <v>14437</v>
      </c>
      <c r="G1686" s="28"/>
      <c r="H1686" s="6" t="s">
        <v>63</v>
      </c>
      <c r="I1686" s="6" t="s">
        <v>62</v>
      </c>
      <c r="J1686" s="6" t="s">
        <v>63</v>
      </c>
      <c r="K1686" s="6" t="s">
        <v>63</v>
      </c>
      <c r="L1686" s="6" t="s">
        <v>64</v>
      </c>
      <c r="M1686" s="27" t="s">
        <v>14438</v>
      </c>
      <c r="N1686" s="27" t="s">
        <v>14439</v>
      </c>
      <c r="O1686" s="6" t="s">
        <v>152</v>
      </c>
      <c r="P1686" s="28"/>
      <c r="Q1686" s="6" t="s">
        <v>67</v>
      </c>
      <c r="R1686" s="6" t="s">
        <v>1059</v>
      </c>
      <c r="S1686" s="28"/>
      <c r="T1686" s="6" t="s">
        <v>6138</v>
      </c>
      <c r="U1686" s="7" t="n">
        <v>6</v>
      </c>
      <c r="V1686" s="7" t="n">
        <v>6</v>
      </c>
      <c r="W1686" s="8" t="s">
        <v>14291</v>
      </c>
      <c r="X1686" s="8" t="s">
        <v>14291</v>
      </c>
      <c r="Y1686" s="8" t="s">
        <v>14267</v>
      </c>
      <c r="Z1686" s="8" t="s">
        <v>14267</v>
      </c>
      <c r="AA1686" s="7" t="n">
        <v>343</v>
      </c>
      <c r="AB1686" s="7" t="n">
        <v>307</v>
      </c>
      <c r="AC1686" s="7" t="n">
        <v>431</v>
      </c>
      <c r="AD1686" s="7" t="n">
        <v>2</v>
      </c>
      <c r="AE1686" s="7" t="n">
        <v>4</v>
      </c>
      <c r="AF1686" s="7" t="n">
        <v>27</v>
      </c>
      <c r="AG1686" s="7" t="n">
        <v>33</v>
      </c>
      <c r="AH1686" s="7" t="n">
        <v>11</v>
      </c>
      <c r="AI1686" s="7" t="n">
        <v>13</v>
      </c>
      <c r="AJ1686" s="7" t="n">
        <v>9</v>
      </c>
      <c r="AK1686" s="7" t="n">
        <v>9</v>
      </c>
      <c r="AL1686" s="7" t="n">
        <v>15</v>
      </c>
      <c r="AM1686" s="7" t="n">
        <v>18</v>
      </c>
      <c r="AN1686" s="7" t="n">
        <v>0</v>
      </c>
      <c r="AO1686" s="7" t="n">
        <v>2</v>
      </c>
      <c r="AP1686" s="7" t="n">
        <v>0</v>
      </c>
      <c r="AQ1686" s="7" t="n">
        <v>0</v>
      </c>
      <c r="AR1686" s="6" t="s">
        <v>63</v>
      </c>
      <c r="AS1686" s="6" t="s">
        <v>63</v>
      </c>
      <c r="AT1686" s="28"/>
      <c r="AU1686" s="9" t="str">
        <f aca="false">HYPERLINK("https://creighton-primo.hosted.exlibrisgroup.com/primo-explore/search?tab=default_tab&amp;search_scope=EVERYTHING&amp;vid=01CRU&amp;lang=en_US&amp;offset=0&amp;query=any,contains,991000320889702656","Catalog Record")</f>
        <v>Catalog Record</v>
      </c>
      <c r="AV1686" s="9" t="str">
        <f aca="false">HYPERLINK("http://www.worldcat.org/oclc/10146989","WorldCat Record")</f>
        <v>WorldCat Record</v>
      </c>
      <c r="AW1686" s="6" t="s">
        <v>14440</v>
      </c>
      <c r="AX1686" s="6" t="s">
        <v>14441</v>
      </c>
      <c r="AY1686" s="6" t="s">
        <v>14442</v>
      </c>
      <c r="AZ1686" s="6" t="s">
        <v>14442</v>
      </c>
      <c r="BA1686" s="6" t="s">
        <v>14443</v>
      </c>
      <c r="BB1686" s="6" t="s">
        <v>14444</v>
      </c>
      <c r="BC1686" s="6" t="s">
        <v>14445</v>
      </c>
      <c r="BE1686" s="15" t="s">
        <v>2145</v>
      </c>
      <c r="BF1686" s="6" t="s">
        <v>14446</v>
      </c>
    </row>
    <row r="1687" customFormat="false" ht="151.5" hidden="false" customHeight="false" outlineLevel="0" collapsed="false">
      <c r="A1687" s="26" t="s">
        <v>63</v>
      </c>
      <c r="B1687" s="27" t="s">
        <v>2129</v>
      </c>
      <c r="C1687" s="27" t="s">
        <v>2130</v>
      </c>
      <c r="D1687" s="27" t="s">
        <v>14447</v>
      </c>
      <c r="E1687" s="27" t="s">
        <v>14448</v>
      </c>
      <c r="F1687" s="27" t="s">
        <v>14449</v>
      </c>
      <c r="G1687" s="28"/>
      <c r="H1687" s="6" t="s">
        <v>63</v>
      </c>
      <c r="I1687" s="6" t="s">
        <v>62</v>
      </c>
      <c r="J1687" s="6" t="s">
        <v>63</v>
      </c>
      <c r="K1687" s="6" t="s">
        <v>57</v>
      </c>
      <c r="L1687" s="6" t="s">
        <v>64</v>
      </c>
      <c r="M1687" s="27" t="s">
        <v>14450</v>
      </c>
      <c r="N1687" s="27" t="s">
        <v>14451</v>
      </c>
      <c r="O1687" s="6" t="s">
        <v>3661</v>
      </c>
      <c r="P1687" s="28"/>
      <c r="Q1687" s="6" t="s">
        <v>67</v>
      </c>
      <c r="R1687" s="6" t="s">
        <v>384</v>
      </c>
      <c r="S1687" s="27" t="s">
        <v>14452</v>
      </c>
      <c r="T1687" s="6" t="s">
        <v>6138</v>
      </c>
      <c r="U1687" s="7" t="n">
        <v>6</v>
      </c>
      <c r="V1687" s="7" t="n">
        <v>6</v>
      </c>
      <c r="W1687" s="8" t="s">
        <v>10147</v>
      </c>
      <c r="X1687" s="8" t="s">
        <v>10147</v>
      </c>
      <c r="Y1687" s="8" t="s">
        <v>14267</v>
      </c>
      <c r="Z1687" s="8" t="s">
        <v>14267</v>
      </c>
      <c r="AA1687" s="7" t="n">
        <v>252</v>
      </c>
      <c r="AB1687" s="7" t="n">
        <v>182</v>
      </c>
      <c r="AC1687" s="7" t="n">
        <v>439</v>
      </c>
      <c r="AD1687" s="7" t="n">
        <v>2</v>
      </c>
      <c r="AE1687" s="7" t="n">
        <v>2</v>
      </c>
      <c r="AF1687" s="7" t="n">
        <v>13</v>
      </c>
      <c r="AG1687" s="7" t="n">
        <v>25</v>
      </c>
      <c r="AH1687" s="7" t="n">
        <v>3</v>
      </c>
      <c r="AI1687" s="7" t="n">
        <v>9</v>
      </c>
      <c r="AJ1687" s="7" t="n">
        <v>5</v>
      </c>
      <c r="AK1687" s="7" t="n">
        <v>8</v>
      </c>
      <c r="AL1687" s="7" t="n">
        <v>10</v>
      </c>
      <c r="AM1687" s="7" t="n">
        <v>16</v>
      </c>
      <c r="AN1687" s="7" t="n">
        <v>1</v>
      </c>
      <c r="AO1687" s="7" t="n">
        <v>1</v>
      </c>
      <c r="AP1687" s="7" t="n">
        <v>0</v>
      </c>
      <c r="AQ1687" s="7" t="n">
        <v>0</v>
      </c>
      <c r="AR1687" s="6" t="s">
        <v>63</v>
      </c>
      <c r="AS1687" s="6" t="s">
        <v>57</v>
      </c>
      <c r="AT1687" s="9" t="str">
        <f aca="false">HYPERLINK("http://catalog.hathitrust.org/Record/001139752","HathiTrust Record")</f>
        <v>HathiTrust Record</v>
      </c>
      <c r="AU1687" s="9" t="str">
        <f aca="false">HYPERLINK("https://creighton-primo.hosted.exlibrisgroup.com/primo-explore/search?tab=default_tab&amp;search_scope=EVERYTHING&amp;vid=01CRU&amp;lang=en_US&amp;offset=0&amp;query=any,contains,991004004699702656","Catalog Record")</f>
        <v>Catalog Record</v>
      </c>
      <c r="AV1687" s="9" t="str">
        <f aca="false">HYPERLINK("http://www.worldcat.org/oclc/2081871","WorldCat Record")</f>
        <v>WorldCat Record</v>
      </c>
      <c r="AW1687" s="6" t="s">
        <v>14453</v>
      </c>
      <c r="AX1687" s="6" t="s">
        <v>14454</v>
      </c>
      <c r="AY1687" s="6" t="s">
        <v>14455</v>
      </c>
      <c r="AZ1687" s="6" t="s">
        <v>14455</v>
      </c>
      <c r="BA1687" s="6" t="s">
        <v>14456</v>
      </c>
      <c r="BB1687" s="28"/>
      <c r="BC1687" s="6" t="s">
        <v>14457</v>
      </c>
      <c r="BE1687" s="15" t="s">
        <v>2145</v>
      </c>
      <c r="BF1687" s="6" t="s">
        <v>14458</v>
      </c>
    </row>
    <row r="1688" customFormat="false" ht="82.5" hidden="false" customHeight="false" outlineLevel="0" collapsed="false">
      <c r="A1688" s="26" t="s">
        <v>63</v>
      </c>
      <c r="B1688" s="27" t="s">
        <v>2129</v>
      </c>
      <c r="C1688" s="27" t="s">
        <v>2130</v>
      </c>
      <c r="D1688" s="27" t="s">
        <v>14459</v>
      </c>
      <c r="E1688" s="27" t="s">
        <v>14460</v>
      </c>
      <c r="F1688" s="27" t="s">
        <v>14461</v>
      </c>
      <c r="G1688" s="28"/>
      <c r="H1688" s="6" t="s">
        <v>63</v>
      </c>
      <c r="I1688" s="6" t="s">
        <v>62</v>
      </c>
      <c r="J1688" s="6" t="s">
        <v>63</v>
      </c>
      <c r="K1688" s="6" t="s">
        <v>63</v>
      </c>
      <c r="L1688" s="6" t="s">
        <v>64</v>
      </c>
      <c r="M1688" s="27" t="s">
        <v>14462</v>
      </c>
      <c r="N1688" s="27" t="s">
        <v>14463</v>
      </c>
      <c r="O1688" s="6" t="s">
        <v>3635</v>
      </c>
      <c r="P1688" s="27" t="s">
        <v>5054</v>
      </c>
      <c r="Q1688" s="6" t="s">
        <v>67</v>
      </c>
      <c r="R1688" s="6" t="s">
        <v>123</v>
      </c>
      <c r="S1688" s="28"/>
      <c r="T1688" s="6" t="s">
        <v>6138</v>
      </c>
      <c r="U1688" s="7" t="n">
        <v>16</v>
      </c>
      <c r="V1688" s="7" t="n">
        <v>16</v>
      </c>
      <c r="W1688" s="8" t="s">
        <v>2357</v>
      </c>
      <c r="X1688" s="8" t="s">
        <v>2357</v>
      </c>
      <c r="Y1688" s="8" t="s">
        <v>14267</v>
      </c>
      <c r="Z1688" s="8" t="s">
        <v>14267</v>
      </c>
      <c r="AA1688" s="7" t="n">
        <v>101</v>
      </c>
      <c r="AB1688" s="7" t="n">
        <v>90</v>
      </c>
      <c r="AC1688" s="7" t="n">
        <v>818</v>
      </c>
      <c r="AD1688" s="7" t="n">
        <v>1</v>
      </c>
      <c r="AE1688" s="7" t="n">
        <v>8</v>
      </c>
      <c r="AF1688" s="7" t="n">
        <v>5</v>
      </c>
      <c r="AG1688" s="7" t="n">
        <v>39</v>
      </c>
      <c r="AH1688" s="7" t="n">
        <v>2</v>
      </c>
      <c r="AI1688" s="7" t="n">
        <v>13</v>
      </c>
      <c r="AJ1688" s="7" t="n">
        <v>1</v>
      </c>
      <c r="AK1688" s="7" t="n">
        <v>9</v>
      </c>
      <c r="AL1688" s="7" t="n">
        <v>4</v>
      </c>
      <c r="AM1688" s="7" t="n">
        <v>20</v>
      </c>
      <c r="AN1688" s="7" t="n">
        <v>0</v>
      </c>
      <c r="AO1688" s="7" t="n">
        <v>6</v>
      </c>
      <c r="AP1688" s="7" t="n">
        <v>0</v>
      </c>
      <c r="AQ1688" s="7" t="n">
        <v>0</v>
      </c>
      <c r="AR1688" s="6" t="s">
        <v>63</v>
      </c>
      <c r="AS1688" s="6" t="s">
        <v>63</v>
      </c>
      <c r="AT1688" s="9" t="str">
        <f aca="false">HYPERLINK("http://catalog.hathitrust.org/Record/009514807","HathiTrust Record")</f>
        <v>HathiTrust Record</v>
      </c>
      <c r="AU1688" s="9" t="str">
        <f aca="false">HYPERLINK("https://creighton-primo.hosted.exlibrisgroup.com/primo-explore/search?tab=default_tab&amp;search_scope=EVERYTHING&amp;vid=01CRU&amp;lang=en_US&amp;offset=0&amp;query=any,contains,991003813839702656","Catalog Record")</f>
        <v>Catalog Record</v>
      </c>
      <c r="AV1688" s="9" t="str">
        <f aca="false">HYPERLINK("http://www.worldcat.org/oclc/1543774","WorldCat Record")</f>
        <v>WorldCat Record</v>
      </c>
      <c r="AW1688" s="6" t="s">
        <v>14464</v>
      </c>
      <c r="AX1688" s="6" t="s">
        <v>14465</v>
      </c>
      <c r="AY1688" s="6" t="s">
        <v>14466</v>
      </c>
      <c r="AZ1688" s="6" t="s">
        <v>14466</v>
      </c>
      <c r="BA1688" s="6" t="s">
        <v>14467</v>
      </c>
      <c r="BB1688" s="28"/>
      <c r="BC1688" s="6" t="s">
        <v>14468</v>
      </c>
      <c r="BE1688" s="15" t="s">
        <v>2145</v>
      </c>
      <c r="BF1688" s="6" t="s">
        <v>14469</v>
      </c>
    </row>
    <row r="1689" customFormat="false" ht="105.5" hidden="false" customHeight="false" outlineLevel="0" collapsed="false">
      <c r="A1689" s="26" t="s">
        <v>63</v>
      </c>
      <c r="B1689" s="27" t="s">
        <v>2129</v>
      </c>
      <c r="C1689" s="27" t="s">
        <v>2130</v>
      </c>
      <c r="D1689" s="27" t="s">
        <v>14470</v>
      </c>
      <c r="E1689" s="27" t="s">
        <v>14471</v>
      </c>
      <c r="F1689" s="27" t="s">
        <v>14472</v>
      </c>
      <c r="G1689" s="28"/>
      <c r="H1689" s="6" t="s">
        <v>63</v>
      </c>
      <c r="I1689" s="6" t="s">
        <v>62</v>
      </c>
      <c r="J1689" s="6" t="s">
        <v>63</v>
      </c>
      <c r="K1689" s="6" t="s">
        <v>57</v>
      </c>
      <c r="L1689" s="6" t="s">
        <v>64</v>
      </c>
      <c r="M1689" s="27" t="s">
        <v>14473</v>
      </c>
      <c r="N1689" s="27" t="s">
        <v>11944</v>
      </c>
      <c r="O1689" s="6" t="s">
        <v>221</v>
      </c>
      <c r="P1689" s="28"/>
      <c r="Q1689" s="6" t="s">
        <v>67</v>
      </c>
      <c r="R1689" s="6" t="s">
        <v>181</v>
      </c>
      <c r="S1689" s="28"/>
      <c r="T1689" s="6" t="s">
        <v>6138</v>
      </c>
      <c r="U1689" s="7" t="n">
        <v>8</v>
      </c>
      <c r="V1689" s="7" t="n">
        <v>8</v>
      </c>
      <c r="W1689" s="8" t="s">
        <v>14474</v>
      </c>
      <c r="X1689" s="8" t="s">
        <v>14474</v>
      </c>
      <c r="Y1689" s="8" t="s">
        <v>14267</v>
      </c>
      <c r="Z1689" s="8" t="s">
        <v>14267</v>
      </c>
      <c r="AA1689" s="7" t="n">
        <v>583</v>
      </c>
      <c r="AB1689" s="7" t="n">
        <v>456</v>
      </c>
      <c r="AC1689" s="7" t="n">
        <v>499</v>
      </c>
      <c r="AD1689" s="7" t="n">
        <v>4</v>
      </c>
      <c r="AE1689" s="7" t="n">
        <v>4</v>
      </c>
      <c r="AF1689" s="7" t="n">
        <v>31</v>
      </c>
      <c r="AG1689" s="7" t="n">
        <v>33</v>
      </c>
      <c r="AH1689" s="7" t="n">
        <v>13</v>
      </c>
      <c r="AI1689" s="7" t="n">
        <v>14</v>
      </c>
      <c r="AJ1689" s="7" t="n">
        <v>8</v>
      </c>
      <c r="AK1689" s="7" t="n">
        <v>9</v>
      </c>
      <c r="AL1689" s="7" t="n">
        <v>18</v>
      </c>
      <c r="AM1689" s="7" t="n">
        <v>19</v>
      </c>
      <c r="AN1689" s="7" t="n">
        <v>2</v>
      </c>
      <c r="AO1689" s="7" t="n">
        <v>2</v>
      </c>
      <c r="AP1689" s="7" t="n">
        <v>0</v>
      </c>
      <c r="AQ1689" s="7" t="n">
        <v>0</v>
      </c>
      <c r="AR1689" s="6" t="s">
        <v>63</v>
      </c>
      <c r="AS1689" s="6" t="s">
        <v>63</v>
      </c>
      <c r="AT1689" s="28"/>
      <c r="AU1689" s="9" t="str">
        <f aca="false">HYPERLINK("https://creighton-primo.hosted.exlibrisgroup.com/primo-explore/search?tab=default_tab&amp;search_scope=EVERYTHING&amp;vid=01CRU&amp;lang=en_US&amp;offset=0&amp;query=any,contains,991005402109702656","Catalog Record")</f>
        <v>Catalog Record</v>
      </c>
      <c r="AV1689" s="9" t="str">
        <f aca="false">HYPERLINK("http://www.worldcat.org/oclc/9370952","WorldCat Record")</f>
        <v>WorldCat Record</v>
      </c>
      <c r="AW1689" s="6" t="s">
        <v>14475</v>
      </c>
      <c r="AX1689" s="6" t="s">
        <v>14476</v>
      </c>
      <c r="AY1689" s="6" t="s">
        <v>14477</v>
      </c>
      <c r="AZ1689" s="6" t="s">
        <v>14477</v>
      </c>
      <c r="BA1689" s="6" t="s">
        <v>14478</v>
      </c>
      <c r="BB1689" s="6" t="s">
        <v>14479</v>
      </c>
      <c r="BC1689" s="6" t="s">
        <v>14480</v>
      </c>
      <c r="BE1689" s="15" t="s">
        <v>2145</v>
      </c>
      <c r="BF1689" s="6" t="s">
        <v>14481</v>
      </c>
    </row>
    <row r="1690" customFormat="false" ht="140" hidden="false" customHeight="false" outlineLevel="0" collapsed="false">
      <c r="A1690" s="26" t="s">
        <v>63</v>
      </c>
      <c r="B1690" s="27" t="s">
        <v>2129</v>
      </c>
      <c r="C1690" s="27" t="s">
        <v>2130</v>
      </c>
      <c r="D1690" s="27" t="s">
        <v>14482</v>
      </c>
      <c r="E1690" s="27" t="s">
        <v>14483</v>
      </c>
      <c r="F1690" s="27" t="s">
        <v>14484</v>
      </c>
      <c r="G1690" s="28"/>
      <c r="H1690" s="6" t="s">
        <v>63</v>
      </c>
      <c r="I1690" s="6" t="s">
        <v>62</v>
      </c>
      <c r="J1690" s="6" t="s">
        <v>63</v>
      </c>
      <c r="K1690" s="6" t="s">
        <v>63</v>
      </c>
      <c r="L1690" s="6" t="s">
        <v>64</v>
      </c>
      <c r="M1690" s="27" t="s">
        <v>14485</v>
      </c>
      <c r="N1690" s="27" t="s">
        <v>14486</v>
      </c>
      <c r="O1690" s="6" t="s">
        <v>3919</v>
      </c>
      <c r="P1690" s="28"/>
      <c r="Q1690" s="6" t="s">
        <v>67</v>
      </c>
      <c r="R1690" s="6" t="s">
        <v>802</v>
      </c>
      <c r="S1690" s="27" t="s">
        <v>14487</v>
      </c>
      <c r="T1690" s="6" t="s">
        <v>6138</v>
      </c>
      <c r="U1690" s="7" t="n">
        <v>3</v>
      </c>
      <c r="V1690" s="7" t="n">
        <v>3</v>
      </c>
      <c r="W1690" s="8" t="s">
        <v>14488</v>
      </c>
      <c r="X1690" s="8" t="s">
        <v>14488</v>
      </c>
      <c r="Y1690" s="8" t="s">
        <v>14267</v>
      </c>
      <c r="Z1690" s="8" t="s">
        <v>14267</v>
      </c>
      <c r="AA1690" s="7" t="n">
        <v>225</v>
      </c>
      <c r="AB1690" s="7" t="n">
        <v>152</v>
      </c>
      <c r="AC1690" s="7" t="n">
        <v>155</v>
      </c>
      <c r="AD1690" s="7" t="n">
        <v>1</v>
      </c>
      <c r="AE1690" s="7" t="n">
        <v>1</v>
      </c>
      <c r="AF1690" s="7" t="n">
        <v>11</v>
      </c>
      <c r="AG1690" s="7" t="n">
        <v>11</v>
      </c>
      <c r="AH1690" s="7" t="n">
        <v>2</v>
      </c>
      <c r="AI1690" s="7" t="n">
        <v>2</v>
      </c>
      <c r="AJ1690" s="7" t="n">
        <v>3</v>
      </c>
      <c r="AK1690" s="7" t="n">
        <v>3</v>
      </c>
      <c r="AL1690" s="7" t="n">
        <v>10</v>
      </c>
      <c r="AM1690" s="7" t="n">
        <v>10</v>
      </c>
      <c r="AN1690" s="7" t="n">
        <v>0</v>
      </c>
      <c r="AO1690" s="7" t="n">
        <v>0</v>
      </c>
      <c r="AP1690" s="7" t="n">
        <v>0</v>
      </c>
      <c r="AQ1690" s="7" t="n">
        <v>0</v>
      </c>
      <c r="AR1690" s="6" t="s">
        <v>63</v>
      </c>
      <c r="AS1690" s="6" t="s">
        <v>57</v>
      </c>
      <c r="AT1690" s="9" t="str">
        <f aca="false">HYPERLINK("http://catalog.hathitrust.org/Record/001227727","HathiTrust Record")</f>
        <v>HathiTrust Record</v>
      </c>
      <c r="AU1690" s="9" t="str">
        <f aca="false">HYPERLINK("https://creighton-primo.hosted.exlibrisgroup.com/primo-explore/search?tab=default_tab&amp;search_scope=EVERYTHING&amp;vid=01CRU&amp;lang=en_US&amp;offset=0&amp;query=any,contains,991002998149702656","Catalog Record")</f>
        <v>Catalog Record</v>
      </c>
      <c r="AV1690" s="9" t="str">
        <f aca="false">HYPERLINK("http://www.worldcat.org/oclc/566554","WorldCat Record")</f>
        <v>WorldCat Record</v>
      </c>
      <c r="AW1690" s="6" t="s">
        <v>14489</v>
      </c>
      <c r="AX1690" s="6" t="s">
        <v>14490</v>
      </c>
      <c r="AY1690" s="6" t="s">
        <v>14491</v>
      </c>
      <c r="AZ1690" s="6" t="s">
        <v>14491</v>
      </c>
      <c r="BA1690" s="6" t="s">
        <v>14492</v>
      </c>
      <c r="BB1690" s="28"/>
      <c r="BC1690" s="6" t="s">
        <v>14493</v>
      </c>
      <c r="BE1690" s="15" t="s">
        <v>2145</v>
      </c>
      <c r="BF1690" s="6" t="s">
        <v>14494</v>
      </c>
    </row>
    <row r="1691" customFormat="false" ht="82.5" hidden="false" customHeight="false" outlineLevel="0" collapsed="false">
      <c r="A1691" s="26" t="s">
        <v>63</v>
      </c>
      <c r="B1691" s="27" t="s">
        <v>2129</v>
      </c>
      <c r="C1691" s="27" t="s">
        <v>2130</v>
      </c>
      <c r="D1691" s="27" t="s">
        <v>14495</v>
      </c>
      <c r="E1691" s="27" t="s">
        <v>14496</v>
      </c>
      <c r="F1691" s="27" t="s">
        <v>14497</v>
      </c>
      <c r="G1691" s="28"/>
      <c r="H1691" s="6" t="s">
        <v>63</v>
      </c>
      <c r="I1691" s="6" t="s">
        <v>62</v>
      </c>
      <c r="J1691" s="6" t="s">
        <v>63</v>
      </c>
      <c r="K1691" s="6" t="s">
        <v>63</v>
      </c>
      <c r="L1691" s="6" t="s">
        <v>64</v>
      </c>
      <c r="M1691" s="27" t="s">
        <v>12699</v>
      </c>
      <c r="N1691" s="27" t="s">
        <v>14498</v>
      </c>
      <c r="O1691" s="6" t="s">
        <v>8146</v>
      </c>
      <c r="P1691" s="28"/>
      <c r="Q1691" s="6" t="s">
        <v>67</v>
      </c>
      <c r="R1691" s="6" t="s">
        <v>123</v>
      </c>
      <c r="S1691" s="28"/>
      <c r="T1691" s="6" t="s">
        <v>6138</v>
      </c>
      <c r="U1691" s="7" t="n">
        <v>3</v>
      </c>
      <c r="V1691" s="7" t="n">
        <v>3</v>
      </c>
      <c r="W1691" s="8" t="s">
        <v>14499</v>
      </c>
      <c r="X1691" s="8" t="s">
        <v>14499</v>
      </c>
      <c r="Y1691" s="8" t="s">
        <v>14267</v>
      </c>
      <c r="Z1691" s="8" t="s">
        <v>14267</v>
      </c>
      <c r="AA1691" s="7" t="n">
        <v>487</v>
      </c>
      <c r="AB1691" s="7" t="n">
        <v>333</v>
      </c>
      <c r="AC1691" s="7" t="n">
        <v>419</v>
      </c>
      <c r="AD1691" s="7" t="n">
        <v>2</v>
      </c>
      <c r="AE1691" s="7" t="n">
        <v>2</v>
      </c>
      <c r="AF1691" s="7" t="n">
        <v>25</v>
      </c>
      <c r="AG1691" s="7" t="n">
        <v>32</v>
      </c>
      <c r="AH1691" s="7" t="n">
        <v>6</v>
      </c>
      <c r="AI1691" s="7" t="n">
        <v>11</v>
      </c>
      <c r="AJ1691" s="7" t="n">
        <v>8</v>
      </c>
      <c r="AK1691" s="7" t="n">
        <v>9</v>
      </c>
      <c r="AL1691" s="7" t="n">
        <v>18</v>
      </c>
      <c r="AM1691" s="7" t="n">
        <v>20</v>
      </c>
      <c r="AN1691" s="7" t="n">
        <v>1</v>
      </c>
      <c r="AO1691" s="7" t="n">
        <v>1</v>
      </c>
      <c r="AP1691" s="7" t="n">
        <v>0</v>
      </c>
      <c r="AQ1691" s="7" t="n">
        <v>0</v>
      </c>
      <c r="AR1691" s="6" t="s">
        <v>63</v>
      </c>
      <c r="AS1691" s="6" t="s">
        <v>57</v>
      </c>
      <c r="AT1691" s="9" t="str">
        <f aca="false">HYPERLINK("http://catalog.hathitrust.org/Record/001380685","HathiTrust Record")</f>
        <v>HathiTrust Record</v>
      </c>
      <c r="AU1691" s="9" t="str">
        <f aca="false">HYPERLINK("https://creighton-primo.hosted.exlibrisgroup.com/primo-explore/search?tab=default_tab&amp;search_scope=EVERYTHING&amp;vid=01CRU&amp;lang=en_US&amp;offset=0&amp;query=any,contains,991002743959702656","Catalog Record")</f>
        <v>Catalog Record</v>
      </c>
      <c r="AV1691" s="9" t="str">
        <f aca="false">HYPERLINK("http://www.worldcat.org/oclc/422028","WorldCat Record")</f>
        <v>WorldCat Record</v>
      </c>
      <c r="AW1691" s="6" t="s">
        <v>14500</v>
      </c>
      <c r="AX1691" s="6" t="s">
        <v>14501</v>
      </c>
      <c r="AY1691" s="6" t="s">
        <v>14502</v>
      </c>
      <c r="AZ1691" s="6" t="s">
        <v>14502</v>
      </c>
      <c r="BA1691" s="6" t="s">
        <v>14503</v>
      </c>
      <c r="BB1691" s="28"/>
      <c r="BC1691" s="6" t="s">
        <v>14504</v>
      </c>
      <c r="BE1691" s="15" t="s">
        <v>2145</v>
      </c>
      <c r="BF1691" s="6" t="s">
        <v>14505</v>
      </c>
    </row>
    <row r="1692" customFormat="false" ht="71" hidden="false" customHeight="false" outlineLevel="0" collapsed="false">
      <c r="A1692" s="26" t="s">
        <v>63</v>
      </c>
      <c r="B1692" s="27" t="s">
        <v>2129</v>
      </c>
      <c r="C1692" s="27" t="s">
        <v>2130</v>
      </c>
      <c r="D1692" s="27" t="s">
        <v>14506</v>
      </c>
      <c r="E1692" s="27" t="s">
        <v>14507</v>
      </c>
      <c r="F1692" s="27" t="s">
        <v>14508</v>
      </c>
      <c r="G1692" s="28"/>
      <c r="H1692" s="6" t="s">
        <v>63</v>
      </c>
      <c r="I1692" s="6" t="s">
        <v>62</v>
      </c>
      <c r="J1692" s="6" t="s">
        <v>63</v>
      </c>
      <c r="K1692" s="6" t="s">
        <v>63</v>
      </c>
      <c r="L1692" s="6" t="s">
        <v>64</v>
      </c>
      <c r="M1692" s="27" t="s">
        <v>14509</v>
      </c>
      <c r="N1692" s="27" t="s">
        <v>14510</v>
      </c>
      <c r="O1692" s="6" t="s">
        <v>2315</v>
      </c>
      <c r="P1692" s="28"/>
      <c r="Q1692" s="6" t="s">
        <v>67</v>
      </c>
      <c r="R1692" s="6" t="s">
        <v>802</v>
      </c>
      <c r="S1692" s="27" t="s">
        <v>14511</v>
      </c>
      <c r="T1692" s="6" t="s">
        <v>6138</v>
      </c>
      <c r="U1692" s="7" t="n">
        <v>2</v>
      </c>
      <c r="V1692" s="7" t="n">
        <v>2</v>
      </c>
      <c r="W1692" s="8" t="s">
        <v>14512</v>
      </c>
      <c r="X1692" s="8" t="s">
        <v>14512</v>
      </c>
      <c r="Y1692" s="8" t="s">
        <v>14267</v>
      </c>
      <c r="Z1692" s="8" t="s">
        <v>14267</v>
      </c>
      <c r="AA1692" s="7" t="n">
        <v>284</v>
      </c>
      <c r="AB1692" s="7" t="n">
        <v>167</v>
      </c>
      <c r="AC1692" s="7" t="n">
        <v>180</v>
      </c>
      <c r="AD1692" s="7" t="n">
        <v>2</v>
      </c>
      <c r="AE1692" s="7" t="n">
        <v>2</v>
      </c>
      <c r="AF1692" s="7" t="n">
        <v>12</v>
      </c>
      <c r="AG1692" s="7" t="n">
        <v>12</v>
      </c>
      <c r="AH1692" s="7" t="n">
        <v>3</v>
      </c>
      <c r="AI1692" s="7" t="n">
        <v>3</v>
      </c>
      <c r="AJ1692" s="7" t="n">
        <v>2</v>
      </c>
      <c r="AK1692" s="7" t="n">
        <v>2</v>
      </c>
      <c r="AL1692" s="7" t="n">
        <v>10</v>
      </c>
      <c r="AM1692" s="7" t="n">
        <v>10</v>
      </c>
      <c r="AN1692" s="7" t="n">
        <v>1</v>
      </c>
      <c r="AO1692" s="7" t="n">
        <v>1</v>
      </c>
      <c r="AP1692" s="7" t="n">
        <v>0</v>
      </c>
      <c r="AQ1692" s="7" t="n">
        <v>0</v>
      </c>
      <c r="AR1692" s="6" t="s">
        <v>63</v>
      </c>
      <c r="AS1692" s="6" t="s">
        <v>57</v>
      </c>
      <c r="AT1692" s="9" t="str">
        <f aca="false">HYPERLINK("http://catalog.hathitrust.org/Record/000466463","HathiTrust Record")</f>
        <v>HathiTrust Record</v>
      </c>
      <c r="AU1692" s="9" t="str">
        <f aca="false">HYPERLINK("https://creighton-primo.hosted.exlibrisgroup.com/primo-explore/search?tab=default_tab&amp;search_scope=EVERYTHING&amp;vid=01CRU&amp;lang=en_US&amp;offset=0&amp;query=any,contains,991000728239702656","Catalog Record")</f>
        <v>Catalog Record</v>
      </c>
      <c r="AV1692" s="9" t="str">
        <f aca="false">HYPERLINK("http://www.worldcat.org/oclc/12719187","WorldCat Record")</f>
        <v>WorldCat Record</v>
      </c>
      <c r="AW1692" s="6" t="s">
        <v>14513</v>
      </c>
      <c r="AX1692" s="6" t="s">
        <v>14514</v>
      </c>
      <c r="AY1692" s="6" t="s">
        <v>14515</v>
      </c>
      <c r="AZ1692" s="6" t="s">
        <v>14515</v>
      </c>
      <c r="BA1692" s="6" t="s">
        <v>14516</v>
      </c>
      <c r="BB1692" s="28"/>
      <c r="BC1692" s="6" t="s">
        <v>14517</v>
      </c>
      <c r="BE1692" s="15" t="s">
        <v>2145</v>
      </c>
      <c r="BF1692" s="6" t="s">
        <v>14518</v>
      </c>
    </row>
    <row r="1693" customFormat="false" ht="128.5" hidden="false" customHeight="false" outlineLevel="0" collapsed="false">
      <c r="A1693" s="26" t="s">
        <v>63</v>
      </c>
      <c r="B1693" s="27" t="s">
        <v>2129</v>
      </c>
      <c r="C1693" s="27" t="s">
        <v>2130</v>
      </c>
      <c r="D1693" s="27" t="s">
        <v>14519</v>
      </c>
      <c r="E1693" s="27" t="s">
        <v>14520</v>
      </c>
      <c r="F1693" s="27" t="s">
        <v>14521</v>
      </c>
      <c r="G1693" s="28"/>
      <c r="H1693" s="6" t="s">
        <v>63</v>
      </c>
      <c r="I1693" s="6" t="s">
        <v>62</v>
      </c>
      <c r="J1693" s="6" t="s">
        <v>63</v>
      </c>
      <c r="K1693" s="6" t="s">
        <v>63</v>
      </c>
      <c r="L1693" s="6" t="s">
        <v>64</v>
      </c>
      <c r="M1693" s="27" t="s">
        <v>14522</v>
      </c>
      <c r="N1693" s="27" t="s">
        <v>14523</v>
      </c>
      <c r="O1693" s="6" t="s">
        <v>7401</v>
      </c>
      <c r="P1693" s="27" t="s">
        <v>255</v>
      </c>
      <c r="Q1693" s="6" t="s">
        <v>67</v>
      </c>
      <c r="R1693" s="6" t="s">
        <v>68</v>
      </c>
      <c r="S1693" s="28"/>
      <c r="T1693" s="6" t="s">
        <v>6138</v>
      </c>
      <c r="U1693" s="7" t="n">
        <v>1</v>
      </c>
      <c r="V1693" s="7" t="n">
        <v>1</v>
      </c>
      <c r="W1693" s="8" t="s">
        <v>9619</v>
      </c>
      <c r="X1693" s="8" t="s">
        <v>9619</v>
      </c>
      <c r="Y1693" s="8" t="s">
        <v>14267</v>
      </c>
      <c r="Z1693" s="8" t="s">
        <v>14267</v>
      </c>
      <c r="AA1693" s="7" t="n">
        <v>280</v>
      </c>
      <c r="AB1693" s="7" t="n">
        <v>254</v>
      </c>
      <c r="AC1693" s="7" t="n">
        <v>255</v>
      </c>
      <c r="AD1693" s="7" t="n">
        <v>3</v>
      </c>
      <c r="AE1693" s="7" t="n">
        <v>3</v>
      </c>
      <c r="AF1693" s="7" t="n">
        <v>16</v>
      </c>
      <c r="AG1693" s="7" t="n">
        <v>16</v>
      </c>
      <c r="AH1693" s="7" t="n">
        <v>3</v>
      </c>
      <c r="AI1693" s="7" t="n">
        <v>3</v>
      </c>
      <c r="AJ1693" s="7" t="n">
        <v>6</v>
      </c>
      <c r="AK1693" s="7" t="n">
        <v>6</v>
      </c>
      <c r="AL1693" s="7" t="n">
        <v>10</v>
      </c>
      <c r="AM1693" s="7" t="n">
        <v>10</v>
      </c>
      <c r="AN1693" s="7" t="n">
        <v>2</v>
      </c>
      <c r="AO1693" s="7" t="n">
        <v>2</v>
      </c>
      <c r="AP1693" s="7" t="n">
        <v>0</v>
      </c>
      <c r="AQ1693" s="7" t="n">
        <v>0</v>
      </c>
      <c r="AR1693" s="6" t="s">
        <v>63</v>
      </c>
      <c r="AS1693" s="6" t="s">
        <v>63</v>
      </c>
      <c r="AT1693" s="28"/>
      <c r="AU1693" s="9" t="str">
        <f aca="false">HYPERLINK("https://creighton-primo.hosted.exlibrisgroup.com/primo-explore/search?tab=default_tab&amp;search_scope=EVERYTHING&amp;vid=01CRU&amp;lang=en_US&amp;offset=0&amp;query=any,contains,991002934139702656","Catalog Record")</f>
        <v>Catalog Record</v>
      </c>
      <c r="AV1693" s="9" t="str">
        <f aca="false">HYPERLINK("http://www.worldcat.org/oclc/531870","WorldCat Record")</f>
        <v>WorldCat Record</v>
      </c>
      <c r="AW1693" s="6" t="s">
        <v>14524</v>
      </c>
      <c r="AX1693" s="6" t="s">
        <v>14525</v>
      </c>
      <c r="AY1693" s="6" t="s">
        <v>14526</v>
      </c>
      <c r="AZ1693" s="6" t="s">
        <v>14526</v>
      </c>
      <c r="BA1693" s="6" t="s">
        <v>14527</v>
      </c>
      <c r="BB1693" s="28"/>
      <c r="BC1693" s="6" t="s">
        <v>14528</v>
      </c>
      <c r="BE1693" s="15" t="s">
        <v>2145</v>
      </c>
      <c r="BF1693" s="6" t="s">
        <v>14529</v>
      </c>
    </row>
    <row r="1694" customFormat="false" ht="71" hidden="false" customHeight="false" outlineLevel="0" collapsed="false">
      <c r="A1694" s="26" t="s">
        <v>63</v>
      </c>
      <c r="B1694" s="27" t="s">
        <v>2129</v>
      </c>
      <c r="C1694" s="27" t="s">
        <v>2130</v>
      </c>
      <c r="D1694" s="27" t="s">
        <v>14530</v>
      </c>
      <c r="E1694" s="27" t="s">
        <v>14531</v>
      </c>
      <c r="F1694" s="27" t="s">
        <v>14263</v>
      </c>
      <c r="G1694" s="28"/>
      <c r="H1694" s="6" t="s">
        <v>63</v>
      </c>
      <c r="I1694" s="6" t="s">
        <v>62</v>
      </c>
      <c r="J1694" s="6" t="s">
        <v>63</v>
      </c>
      <c r="K1694" s="6" t="s">
        <v>63</v>
      </c>
      <c r="L1694" s="6" t="s">
        <v>64</v>
      </c>
      <c r="M1694" s="27" t="s">
        <v>12699</v>
      </c>
      <c r="N1694" s="27" t="s">
        <v>14532</v>
      </c>
      <c r="O1694" s="6" t="s">
        <v>2811</v>
      </c>
      <c r="P1694" s="28"/>
      <c r="Q1694" s="6" t="s">
        <v>67</v>
      </c>
      <c r="R1694" s="6" t="s">
        <v>68</v>
      </c>
      <c r="S1694" s="28"/>
      <c r="T1694" s="6" t="s">
        <v>6138</v>
      </c>
      <c r="U1694" s="7" t="n">
        <v>5</v>
      </c>
      <c r="V1694" s="7" t="n">
        <v>5</v>
      </c>
      <c r="W1694" s="8" t="s">
        <v>3621</v>
      </c>
      <c r="X1694" s="8" t="s">
        <v>3621</v>
      </c>
      <c r="Y1694" s="8" t="s">
        <v>14267</v>
      </c>
      <c r="Z1694" s="8" t="s">
        <v>14267</v>
      </c>
      <c r="AA1694" s="7" t="n">
        <v>82</v>
      </c>
      <c r="AB1694" s="7" t="n">
        <v>70</v>
      </c>
      <c r="AC1694" s="7" t="n">
        <v>586</v>
      </c>
      <c r="AD1694" s="7" t="n">
        <v>2</v>
      </c>
      <c r="AE1694" s="7" t="n">
        <v>8</v>
      </c>
      <c r="AF1694" s="7" t="n">
        <v>3</v>
      </c>
      <c r="AG1694" s="7" t="n">
        <v>30</v>
      </c>
      <c r="AH1694" s="7" t="n">
        <v>0</v>
      </c>
      <c r="AI1694" s="7" t="n">
        <v>10</v>
      </c>
      <c r="AJ1694" s="7" t="n">
        <v>1</v>
      </c>
      <c r="AK1694" s="7" t="n">
        <v>6</v>
      </c>
      <c r="AL1694" s="7" t="n">
        <v>2</v>
      </c>
      <c r="AM1694" s="7" t="n">
        <v>10</v>
      </c>
      <c r="AN1694" s="7" t="n">
        <v>0</v>
      </c>
      <c r="AO1694" s="7" t="n">
        <v>6</v>
      </c>
      <c r="AP1694" s="7" t="n">
        <v>1</v>
      </c>
      <c r="AQ1694" s="7" t="n">
        <v>2</v>
      </c>
      <c r="AR1694" s="6" t="s">
        <v>63</v>
      </c>
      <c r="AS1694" s="6" t="s">
        <v>57</v>
      </c>
      <c r="AT1694" s="9" t="str">
        <f aca="false">HYPERLINK("http://catalog.hathitrust.org/Record/012177337","HathiTrust Record")</f>
        <v>HathiTrust Record</v>
      </c>
      <c r="AU1694" s="9" t="str">
        <f aca="false">HYPERLINK("https://creighton-primo.hosted.exlibrisgroup.com/primo-explore/search?tab=default_tab&amp;search_scope=EVERYTHING&amp;vid=01CRU&amp;lang=en_US&amp;offset=0&amp;query=any,contains,991000906939702656","Catalog Record")</f>
        <v>Catalog Record</v>
      </c>
      <c r="AV1694" s="9" t="str">
        <f aca="false">HYPERLINK("http://www.worldcat.org/oclc/157751","WorldCat Record")</f>
        <v>WorldCat Record</v>
      </c>
      <c r="AW1694" s="6" t="s">
        <v>14533</v>
      </c>
      <c r="AX1694" s="6" t="s">
        <v>14534</v>
      </c>
      <c r="AY1694" s="6" t="s">
        <v>14535</v>
      </c>
      <c r="AZ1694" s="6" t="s">
        <v>14535</v>
      </c>
      <c r="BA1694" s="6" t="s">
        <v>14536</v>
      </c>
      <c r="BB1694" s="6" t="s">
        <v>14537</v>
      </c>
      <c r="BC1694" s="6" t="s">
        <v>14538</v>
      </c>
      <c r="BE1694" s="15" t="s">
        <v>2145</v>
      </c>
      <c r="BF1694" s="6" t="s">
        <v>14539</v>
      </c>
    </row>
    <row r="1695" customFormat="false" ht="117" hidden="false" customHeight="false" outlineLevel="0" collapsed="false">
      <c r="A1695" s="26" t="s">
        <v>63</v>
      </c>
      <c r="B1695" s="27" t="s">
        <v>2129</v>
      </c>
      <c r="C1695" s="27" t="s">
        <v>2130</v>
      </c>
      <c r="D1695" s="27" t="s">
        <v>14540</v>
      </c>
      <c r="E1695" s="27" t="s">
        <v>14541</v>
      </c>
      <c r="F1695" s="27" t="s">
        <v>14542</v>
      </c>
      <c r="G1695" s="28"/>
      <c r="H1695" s="6" t="s">
        <v>63</v>
      </c>
      <c r="I1695" s="6" t="s">
        <v>62</v>
      </c>
      <c r="J1695" s="6" t="s">
        <v>63</v>
      </c>
      <c r="K1695" s="6" t="s">
        <v>63</v>
      </c>
      <c r="L1695" s="6" t="s">
        <v>64</v>
      </c>
      <c r="M1695" s="27" t="s">
        <v>14543</v>
      </c>
      <c r="N1695" s="27" t="s">
        <v>14544</v>
      </c>
      <c r="O1695" s="6" t="s">
        <v>4053</v>
      </c>
      <c r="P1695" s="28"/>
      <c r="Q1695" s="6" t="s">
        <v>67</v>
      </c>
      <c r="R1695" s="6" t="s">
        <v>222</v>
      </c>
      <c r="S1695" s="28"/>
      <c r="T1695" s="6" t="s">
        <v>6138</v>
      </c>
      <c r="U1695" s="7" t="n">
        <v>3</v>
      </c>
      <c r="V1695" s="7" t="n">
        <v>3</v>
      </c>
      <c r="W1695" s="8" t="s">
        <v>9619</v>
      </c>
      <c r="X1695" s="8" t="s">
        <v>9619</v>
      </c>
      <c r="Y1695" s="8" t="s">
        <v>14267</v>
      </c>
      <c r="Z1695" s="8" t="s">
        <v>14267</v>
      </c>
      <c r="AA1695" s="7" t="n">
        <v>377</v>
      </c>
      <c r="AB1695" s="7" t="n">
        <v>343</v>
      </c>
      <c r="AC1695" s="7" t="n">
        <v>474</v>
      </c>
      <c r="AD1695" s="7" t="n">
        <v>3</v>
      </c>
      <c r="AE1695" s="7" t="n">
        <v>3</v>
      </c>
      <c r="AF1695" s="7" t="n">
        <v>18</v>
      </c>
      <c r="AG1695" s="7" t="n">
        <v>26</v>
      </c>
      <c r="AH1695" s="7" t="n">
        <v>7</v>
      </c>
      <c r="AI1695" s="7" t="n">
        <v>10</v>
      </c>
      <c r="AJ1695" s="7" t="n">
        <v>4</v>
      </c>
      <c r="AK1695" s="7" t="n">
        <v>6</v>
      </c>
      <c r="AL1695" s="7" t="n">
        <v>11</v>
      </c>
      <c r="AM1695" s="7" t="n">
        <v>16</v>
      </c>
      <c r="AN1695" s="7" t="n">
        <v>1</v>
      </c>
      <c r="AO1695" s="7" t="n">
        <v>1</v>
      </c>
      <c r="AP1695" s="7" t="n">
        <v>0</v>
      </c>
      <c r="AQ1695" s="7" t="n">
        <v>0</v>
      </c>
      <c r="AR1695" s="6" t="s">
        <v>63</v>
      </c>
      <c r="AS1695" s="6" t="s">
        <v>57</v>
      </c>
      <c r="AT1695" s="9" t="str">
        <f aca="false">HYPERLINK("http://catalog.hathitrust.org/Record/001380702","HathiTrust Record")</f>
        <v>HathiTrust Record</v>
      </c>
      <c r="AU1695" s="9" t="str">
        <f aca="false">HYPERLINK("https://creighton-primo.hosted.exlibrisgroup.com/primo-explore/search?tab=default_tab&amp;search_scope=EVERYTHING&amp;vid=01CRU&amp;lang=en_US&amp;offset=0&amp;query=any,contains,991003772689702656","Catalog Record")</f>
        <v>Catalog Record</v>
      </c>
      <c r="AV1695" s="9" t="str">
        <f aca="false">HYPERLINK("http://www.worldcat.org/oclc/1474650","WorldCat Record")</f>
        <v>WorldCat Record</v>
      </c>
      <c r="AW1695" s="6" t="s">
        <v>14545</v>
      </c>
      <c r="AX1695" s="6" t="s">
        <v>14546</v>
      </c>
      <c r="AY1695" s="6" t="s">
        <v>14547</v>
      </c>
      <c r="AZ1695" s="6" t="s">
        <v>14547</v>
      </c>
      <c r="BA1695" s="6" t="s">
        <v>14548</v>
      </c>
      <c r="BB1695" s="28"/>
      <c r="BC1695" s="6" t="s">
        <v>14549</v>
      </c>
      <c r="BE1695" s="15" t="s">
        <v>2145</v>
      </c>
      <c r="BF1695" s="6" t="s">
        <v>14550</v>
      </c>
    </row>
    <row r="1696" customFormat="false" ht="94" hidden="false" customHeight="false" outlineLevel="0" collapsed="false">
      <c r="A1696" s="26" t="s">
        <v>63</v>
      </c>
      <c r="B1696" s="27" t="s">
        <v>2129</v>
      </c>
      <c r="C1696" s="27" t="s">
        <v>2130</v>
      </c>
      <c r="D1696" s="27" t="s">
        <v>14551</v>
      </c>
      <c r="E1696" s="27" t="s">
        <v>14552</v>
      </c>
      <c r="F1696" s="27" t="s">
        <v>14553</v>
      </c>
      <c r="G1696" s="28"/>
      <c r="H1696" s="6" t="s">
        <v>63</v>
      </c>
      <c r="I1696" s="6" t="s">
        <v>62</v>
      </c>
      <c r="J1696" s="6" t="s">
        <v>63</v>
      </c>
      <c r="K1696" s="6" t="s">
        <v>63</v>
      </c>
      <c r="L1696" s="6" t="s">
        <v>64</v>
      </c>
      <c r="M1696" s="27" t="s">
        <v>14554</v>
      </c>
      <c r="N1696" s="27" t="s">
        <v>14555</v>
      </c>
      <c r="O1696" s="6" t="s">
        <v>2136</v>
      </c>
      <c r="P1696" s="28"/>
      <c r="Q1696" s="6" t="s">
        <v>67</v>
      </c>
      <c r="R1696" s="6" t="s">
        <v>123</v>
      </c>
      <c r="S1696" s="28"/>
      <c r="T1696" s="6" t="s">
        <v>6138</v>
      </c>
      <c r="U1696" s="7" t="n">
        <v>12</v>
      </c>
      <c r="V1696" s="7" t="n">
        <v>12</v>
      </c>
      <c r="W1696" s="8" t="s">
        <v>14025</v>
      </c>
      <c r="X1696" s="8" t="s">
        <v>14025</v>
      </c>
      <c r="Y1696" s="8" t="s">
        <v>14267</v>
      </c>
      <c r="Z1696" s="8" t="s">
        <v>14267</v>
      </c>
      <c r="AA1696" s="7" t="n">
        <v>144</v>
      </c>
      <c r="AB1696" s="7" t="n">
        <v>110</v>
      </c>
      <c r="AC1696" s="7" t="n">
        <v>161</v>
      </c>
      <c r="AD1696" s="7" t="n">
        <v>1</v>
      </c>
      <c r="AE1696" s="7" t="n">
        <v>2</v>
      </c>
      <c r="AF1696" s="7" t="n">
        <v>8</v>
      </c>
      <c r="AG1696" s="7" t="n">
        <v>11</v>
      </c>
      <c r="AH1696" s="7" t="n">
        <v>1</v>
      </c>
      <c r="AI1696" s="7" t="n">
        <v>2</v>
      </c>
      <c r="AJ1696" s="7" t="n">
        <v>2</v>
      </c>
      <c r="AK1696" s="7" t="n">
        <v>3</v>
      </c>
      <c r="AL1696" s="7" t="n">
        <v>7</v>
      </c>
      <c r="AM1696" s="7" t="n">
        <v>9</v>
      </c>
      <c r="AN1696" s="7" t="n">
        <v>0</v>
      </c>
      <c r="AO1696" s="7" t="n">
        <v>1</v>
      </c>
      <c r="AP1696" s="7" t="n">
        <v>0</v>
      </c>
      <c r="AQ1696" s="7" t="n">
        <v>0</v>
      </c>
      <c r="AR1696" s="6" t="s">
        <v>63</v>
      </c>
      <c r="AS1696" s="6" t="s">
        <v>63</v>
      </c>
      <c r="AT1696" s="28"/>
      <c r="AU1696" s="9" t="str">
        <f aca="false">HYPERLINK("https://creighton-primo.hosted.exlibrisgroup.com/primo-explore/search?tab=default_tab&amp;search_scope=EVERYTHING&amp;vid=01CRU&amp;lang=en_US&amp;offset=0&amp;query=any,contains,991003731429702656","Catalog Record")</f>
        <v>Catalog Record</v>
      </c>
      <c r="AV1696" s="9" t="str">
        <f aca="false">HYPERLINK("http://www.worldcat.org/oclc/1383000","WorldCat Record")</f>
        <v>WorldCat Record</v>
      </c>
      <c r="AW1696" s="6" t="s">
        <v>14556</v>
      </c>
      <c r="AX1696" s="6" t="s">
        <v>14557</v>
      </c>
      <c r="AY1696" s="6" t="s">
        <v>14558</v>
      </c>
      <c r="AZ1696" s="6" t="s">
        <v>14558</v>
      </c>
      <c r="BA1696" s="6" t="s">
        <v>14559</v>
      </c>
      <c r="BB1696" s="28"/>
      <c r="BC1696" s="6" t="s">
        <v>14560</v>
      </c>
      <c r="BE1696" s="15" t="s">
        <v>2145</v>
      </c>
      <c r="BF1696" s="6" t="s">
        <v>14561</v>
      </c>
    </row>
    <row r="1697" customFormat="false" ht="71" hidden="false" customHeight="false" outlineLevel="0" collapsed="false">
      <c r="A1697" s="26" t="s">
        <v>63</v>
      </c>
      <c r="B1697" s="27" t="s">
        <v>2129</v>
      </c>
      <c r="C1697" s="27" t="s">
        <v>2130</v>
      </c>
      <c r="D1697" s="27" t="s">
        <v>14562</v>
      </c>
      <c r="E1697" s="27" t="s">
        <v>14563</v>
      </c>
      <c r="F1697" s="27" t="s">
        <v>14564</v>
      </c>
      <c r="G1697" s="28"/>
      <c r="H1697" s="6" t="s">
        <v>63</v>
      </c>
      <c r="I1697" s="6" t="s">
        <v>62</v>
      </c>
      <c r="J1697" s="6" t="s">
        <v>63</v>
      </c>
      <c r="K1697" s="6" t="s">
        <v>63</v>
      </c>
      <c r="L1697" s="6" t="s">
        <v>64</v>
      </c>
      <c r="M1697" s="27" t="s">
        <v>14565</v>
      </c>
      <c r="N1697" s="27" t="s">
        <v>14566</v>
      </c>
      <c r="O1697" s="6" t="s">
        <v>2557</v>
      </c>
      <c r="P1697" s="28"/>
      <c r="Q1697" s="6" t="s">
        <v>67</v>
      </c>
      <c r="R1697" s="6" t="s">
        <v>68</v>
      </c>
      <c r="S1697" s="28"/>
      <c r="T1697" s="6" t="s">
        <v>6138</v>
      </c>
      <c r="U1697" s="7" t="n">
        <v>9</v>
      </c>
      <c r="V1697" s="7" t="n">
        <v>9</v>
      </c>
      <c r="W1697" s="8" t="s">
        <v>11823</v>
      </c>
      <c r="X1697" s="8" t="s">
        <v>11823</v>
      </c>
      <c r="Y1697" s="8" t="s">
        <v>14567</v>
      </c>
      <c r="Z1697" s="8" t="s">
        <v>14567</v>
      </c>
      <c r="AA1697" s="7" t="n">
        <v>310</v>
      </c>
      <c r="AB1697" s="7" t="n">
        <v>263</v>
      </c>
      <c r="AC1697" s="7" t="n">
        <v>515</v>
      </c>
      <c r="AD1697" s="7" t="n">
        <v>1</v>
      </c>
      <c r="AE1697" s="7" t="n">
        <v>2</v>
      </c>
      <c r="AF1697" s="7" t="n">
        <v>12</v>
      </c>
      <c r="AG1697" s="7" t="n">
        <v>24</v>
      </c>
      <c r="AH1697" s="7" t="n">
        <v>4</v>
      </c>
      <c r="AI1697" s="7" t="n">
        <v>8</v>
      </c>
      <c r="AJ1697" s="7" t="n">
        <v>3</v>
      </c>
      <c r="AK1697" s="7" t="n">
        <v>6</v>
      </c>
      <c r="AL1697" s="7" t="n">
        <v>8</v>
      </c>
      <c r="AM1697" s="7" t="n">
        <v>14</v>
      </c>
      <c r="AN1697" s="7" t="n">
        <v>0</v>
      </c>
      <c r="AO1697" s="7" t="n">
        <v>1</v>
      </c>
      <c r="AP1697" s="7" t="n">
        <v>0</v>
      </c>
      <c r="AQ1697" s="7" t="n">
        <v>0</v>
      </c>
      <c r="AR1697" s="6" t="s">
        <v>63</v>
      </c>
      <c r="AS1697" s="6" t="s">
        <v>57</v>
      </c>
      <c r="AT1697" s="9" t="str">
        <f aca="false">HYPERLINK("http://catalog.hathitrust.org/Record/001380713","HathiTrust Record")</f>
        <v>HathiTrust Record</v>
      </c>
      <c r="AU1697" s="9" t="str">
        <f aca="false">HYPERLINK("https://creighton-primo.hosted.exlibrisgroup.com/primo-explore/search?tab=default_tab&amp;search_scope=EVERYTHING&amp;vid=01CRU&amp;lang=en_US&amp;offset=0&amp;query=any,contains,991003687749702656","Catalog Record")</f>
        <v>Catalog Record</v>
      </c>
      <c r="AV1697" s="9" t="str">
        <f aca="false">HYPERLINK("http://www.worldcat.org/oclc/1316735","WorldCat Record")</f>
        <v>WorldCat Record</v>
      </c>
      <c r="AW1697" s="6" t="s">
        <v>14568</v>
      </c>
      <c r="AX1697" s="6" t="s">
        <v>14569</v>
      </c>
      <c r="AY1697" s="6" t="s">
        <v>14570</v>
      </c>
      <c r="AZ1697" s="6" t="s">
        <v>14570</v>
      </c>
      <c r="BA1697" s="6" t="s">
        <v>14571</v>
      </c>
      <c r="BB1697" s="28"/>
      <c r="BC1697" s="6" t="s">
        <v>14572</v>
      </c>
      <c r="BE1697" s="15" t="s">
        <v>2145</v>
      </c>
      <c r="BF1697" s="6" t="s">
        <v>14573</v>
      </c>
    </row>
    <row r="1698" customFormat="false" ht="94" hidden="false" customHeight="false" outlineLevel="0" collapsed="false">
      <c r="A1698" s="26" t="s">
        <v>63</v>
      </c>
      <c r="B1698" s="27" t="s">
        <v>2129</v>
      </c>
      <c r="C1698" s="27" t="s">
        <v>2130</v>
      </c>
      <c r="D1698" s="27" t="s">
        <v>14574</v>
      </c>
      <c r="E1698" s="27" t="s">
        <v>14575</v>
      </c>
      <c r="F1698" s="27" t="s">
        <v>14576</v>
      </c>
      <c r="G1698" s="28"/>
      <c r="H1698" s="6" t="s">
        <v>63</v>
      </c>
      <c r="I1698" s="6" t="s">
        <v>62</v>
      </c>
      <c r="J1698" s="6" t="s">
        <v>63</v>
      </c>
      <c r="K1698" s="6" t="s">
        <v>63</v>
      </c>
      <c r="L1698" s="6" t="s">
        <v>64</v>
      </c>
      <c r="M1698" s="27" t="s">
        <v>14577</v>
      </c>
      <c r="N1698" s="27" t="s">
        <v>14578</v>
      </c>
      <c r="O1698" s="6" t="s">
        <v>2693</v>
      </c>
      <c r="P1698" s="28"/>
      <c r="Q1698" s="6" t="s">
        <v>67</v>
      </c>
      <c r="R1698" s="6" t="s">
        <v>68</v>
      </c>
      <c r="S1698" s="28"/>
      <c r="T1698" s="6" t="s">
        <v>6138</v>
      </c>
      <c r="U1698" s="7" t="n">
        <v>8</v>
      </c>
      <c r="V1698" s="7" t="n">
        <v>8</v>
      </c>
      <c r="W1698" s="8" t="s">
        <v>5066</v>
      </c>
      <c r="X1698" s="8" t="s">
        <v>5066</v>
      </c>
      <c r="Y1698" s="8" t="s">
        <v>14567</v>
      </c>
      <c r="Z1698" s="8" t="s">
        <v>14567</v>
      </c>
      <c r="AA1698" s="7" t="n">
        <v>456</v>
      </c>
      <c r="AB1698" s="7" t="n">
        <v>414</v>
      </c>
      <c r="AC1698" s="7" t="n">
        <v>495</v>
      </c>
      <c r="AD1698" s="7" t="n">
        <v>3</v>
      </c>
      <c r="AE1698" s="7" t="n">
        <v>4</v>
      </c>
      <c r="AF1698" s="7" t="n">
        <v>16</v>
      </c>
      <c r="AG1698" s="7" t="n">
        <v>21</v>
      </c>
      <c r="AH1698" s="7" t="n">
        <v>5</v>
      </c>
      <c r="AI1698" s="7" t="n">
        <v>5</v>
      </c>
      <c r="AJ1698" s="7" t="n">
        <v>4</v>
      </c>
      <c r="AK1698" s="7" t="n">
        <v>6</v>
      </c>
      <c r="AL1698" s="7" t="n">
        <v>10</v>
      </c>
      <c r="AM1698" s="7" t="n">
        <v>13</v>
      </c>
      <c r="AN1698" s="7" t="n">
        <v>1</v>
      </c>
      <c r="AO1698" s="7" t="n">
        <v>2</v>
      </c>
      <c r="AP1698" s="7" t="n">
        <v>0</v>
      </c>
      <c r="AQ1698" s="7" t="n">
        <v>0</v>
      </c>
      <c r="AR1698" s="6" t="s">
        <v>63</v>
      </c>
      <c r="AS1698" s="6" t="s">
        <v>57</v>
      </c>
      <c r="AT1698" s="9" t="str">
        <f aca="false">HYPERLINK("http://catalog.hathitrust.org/Record/007124437","HathiTrust Record")</f>
        <v>HathiTrust Record</v>
      </c>
      <c r="AU1698" s="9" t="str">
        <f aca="false">HYPERLINK("https://creighton-primo.hosted.exlibrisgroup.com/primo-explore/search?tab=default_tab&amp;search_scope=EVERYTHING&amp;vid=01CRU&amp;lang=en_US&amp;offset=0&amp;query=any,contains,991003792529702656","Catalog Record")</f>
        <v>Catalog Record</v>
      </c>
      <c r="AV1698" s="9" t="str">
        <f aca="false">HYPERLINK("http://www.worldcat.org/oclc/1511887","WorldCat Record")</f>
        <v>WorldCat Record</v>
      </c>
      <c r="AW1698" s="6" t="s">
        <v>14579</v>
      </c>
      <c r="AX1698" s="6" t="s">
        <v>14580</v>
      </c>
      <c r="AY1698" s="6" t="s">
        <v>14581</v>
      </c>
      <c r="AZ1698" s="6" t="s">
        <v>14581</v>
      </c>
      <c r="BA1698" s="6" t="s">
        <v>14582</v>
      </c>
      <c r="BB1698" s="28"/>
      <c r="BC1698" s="6" t="s">
        <v>14583</v>
      </c>
      <c r="BE1698" s="15" t="s">
        <v>2145</v>
      </c>
      <c r="BF1698" s="6" t="s">
        <v>14584</v>
      </c>
    </row>
    <row r="1699" customFormat="false" ht="71" hidden="false" customHeight="false" outlineLevel="0" collapsed="false">
      <c r="A1699" s="26" t="s">
        <v>63</v>
      </c>
      <c r="B1699" s="27" t="s">
        <v>2129</v>
      </c>
      <c r="C1699" s="27" t="s">
        <v>2130</v>
      </c>
      <c r="D1699" s="27" t="s">
        <v>14585</v>
      </c>
      <c r="E1699" s="27" t="s">
        <v>14586</v>
      </c>
      <c r="F1699" s="27" t="s">
        <v>14587</v>
      </c>
      <c r="G1699" s="28"/>
      <c r="H1699" s="6" t="s">
        <v>63</v>
      </c>
      <c r="I1699" s="6" t="s">
        <v>62</v>
      </c>
      <c r="J1699" s="6" t="s">
        <v>63</v>
      </c>
      <c r="K1699" s="6" t="s">
        <v>63</v>
      </c>
      <c r="L1699" s="6" t="s">
        <v>64</v>
      </c>
      <c r="M1699" s="27" t="s">
        <v>14588</v>
      </c>
      <c r="N1699" s="27" t="s">
        <v>14589</v>
      </c>
      <c r="O1699" s="6" t="s">
        <v>2797</v>
      </c>
      <c r="P1699" s="28"/>
      <c r="Q1699" s="6" t="s">
        <v>67</v>
      </c>
      <c r="R1699" s="6" t="s">
        <v>222</v>
      </c>
      <c r="S1699" s="27" t="s">
        <v>14590</v>
      </c>
      <c r="T1699" s="6" t="s">
        <v>6138</v>
      </c>
      <c r="U1699" s="7" t="n">
        <v>15</v>
      </c>
      <c r="V1699" s="7" t="n">
        <v>15</v>
      </c>
      <c r="W1699" s="8" t="s">
        <v>14591</v>
      </c>
      <c r="X1699" s="8" t="s">
        <v>14591</v>
      </c>
      <c r="Y1699" s="8" t="s">
        <v>4487</v>
      </c>
      <c r="Z1699" s="8" t="s">
        <v>4487</v>
      </c>
      <c r="AA1699" s="7" t="n">
        <v>541</v>
      </c>
      <c r="AB1699" s="7" t="n">
        <v>492</v>
      </c>
      <c r="AC1699" s="7" t="n">
        <v>998</v>
      </c>
      <c r="AD1699" s="7" t="n">
        <v>2</v>
      </c>
      <c r="AE1699" s="7" t="n">
        <v>4</v>
      </c>
      <c r="AF1699" s="7" t="n">
        <v>25</v>
      </c>
      <c r="AG1699" s="7" t="n">
        <v>46</v>
      </c>
      <c r="AH1699" s="7" t="n">
        <v>11</v>
      </c>
      <c r="AI1699" s="7" t="n">
        <v>21</v>
      </c>
      <c r="AJ1699" s="7" t="n">
        <v>8</v>
      </c>
      <c r="AK1699" s="7" t="n">
        <v>11</v>
      </c>
      <c r="AL1699" s="7" t="n">
        <v>11</v>
      </c>
      <c r="AM1699" s="7" t="n">
        <v>24</v>
      </c>
      <c r="AN1699" s="7" t="n">
        <v>1</v>
      </c>
      <c r="AO1699" s="7" t="n">
        <v>2</v>
      </c>
      <c r="AP1699" s="7" t="n">
        <v>0</v>
      </c>
      <c r="AQ1699" s="7" t="n">
        <v>0</v>
      </c>
      <c r="AR1699" s="6" t="s">
        <v>63</v>
      </c>
      <c r="AS1699" s="6" t="s">
        <v>63</v>
      </c>
      <c r="AT1699" s="28"/>
      <c r="AU1699" s="9" t="str">
        <f aca="false">HYPERLINK("https://creighton-primo.hosted.exlibrisgroup.com/primo-explore/search?tab=default_tab&amp;search_scope=EVERYTHING&amp;vid=01CRU&amp;lang=en_US&amp;offset=0&amp;query=any,contains,991002570839702656","Catalog Record")</f>
        <v>Catalog Record</v>
      </c>
      <c r="AV1699" s="9" t="str">
        <f aca="false">HYPERLINK("http://www.worldcat.org/oclc/373630","WorldCat Record")</f>
        <v>WorldCat Record</v>
      </c>
      <c r="AW1699" s="6" t="s">
        <v>14592</v>
      </c>
      <c r="AX1699" s="6" t="s">
        <v>14593</v>
      </c>
      <c r="AY1699" s="6" t="s">
        <v>14594</v>
      </c>
      <c r="AZ1699" s="6" t="s">
        <v>14594</v>
      </c>
      <c r="BA1699" s="6" t="s">
        <v>14595</v>
      </c>
      <c r="BB1699" s="28"/>
      <c r="BC1699" s="6" t="s">
        <v>14596</v>
      </c>
      <c r="BE1699" s="15" t="s">
        <v>2145</v>
      </c>
      <c r="BF1699" s="6" t="s">
        <v>14597</v>
      </c>
    </row>
    <row r="1700" customFormat="false" ht="105.5" hidden="false" customHeight="false" outlineLevel="0" collapsed="false">
      <c r="A1700" s="26" t="s">
        <v>63</v>
      </c>
      <c r="B1700" s="27" t="s">
        <v>2129</v>
      </c>
      <c r="C1700" s="27" t="s">
        <v>2130</v>
      </c>
      <c r="D1700" s="27" t="s">
        <v>14598</v>
      </c>
      <c r="E1700" s="27" t="s">
        <v>14599</v>
      </c>
      <c r="F1700" s="27" t="s">
        <v>14600</v>
      </c>
      <c r="G1700" s="28"/>
      <c r="H1700" s="6" t="s">
        <v>63</v>
      </c>
      <c r="I1700" s="6" t="s">
        <v>62</v>
      </c>
      <c r="J1700" s="6" t="s">
        <v>63</v>
      </c>
      <c r="K1700" s="6" t="s">
        <v>63</v>
      </c>
      <c r="L1700" s="6" t="s">
        <v>64</v>
      </c>
      <c r="M1700" s="27" t="s">
        <v>14601</v>
      </c>
      <c r="N1700" s="27" t="s">
        <v>14602</v>
      </c>
      <c r="O1700" s="6" t="s">
        <v>3661</v>
      </c>
      <c r="P1700" s="28"/>
      <c r="Q1700" s="6" t="s">
        <v>67</v>
      </c>
      <c r="R1700" s="6" t="s">
        <v>68</v>
      </c>
      <c r="S1700" s="27" t="s">
        <v>7201</v>
      </c>
      <c r="T1700" s="6" t="s">
        <v>6138</v>
      </c>
      <c r="U1700" s="7" t="n">
        <v>15</v>
      </c>
      <c r="V1700" s="7" t="n">
        <v>15</v>
      </c>
      <c r="W1700" s="8" t="s">
        <v>14603</v>
      </c>
      <c r="X1700" s="8" t="s">
        <v>14603</v>
      </c>
      <c r="Y1700" s="8" t="s">
        <v>14567</v>
      </c>
      <c r="Z1700" s="8" t="s">
        <v>14567</v>
      </c>
      <c r="AA1700" s="7" t="n">
        <v>117</v>
      </c>
      <c r="AB1700" s="7" t="n">
        <v>110</v>
      </c>
      <c r="AC1700" s="7" t="n">
        <v>416</v>
      </c>
      <c r="AD1700" s="7" t="n">
        <v>3</v>
      </c>
      <c r="AE1700" s="7" t="n">
        <v>3</v>
      </c>
      <c r="AF1700" s="7" t="n">
        <v>9</v>
      </c>
      <c r="AG1700" s="7" t="n">
        <v>27</v>
      </c>
      <c r="AH1700" s="7" t="n">
        <v>3</v>
      </c>
      <c r="AI1700" s="7" t="n">
        <v>13</v>
      </c>
      <c r="AJ1700" s="7" t="n">
        <v>2</v>
      </c>
      <c r="AK1700" s="7" t="n">
        <v>5</v>
      </c>
      <c r="AL1700" s="7" t="n">
        <v>6</v>
      </c>
      <c r="AM1700" s="7" t="n">
        <v>18</v>
      </c>
      <c r="AN1700" s="7" t="n">
        <v>1</v>
      </c>
      <c r="AO1700" s="7" t="n">
        <v>1</v>
      </c>
      <c r="AP1700" s="7" t="n">
        <v>0</v>
      </c>
      <c r="AQ1700" s="7" t="n">
        <v>0</v>
      </c>
      <c r="AR1700" s="6" t="s">
        <v>63</v>
      </c>
      <c r="AS1700" s="6" t="s">
        <v>63</v>
      </c>
      <c r="AT1700" s="9" t="str">
        <f aca="false">HYPERLINK("http://catalog.hathitrust.org/Record/001380743","HathiTrust Record")</f>
        <v>HathiTrust Record</v>
      </c>
      <c r="AU1700" s="9" t="str">
        <f aca="false">HYPERLINK("https://creighton-primo.hosted.exlibrisgroup.com/primo-explore/search?tab=default_tab&amp;search_scope=EVERYTHING&amp;vid=01CRU&amp;lang=en_US&amp;offset=0&amp;query=any,contains,991004703419702656","Catalog Record")</f>
        <v>Catalog Record</v>
      </c>
      <c r="AV1700" s="9" t="str">
        <f aca="false">HYPERLINK("http://www.worldcat.org/oclc/4690852","WorldCat Record")</f>
        <v>WorldCat Record</v>
      </c>
      <c r="AW1700" s="6" t="s">
        <v>14604</v>
      </c>
      <c r="AX1700" s="6" t="s">
        <v>14605</v>
      </c>
      <c r="AY1700" s="6" t="s">
        <v>14606</v>
      </c>
      <c r="AZ1700" s="6" t="s">
        <v>14606</v>
      </c>
      <c r="BA1700" s="6" t="s">
        <v>14607</v>
      </c>
      <c r="BB1700" s="28"/>
      <c r="BC1700" s="6" t="s">
        <v>14608</v>
      </c>
      <c r="BE1700" s="15" t="s">
        <v>2145</v>
      </c>
      <c r="BF1700" s="6" t="s">
        <v>14609</v>
      </c>
    </row>
    <row r="1701" customFormat="false" ht="105.5" hidden="false" customHeight="false" outlineLevel="0" collapsed="false">
      <c r="A1701" s="26" t="s">
        <v>63</v>
      </c>
      <c r="B1701" s="27" t="s">
        <v>2129</v>
      </c>
      <c r="C1701" s="27" t="s">
        <v>2130</v>
      </c>
      <c r="D1701" s="27" t="s">
        <v>14610</v>
      </c>
      <c r="E1701" s="27" t="s">
        <v>14611</v>
      </c>
      <c r="F1701" s="27" t="s">
        <v>14612</v>
      </c>
      <c r="G1701" s="28"/>
      <c r="H1701" s="6" t="s">
        <v>63</v>
      </c>
      <c r="I1701" s="6" t="s">
        <v>62</v>
      </c>
      <c r="J1701" s="6" t="s">
        <v>63</v>
      </c>
      <c r="K1701" s="6" t="s">
        <v>63</v>
      </c>
      <c r="L1701" s="6" t="s">
        <v>64</v>
      </c>
      <c r="M1701" s="28"/>
      <c r="N1701" s="27" t="s">
        <v>14613</v>
      </c>
      <c r="O1701" s="6" t="s">
        <v>2221</v>
      </c>
      <c r="P1701" s="28"/>
      <c r="Q1701" s="6" t="s">
        <v>67</v>
      </c>
      <c r="R1701" s="6" t="s">
        <v>68</v>
      </c>
      <c r="S1701" s="28"/>
      <c r="T1701" s="6" t="s">
        <v>6138</v>
      </c>
      <c r="U1701" s="7" t="n">
        <v>6</v>
      </c>
      <c r="V1701" s="7" t="n">
        <v>6</v>
      </c>
      <c r="W1701" s="8" t="s">
        <v>14614</v>
      </c>
      <c r="X1701" s="8" t="s">
        <v>14614</v>
      </c>
      <c r="Y1701" s="8" t="s">
        <v>4652</v>
      </c>
      <c r="Z1701" s="8" t="s">
        <v>4652</v>
      </c>
      <c r="AA1701" s="7" t="n">
        <v>582</v>
      </c>
      <c r="AB1701" s="7" t="n">
        <v>447</v>
      </c>
      <c r="AC1701" s="7" t="n">
        <v>484</v>
      </c>
      <c r="AD1701" s="7" t="n">
        <v>3</v>
      </c>
      <c r="AE1701" s="7" t="n">
        <v>4</v>
      </c>
      <c r="AF1701" s="7" t="n">
        <v>35</v>
      </c>
      <c r="AG1701" s="7" t="n">
        <v>36</v>
      </c>
      <c r="AH1701" s="7" t="n">
        <v>14</v>
      </c>
      <c r="AI1701" s="7" t="n">
        <v>14</v>
      </c>
      <c r="AJ1701" s="7" t="n">
        <v>9</v>
      </c>
      <c r="AK1701" s="7" t="n">
        <v>9</v>
      </c>
      <c r="AL1701" s="7" t="n">
        <v>20</v>
      </c>
      <c r="AM1701" s="7" t="n">
        <v>20</v>
      </c>
      <c r="AN1701" s="7" t="n">
        <v>2</v>
      </c>
      <c r="AO1701" s="7" t="n">
        <v>3</v>
      </c>
      <c r="AP1701" s="7" t="n">
        <v>0</v>
      </c>
      <c r="AQ1701" s="7" t="n">
        <v>0</v>
      </c>
      <c r="AR1701" s="6" t="s">
        <v>63</v>
      </c>
      <c r="AS1701" s="6" t="s">
        <v>57</v>
      </c>
      <c r="AT1701" s="9" t="str">
        <f aca="false">HYPERLINK("http://catalog.hathitrust.org/Record/000929597","HathiTrust Record")</f>
        <v>HathiTrust Record</v>
      </c>
      <c r="AU1701" s="9" t="str">
        <f aca="false">HYPERLINK("https://creighton-primo.hosted.exlibrisgroup.com/primo-explore/search?tab=default_tab&amp;search_scope=EVERYTHING&amp;vid=01CRU&amp;lang=en_US&amp;offset=0&amp;query=any,contains,991001166579702656","Catalog Record")</f>
        <v>Catalog Record</v>
      </c>
      <c r="AV1701" s="9" t="str">
        <f aca="false">HYPERLINK("http://www.worldcat.org/oclc/16924062","WorldCat Record")</f>
        <v>WorldCat Record</v>
      </c>
      <c r="AW1701" s="6" t="s">
        <v>14615</v>
      </c>
      <c r="AX1701" s="6" t="s">
        <v>14616</v>
      </c>
      <c r="AY1701" s="6" t="s">
        <v>14617</v>
      </c>
      <c r="AZ1701" s="6" t="s">
        <v>14617</v>
      </c>
      <c r="BA1701" s="6" t="s">
        <v>14618</v>
      </c>
      <c r="BB1701" s="6" t="s">
        <v>14619</v>
      </c>
      <c r="BC1701" s="6" t="s">
        <v>14620</v>
      </c>
      <c r="BE1701" s="15" t="s">
        <v>2145</v>
      </c>
      <c r="BF1701" s="6" t="s">
        <v>14621</v>
      </c>
    </row>
    <row r="1702" customFormat="false" ht="82.5" hidden="false" customHeight="false" outlineLevel="0" collapsed="false">
      <c r="A1702" s="26" t="s">
        <v>63</v>
      </c>
      <c r="B1702" s="27" t="s">
        <v>2129</v>
      </c>
      <c r="C1702" s="27" t="s">
        <v>2130</v>
      </c>
      <c r="D1702" s="27" t="s">
        <v>14622</v>
      </c>
      <c r="E1702" s="27" t="s">
        <v>14623</v>
      </c>
      <c r="F1702" s="27" t="s">
        <v>14624</v>
      </c>
      <c r="G1702" s="28"/>
      <c r="H1702" s="6" t="s">
        <v>63</v>
      </c>
      <c r="I1702" s="6" t="s">
        <v>62</v>
      </c>
      <c r="J1702" s="6" t="s">
        <v>63</v>
      </c>
      <c r="K1702" s="6" t="s">
        <v>63</v>
      </c>
      <c r="L1702" s="6" t="s">
        <v>64</v>
      </c>
      <c r="M1702" s="27" t="s">
        <v>14625</v>
      </c>
      <c r="N1702" s="27" t="s">
        <v>14626</v>
      </c>
      <c r="O1702" s="6" t="s">
        <v>8920</v>
      </c>
      <c r="P1702" s="28"/>
      <c r="Q1702" s="6" t="s">
        <v>67</v>
      </c>
      <c r="R1702" s="6" t="s">
        <v>123</v>
      </c>
      <c r="S1702" s="27" t="s">
        <v>14627</v>
      </c>
      <c r="T1702" s="6" t="s">
        <v>6138</v>
      </c>
      <c r="U1702" s="7" t="n">
        <v>5</v>
      </c>
      <c r="V1702" s="7" t="n">
        <v>5</v>
      </c>
      <c r="W1702" s="8" t="s">
        <v>14628</v>
      </c>
      <c r="X1702" s="8" t="s">
        <v>14628</v>
      </c>
      <c r="Y1702" s="8" t="s">
        <v>14629</v>
      </c>
      <c r="Z1702" s="8" t="s">
        <v>14629</v>
      </c>
      <c r="AA1702" s="7" t="n">
        <v>498</v>
      </c>
      <c r="AB1702" s="7" t="n">
        <v>422</v>
      </c>
      <c r="AC1702" s="7" t="n">
        <v>425</v>
      </c>
      <c r="AD1702" s="7" t="n">
        <v>3</v>
      </c>
      <c r="AE1702" s="7" t="n">
        <v>3</v>
      </c>
      <c r="AF1702" s="7" t="n">
        <v>32</v>
      </c>
      <c r="AG1702" s="7" t="n">
        <v>32</v>
      </c>
      <c r="AH1702" s="7" t="n">
        <v>13</v>
      </c>
      <c r="AI1702" s="7" t="n">
        <v>13</v>
      </c>
      <c r="AJ1702" s="7" t="n">
        <v>7</v>
      </c>
      <c r="AK1702" s="7" t="n">
        <v>7</v>
      </c>
      <c r="AL1702" s="7" t="n">
        <v>20</v>
      </c>
      <c r="AM1702" s="7" t="n">
        <v>20</v>
      </c>
      <c r="AN1702" s="7" t="n">
        <v>2</v>
      </c>
      <c r="AO1702" s="7" t="n">
        <v>2</v>
      </c>
      <c r="AP1702" s="7" t="n">
        <v>0</v>
      </c>
      <c r="AQ1702" s="7" t="n">
        <v>0</v>
      </c>
      <c r="AR1702" s="6" t="s">
        <v>63</v>
      </c>
      <c r="AS1702" s="6" t="s">
        <v>57</v>
      </c>
      <c r="AT1702" s="9" t="str">
        <f aca="false">HYPERLINK("http://catalog.hathitrust.org/Record/000719602","HathiTrust Record")</f>
        <v>HathiTrust Record</v>
      </c>
      <c r="AU1702" s="9" t="str">
        <f aca="false">HYPERLINK("https://creighton-primo.hosted.exlibrisgroup.com/primo-explore/search?tab=default_tab&amp;search_scope=EVERYTHING&amp;vid=01CRU&amp;lang=en_US&amp;offset=0&amp;query=any,contains,991003752519702656","Catalog Record")</f>
        <v>Catalog Record</v>
      </c>
      <c r="AV1702" s="9" t="str">
        <f aca="false">HYPERLINK("http://www.worldcat.org/oclc/1430581","WorldCat Record")</f>
        <v>WorldCat Record</v>
      </c>
      <c r="AW1702" s="6" t="s">
        <v>14630</v>
      </c>
      <c r="AX1702" s="6" t="s">
        <v>14631</v>
      </c>
      <c r="AY1702" s="6" t="s">
        <v>14632</v>
      </c>
      <c r="AZ1702" s="6" t="s">
        <v>14632</v>
      </c>
      <c r="BA1702" s="6" t="s">
        <v>14633</v>
      </c>
      <c r="BB1702" s="28"/>
      <c r="BC1702" s="6" t="s">
        <v>14634</v>
      </c>
      <c r="BE1702" s="15" t="s">
        <v>2145</v>
      </c>
      <c r="BF1702" s="6" t="s">
        <v>14635</v>
      </c>
    </row>
    <row r="1703" customFormat="false" ht="71" hidden="false" customHeight="false" outlineLevel="0" collapsed="false">
      <c r="A1703" s="26" t="s">
        <v>63</v>
      </c>
      <c r="B1703" s="27" t="s">
        <v>2129</v>
      </c>
      <c r="C1703" s="27" t="s">
        <v>2130</v>
      </c>
      <c r="D1703" s="27" t="s">
        <v>14636</v>
      </c>
      <c r="E1703" s="27" t="s">
        <v>14637</v>
      </c>
      <c r="F1703" s="27" t="s">
        <v>14638</v>
      </c>
      <c r="G1703" s="28"/>
      <c r="H1703" s="6" t="s">
        <v>63</v>
      </c>
      <c r="I1703" s="6" t="s">
        <v>62</v>
      </c>
      <c r="J1703" s="6" t="s">
        <v>63</v>
      </c>
      <c r="K1703" s="6" t="s">
        <v>63</v>
      </c>
      <c r="L1703" s="6" t="s">
        <v>64</v>
      </c>
      <c r="M1703" s="27" t="s">
        <v>14625</v>
      </c>
      <c r="N1703" s="27" t="s">
        <v>11302</v>
      </c>
      <c r="O1703" s="6" t="s">
        <v>167</v>
      </c>
      <c r="P1703" s="27" t="s">
        <v>14639</v>
      </c>
      <c r="Q1703" s="6" t="s">
        <v>67</v>
      </c>
      <c r="R1703" s="6" t="s">
        <v>123</v>
      </c>
      <c r="S1703" s="27" t="s">
        <v>14640</v>
      </c>
      <c r="T1703" s="6" t="s">
        <v>6138</v>
      </c>
      <c r="U1703" s="7" t="n">
        <v>6</v>
      </c>
      <c r="V1703" s="7" t="n">
        <v>6</v>
      </c>
      <c r="W1703" s="8" t="s">
        <v>14641</v>
      </c>
      <c r="X1703" s="8" t="s">
        <v>14641</v>
      </c>
      <c r="Y1703" s="8" t="s">
        <v>14629</v>
      </c>
      <c r="Z1703" s="8" t="s">
        <v>14629</v>
      </c>
      <c r="AA1703" s="7" t="n">
        <v>188</v>
      </c>
      <c r="AB1703" s="7" t="n">
        <v>154</v>
      </c>
      <c r="AC1703" s="7" t="n">
        <v>1037</v>
      </c>
      <c r="AD1703" s="7" t="n">
        <v>2</v>
      </c>
      <c r="AE1703" s="7" t="n">
        <v>7</v>
      </c>
      <c r="AF1703" s="7" t="n">
        <v>6</v>
      </c>
      <c r="AG1703" s="7" t="n">
        <v>46</v>
      </c>
      <c r="AH1703" s="7" t="n">
        <v>2</v>
      </c>
      <c r="AI1703" s="7" t="n">
        <v>19</v>
      </c>
      <c r="AJ1703" s="7" t="n">
        <v>2</v>
      </c>
      <c r="AK1703" s="7" t="n">
        <v>8</v>
      </c>
      <c r="AL1703" s="7" t="n">
        <v>3</v>
      </c>
      <c r="AM1703" s="7" t="n">
        <v>24</v>
      </c>
      <c r="AN1703" s="7" t="n">
        <v>1</v>
      </c>
      <c r="AO1703" s="7" t="n">
        <v>5</v>
      </c>
      <c r="AP1703" s="7" t="n">
        <v>0</v>
      </c>
      <c r="AQ1703" s="7" t="n">
        <v>0</v>
      </c>
      <c r="AR1703" s="6" t="s">
        <v>63</v>
      </c>
      <c r="AS1703" s="6" t="s">
        <v>57</v>
      </c>
      <c r="AT1703" s="9" t="str">
        <f aca="false">HYPERLINK("http://catalog.hathitrust.org/Record/007135280","HathiTrust Record")</f>
        <v>HathiTrust Record</v>
      </c>
      <c r="AU1703" s="9" t="str">
        <f aca="false">HYPERLINK("https://creighton-primo.hosted.exlibrisgroup.com/primo-explore/search?tab=default_tab&amp;search_scope=EVERYTHING&amp;vid=01CRU&amp;lang=en_US&amp;offset=0&amp;query=any,contains,991002565549702656","Catalog Record")</f>
        <v>Catalog Record</v>
      </c>
      <c r="AV1703" s="9" t="str">
        <f aca="false">HYPERLINK("http://www.worldcat.org/oclc/372550","WorldCat Record")</f>
        <v>WorldCat Record</v>
      </c>
      <c r="AW1703" s="6" t="s">
        <v>14642</v>
      </c>
      <c r="AX1703" s="6" t="s">
        <v>14643</v>
      </c>
      <c r="AY1703" s="6" t="s">
        <v>14644</v>
      </c>
      <c r="AZ1703" s="6" t="s">
        <v>14644</v>
      </c>
      <c r="BA1703" s="6" t="s">
        <v>14645</v>
      </c>
      <c r="BB1703" s="28"/>
      <c r="BC1703" s="6" t="s">
        <v>14646</v>
      </c>
      <c r="BE1703" s="15" t="s">
        <v>2145</v>
      </c>
      <c r="BF1703" s="6" t="s">
        <v>14647</v>
      </c>
    </row>
    <row r="1704" customFormat="false" ht="82.5" hidden="false" customHeight="false" outlineLevel="0" collapsed="false">
      <c r="A1704" s="26" t="s">
        <v>57</v>
      </c>
      <c r="B1704" s="27" t="s">
        <v>2129</v>
      </c>
      <c r="C1704" s="27" t="s">
        <v>2130</v>
      </c>
      <c r="D1704" s="27" t="s">
        <v>14648</v>
      </c>
      <c r="E1704" s="27" t="s">
        <v>14649</v>
      </c>
      <c r="F1704" s="27" t="s">
        <v>14650</v>
      </c>
      <c r="G1704" s="28"/>
      <c r="H1704" s="6" t="s">
        <v>63</v>
      </c>
      <c r="I1704" s="6" t="s">
        <v>62</v>
      </c>
      <c r="J1704" s="6" t="s">
        <v>63</v>
      </c>
      <c r="K1704" s="6" t="s">
        <v>63</v>
      </c>
      <c r="L1704" s="6" t="s">
        <v>64</v>
      </c>
      <c r="M1704" s="27" t="s">
        <v>12699</v>
      </c>
      <c r="N1704" s="27" t="s">
        <v>14651</v>
      </c>
      <c r="O1704" s="6" t="s">
        <v>233</v>
      </c>
      <c r="P1704" s="27" t="s">
        <v>561</v>
      </c>
      <c r="Q1704" s="6" t="s">
        <v>67</v>
      </c>
      <c r="R1704" s="6" t="s">
        <v>318</v>
      </c>
      <c r="S1704" s="27" t="s">
        <v>14652</v>
      </c>
      <c r="T1704" s="6" t="s">
        <v>6138</v>
      </c>
      <c r="U1704" s="7" t="n">
        <v>2</v>
      </c>
      <c r="V1704" s="7" t="n">
        <v>2</v>
      </c>
      <c r="W1704" s="8" t="s">
        <v>14653</v>
      </c>
      <c r="X1704" s="8" t="s">
        <v>14653</v>
      </c>
      <c r="Y1704" s="8" t="s">
        <v>14629</v>
      </c>
      <c r="Z1704" s="8" t="s">
        <v>14629</v>
      </c>
      <c r="AA1704" s="7" t="n">
        <v>649</v>
      </c>
      <c r="AB1704" s="7" t="n">
        <v>576</v>
      </c>
      <c r="AC1704" s="7" t="n">
        <v>664</v>
      </c>
      <c r="AD1704" s="7" t="n">
        <v>3</v>
      </c>
      <c r="AE1704" s="7" t="n">
        <v>4</v>
      </c>
      <c r="AF1704" s="7" t="n">
        <v>32</v>
      </c>
      <c r="AG1704" s="7" t="n">
        <v>36</v>
      </c>
      <c r="AH1704" s="7" t="n">
        <v>13</v>
      </c>
      <c r="AI1704" s="7" t="n">
        <v>14</v>
      </c>
      <c r="AJ1704" s="7" t="n">
        <v>9</v>
      </c>
      <c r="AK1704" s="7" t="n">
        <v>9</v>
      </c>
      <c r="AL1704" s="7" t="n">
        <v>18</v>
      </c>
      <c r="AM1704" s="7" t="n">
        <v>21</v>
      </c>
      <c r="AN1704" s="7" t="n">
        <v>2</v>
      </c>
      <c r="AO1704" s="7" t="n">
        <v>3</v>
      </c>
      <c r="AP1704" s="7" t="n">
        <v>0</v>
      </c>
      <c r="AQ1704" s="7" t="n">
        <v>0</v>
      </c>
      <c r="AR1704" s="6" t="s">
        <v>63</v>
      </c>
      <c r="AS1704" s="6" t="s">
        <v>57</v>
      </c>
      <c r="AT1704" s="9" t="str">
        <f aca="false">HYPERLINK("http://catalog.hathitrust.org/Record/001395486","HathiTrust Record")</f>
        <v>HathiTrust Record</v>
      </c>
      <c r="AU1704" s="9" t="str">
        <f aca="false">HYPERLINK("https://creighton-primo.hosted.exlibrisgroup.com/primo-explore/search?tab=default_tab&amp;search_scope=EVERYTHING&amp;vid=01CRU&amp;lang=en_US&amp;offset=0&amp;query=any,contains,991002565519702656","Catalog Record")</f>
        <v>Catalog Record</v>
      </c>
      <c r="AV1704" s="9" t="str">
        <f aca="false">HYPERLINK("http://www.worldcat.org/oclc/31373007","WorldCat Record")</f>
        <v>WorldCat Record</v>
      </c>
      <c r="AW1704" s="6" t="s">
        <v>14654</v>
      </c>
      <c r="AX1704" s="6" t="s">
        <v>14655</v>
      </c>
      <c r="AY1704" s="6" t="s">
        <v>14656</v>
      </c>
      <c r="AZ1704" s="6" t="s">
        <v>14656</v>
      </c>
      <c r="BA1704" s="6" t="s">
        <v>14657</v>
      </c>
      <c r="BB1704" s="28"/>
      <c r="BC1704" s="6" t="s">
        <v>14658</v>
      </c>
      <c r="BE1704" s="15" t="s">
        <v>2145</v>
      </c>
      <c r="BF1704" s="6" t="s">
        <v>14659</v>
      </c>
    </row>
    <row r="1705" customFormat="false" ht="71" hidden="false" customHeight="false" outlineLevel="0" collapsed="false">
      <c r="A1705" s="26" t="s">
        <v>63</v>
      </c>
      <c r="B1705" s="27" t="s">
        <v>2129</v>
      </c>
      <c r="C1705" s="27" t="s">
        <v>2130</v>
      </c>
      <c r="D1705" s="27" t="s">
        <v>14660</v>
      </c>
      <c r="E1705" s="27" t="s">
        <v>14661</v>
      </c>
      <c r="F1705" s="27" t="s">
        <v>14662</v>
      </c>
      <c r="G1705" s="28"/>
      <c r="H1705" s="6" t="s">
        <v>63</v>
      </c>
      <c r="I1705" s="6" t="s">
        <v>62</v>
      </c>
      <c r="J1705" s="6" t="s">
        <v>63</v>
      </c>
      <c r="K1705" s="6" t="s">
        <v>63</v>
      </c>
      <c r="L1705" s="6" t="s">
        <v>64</v>
      </c>
      <c r="M1705" s="27" t="s">
        <v>12699</v>
      </c>
      <c r="N1705" s="27" t="s">
        <v>14663</v>
      </c>
      <c r="O1705" s="6" t="s">
        <v>3513</v>
      </c>
      <c r="P1705" s="27" t="s">
        <v>14664</v>
      </c>
      <c r="Q1705" s="6" t="s">
        <v>67</v>
      </c>
      <c r="R1705" s="6" t="s">
        <v>384</v>
      </c>
      <c r="S1705" s="28"/>
      <c r="T1705" s="6" t="s">
        <v>6138</v>
      </c>
      <c r="U1705" s="7" t="n">
        <v>11</v>
      </c>
      <c r="V1705" s="7" t="n">
        <v>11</v>
      </c>
      <c r="W1705" s="8" t="s">
        <v>14603</v>
      </c>
      <c r="X1705" s="8" t="s">
        <v>14603</v>
      </c>
      <c r="Y1705" s="8" t="s">
        <v>14629</v>
      </c>
      <c r="Z1705" s="8" t="s">
        <v>14629</v>
      </c>
      <c r="AA1705" s="7" t="n">
        <v>65</v>
      </c>
      <c r="AB1705" s="7" t="n">
        <v>43</v>
      </c>
      <c r="AC1705" s="7" t="n">
        <v>1405</v>
      </c>
      <c r="AD1705" s="7" t="n">
        <v>1</v>
      </c>
      <c r="AE1705" s="7" t="n">
        <v>10</v>
      </c>
      <c r="AF1705" s="7" t="n">
        <v>3</v>
      </c>
      <c r="AG1705" s="7" t="n">
        <v>53</v>
      </c>
      <c r="AH1705" s="7" t="n">
        <v>1</v>
      </c>
      <c r="AI1705" s="7" t="n">
        <v>25</v>
      </c>
      <c r="AJ1705" s="7" t="n">
        <v>0</v>
      </c>
      <c r="AK1705" s="7" t="n">
        <v>11</v>
      </c>
      <c r="AL1705" s="7" t="n">
        <v>2</v>
      </c>
      <c r="AM1705" s="7" t="n">
        <v>25</v>
      </c>
      <c r="AN1705" s="7" t="n">
        <v>0</v>
      </c>
      <c r="AO1705" s="7" t="n">
        <v>5</v>
      </c>
      <c r="AP1705" s="7" t="n">
        <v>0</v>
      </c>
      <c r="AQ1705" s="7" t="n">
        <v>0</v>
      </c>
      <c r="AR1705" s="6" t="s">
        <v>63</v>
      </c>
      <c r="AS1705" s="6" t="s">
        <v>63</v>
      </c>
      <c r="AT1705" s="28"/>
      <c r="AU1705" s="9" t="str">
        <f aca="false">HYPERLINK("https://creighton-primo.hosted.exlibrisgroup.com/primo-explore/search?tab=default_tab&amp;search_scope=EVERYTHING&amp;vid=01CRU&amp;lang=en_US&amp;offset=0&amp;query=any,contains,991004710929702656","Catalog Record")</f>
        <v>Catalog Record</v>
      </c>
      <c r="AV1705" s="9" t="str">
        <f aca="false">HYPERLINK("http://www.worldcat.org/oclc/4763911","WorldCat Record")</f>
        <v>WorldCat Record</v>
      </c>
      <c r="AW1705" s="6" t="s">
        <v>14665</v>
      </c>
      <c r="AX1705" s="6" t="s">
        <v>14666</v>
      </c>
      <c r="AY1705" s="6" t="s">
        <v>14667</v>
      </c>
      <c r="AZ1705" s="6" t="s">
        <v>14667</v>
      </c>
      <c r="BA1705" s="6" t="s">
        <v>14668</v>
      </c>
      <c r="BB1705" s="28"/>
      <c r="BC1705" s="6" t="s">
        <v>14669</v>
      </c>
      <c r="BE1705" s="15" t="s">
        <v>2145</v>
      </c>
      <c r="BF1705" s="6" t="s">
        <v>14670</v>
      </c>
    </row>
    <row r="1706" customFormat="false" ht="71" hidden="false" customHeight="false" outlineLevel="0" collapsed="false">
      <c r="A1706" s="26" t="s">
        <v>57</v>
      </c>
      <c r="B1706" s="27" t="s">
        <v>2129</v>
      </c>
      <c r="C1706" s="27" t="s">
        <v>2130</v>
      </c>
      <c r="D1706" s="27" t="s">
        <v>14671</v>
      </c>
      <c r="E1706" s="27" t="s">
        <v>14672</v>
      </c>
      <c r="F1706" s="27" t="s">
        <v>14673</v>
      </c>
      <c r="G1706" s="28"/>
      <c r="H1706" s="6" t="s">
        <v>63</v>
      </c>
      <c r="I1706" s="6" t="s">
        <v>62</v>
      </c>
      <c r="J1706" s="6" t="s">
        <v>63</v>
      </c>
      <c r="K1706" s="6" t="s">
        <v>63</v>
      </c>
      <c r="L1706" s="6" t="s">
        <v>64</v>
      </c>
      <c r="M1706" s="27" t="s">
        <v>14674</v>
      </c>
      <c r="N1706" s="27" t="s">
        <v>14675</v>
      </c>
      <c r="O1706" s="6" t="s">
        <v>2343</v>
      </c>
      <c r="P1706" s="27" t="s">
        <v>14676</v>
      </c>
      <c r="Q1706" s="6" t="s">
        <v>67</v>
      </c>
      <c r="R1706" s="6" t="s">
        <v>1108</v>
      </c>
      <c r="S1706" s="28"/>
      <c r="T1706" s="6" t="s">
        <v>6138</v>
      </c>
      <c r="U1706" s="7" t="n">
        <v>3</v>
      </c>
      <c r="V1706" s="7" t="n">
        <v>3</v>
      </c>
      <c r="W1706" s="8" t="s">
        <v>14677</v>
      </c>
      <c r="X1706" s="8" t="s">
        <v>14677</v>
      </c>
      <c r="Y1706" s="8" t="s">
        <v>14629</v>
      </c>
      <c r="Z1706" s="8" t="s">
        <v>14629</v>
      </c>
      <c r="AA1706" s="7" t="n">
        <v>419</v>
      </c>
      <c r="AB1706" s="7" t="n">
        <v>295</v>
      </c>
      <c r="AC1706" s="7" t="n">
        <v>639</v>
      </c>
      <c r="AD1706" s="7" t="n">
        <v>3</v>
      </c>
      <c r="AE1706" s="7" t="n">
        <v>5</v>
      </c>
      <c r="AF1706" s="7" t="n">
        <v>20</v>
      </c>
      <c r="AG1706" s="7" t="n">
        <v>35</v>
      </c>
      <c r="AH1706" s="7" t="n">
        <v>6</v>
      </c>
      <c r="AI1706" s="7" t="n">
        <v>16</v>
      </c>
      <c r="AJ1706" s="7" t="n">
        <v>5</v>
      </c>
      <c r="AK1706" s="7" t="n">
        <v>8</v>
      </c>
      <c r="AL1706" s="7" t="n">
        <v>13</v>
      </c>
      <c r="AM1706" s="7" t="n">
        <v>19</v>
      </c>
      <c r="AN1706" s="7" t="n">
        <v>2</v>
      </c>
      <c r="AO1706" s="7" t="n">
        <v>3</v>
      </c>
      <c r="AP1706" s="7" t="n">
        <v>0</v>
      </c>
      <c r="AQ1706" s="7" t="n">
        <v>0</v>
      </c>
      <c r="AR1706" s="6" t="s">
        <v>63</v>
      </c>
      <c r="AS1706" s="6" t="s">
        <v>63</v>
      </c>
      <c r="AT1706" s="28"/>
      <c r="AU1706" s="9" t="str">
        <f aca="false">HYPERLINK("https://creighton-primo.hosted.exlibrisgroup.com/primo-explore/search?tab=default_tab&amp;search_scope=EVERYTHING&amp;vid=01CRU&amp;lang=en_US&amp;offset=0&amp;query=any,contains,991005234249702656","Catalog Record")</f>
        <v>Catalog Record</v>
      </c>
      <c r="AV1706" s="9" t="str">
        <f aca="false">HYPERLINK("http://www.worldcat.org/oclc/8350154","WorldCat Record")</f>
        <v>WorldCat Record</v>
      </c>
      <c r="AW1706" s="6" t="s">
        <v>14678</v>
      </c>
      <c r="AX1706" s="6" t="s">
        <v>14679</v>
      </c>
      <c r="AY1706" s="6" t="s">
        <v>14680</v>
      </c>
      <c r="AZ1706" s="6" t="s">
        <v>14680</v>
      </c>
      <c r="BA1706" s="6" t="s">
        <v>14681</v>
      </c>
      <c r="BB1706" s="6" t="s">
        <v>14682</v>
      </c>
      <c r="BC1706" s="6" t="s">
        <v>14683</v>
      </c>
      <c r="BE1706" s="15" t="s">
        <v>2145</v>
      </c>
      <c r="BF1706" s="6" t="s">
        <v>14684</v>
      </c>
    </row>
    <row r="1707" customFormat="false" ht="128.5" hidden="false" customHeight="false" outlineLevel="0" collapsed="false">
      <c r="A1707" s="26" t="s">
        <v>63</v>
      </c>
      <c r="B1707" s="27" t="s">
        <v>2129</v>
      </c>
      <c r="C1707" s="27" t="s">
        <v>2130</v>
      </c>
      <c r="D1707" s="27" t="s">
        <v>14685</v>
      </c>
      <c r="E1707" s="27" t="s">
        <v>14686</v>
      </c>
      <c r="F1707" s="27" t="s">
        <v>14687</v>
      </c>
      <c r="G1707" s="28"/>
      <c r="H1707" s="6" t="s">
        <v>63</v>
      </c>
      <c r="I1707" s="6" t="s">
        <v>62</v>
      </c>
      <c r="J1707" s="6" t="s">
        <v>63</v>
      </c>
      <c r="K1707" s="6" t="s">
        <v>63</v>
      </c>
      <c r="L1707" s="6" t="s">
        <v>64</v>
      </c>
      <c r="M1707" s="27" t="s">
        <v>14688</v>
      </c>
      <c r="N1707" s="27" t="s">
        <v>14689</v>
      </c>
      <c r="O1707" s="6" t="s">
        <v>4223</v>
      </c>
      <c r="P1707" s="28"/>
      <c r="Q1707" s="6" t="s">
        <v>67</v>
      </c>
      <c r="R1707" s="6" t="s">
        <v>123</v>
      </c>
      <c r="S1707" s="28"/>
      <c r="T1707" s="6" t="s">
        <v>6138</v>
      </c>
      <c r="U1707" s="7" t="n">
        <v>7</v>
      </c>
      <c r="V1707" s="7" t="n">
        <v>7</v>
      </c>
      <c r="W1707" s="8" t="s">
        <v>14690</v>
      </c>
      <c r="X1707" s="8" t="s">
        <v>14690</v>
      </c>
      <c r="Y1707" s="8" t="s">
        <v>14629</v>
      </c>
      <c r="Z1707" s="8" t="s">
        <v>14629</v>
      </c>
      <c r="AA1707" s="7" t="n">
        <v>447</v>
      </c>
      <c r="AB1707" s="7" t="n">
        <v>367</v>
      </c>
      <c r="AC1707" s="7" t="n">
        <v>713</v>
      </c>
      <c r="AD1707" s="7" t="n">
        <v>3</v>
      </c>
      <c r="AE1707" s="7" t="n">
        <v>7</v>
      </c>
      <c r="AF1707" s="7" t="n">
        <v>22</v>
      </c>
      <c r="AG1707" s="7" t="n">
        <v>42</v>
      </c>
      <c r="AH1707" s="7" t="n">
        <v>8</v>
      </c>
      <c r="AI1707" s="7" t="n">
        <v>17</v>
      </c>
      <c r="AJ1707" s="7" t="n">
        <v>4</v>
      </c>
      <c r="AK1707" s="7" t="n">
        <v>8</v>
      </c>
      <c r="AL1707" s="7" t="n">
        <v>12</v>
      </c>
      <c r="AM1707" s="7" t="n">
        <v>23</v>
      </c>
      <c r="AN1707" s="7" t="n">
        <v>2</v>
      </c>
      <c r="AO1707" s="7" t="n">
        <v>5</v>
      </c>
      <c r="AP1707" s="7" t="n">
        <v>0</v>
      </c>
      <c r="AQ1707" s="7" t="n">
        <v>0</v>
      </c>
      <c r="AR1707" s="6" t="s">
        <v>63</v>
      </c>
      <c r="AS1707" s="6" t="s">
        <v>57</v>
      </c>
      <c r="AT1707" s="9" t="str">
        <f aca="false">HYPERLINK("http://catalog.hathitrust.org/Record/001380833","HathiTrust Record")</f>
        <v>HathiTrust Record</v>
      </c>
      <c r="AU1707" s="9" t="str">
        <f aca="false">HYPERLINK("https://creighton-primo.hosted.exlibrisgroup.com/primo-explore/search?tab=default_tab&amp;search_scope=EVERYTHING&amp;vid=01CRU&amp;lang=en_US&amp;offset=0&amp;query=any,contains,991002033369702656","Catalog Record")</f>
        <v>Catalog Record</v>
      </c>
      <c r="AV1707" s="9" t="str">
        <f aca="false">HYPERLINK("http://www.worldcat.org/oclc/13954546","WorldCat Record")</f>
        <v>WorldCat Record</v>
      </c>
      <c r="AW1707" s="6" t="s">
        <v>14691</v>
      </c>
      <c r="AX1707" s="6" t="s">
        <v>14692</v>
      </c>
      <c r="AY1707" s="6" t="s">
        <v>14693</v>
      </c>
      <c r="AZ1707" s="6" t="s">
        <v>14693</v>
      </c>
      <c r="BA1707" s="6" t="s">
        <v>14694</v>
      </c>
      <c r="BB1707" s="28"/>
      <c r="BC1707" s="6" t="s">
        <v>14695</v>
      </c>
      <c r="BE1707" s="15" t="s">
        <v>2145</v>
      </c>
      <c r="BF1707" s="6" t="s">
        <v>14696</v>
      </c>
    </row>
    <row r="1708" customFormat="false" ht="105.5" hidden="false" customHeight="false" outlineLevel="0" collapsed="false">
      <c r="A1708" s="26" t="s">
        <v>63</v>
      </c>
      <c r="B1708" s="27" t="s">
        <v>2129</v>
      </c>
      <c r="C1708" s="27" t="s">
        <v>2130</v>
      </c>
      <c r="D1708" s="27" t="s">
        <v>14697</v>
      </c>
      <c r="E1708" s="27" t="s">
        <v>14698</v>
      </c>
      <c r="F1708" s="27" t="s">
        <v>14699</v>
      </c>
      <c r="G1708" s="28"/>
      <c r="H1708" s="6" t="s">
        <v>63</v>
      </c>
      <c r="I1708" s="6" t="s">
        <v>62</v>
      </c>
      <c r="J1708" s="6" t="s">
        <v>63</v>
      </c>
      <c r="K1708" s="6" t="s">
        <v>63</v>
      </c>
      <c r="L1708" s="6" t="s">
        <v>64</v>
      </c>
      <c r="M1708" s="27" t="s">
        <v>14700</v>
      </c>
      <c r="N1708" s="27" t="s">
        <v>13981</v>
      </c>
      <c r="O1708" s="6" t="s">
        <v>3934</v>
      </c>
      <c r="P1708" s="28"/>
      <c r="Q1708" s="6" t="s">
        <v>67</v>
      </c>
      <c r="R1708" s="6" t="s">
        <v>384</v>
      </c>
      <c r="S1708" s="28"/>
      <c r="T1708" s="6" t="s">
        <v>6138</v>
      </c>
      <c r="U1708" s="7" t="n">
        <v>1</v>
      </c>
      <c r="V1708" s="7" t="n">
        <v>1</v>
      </c>
      <c r="W1708" s="8" t="s">
        <v>8702</v>
      </c>
      <c r="X1708" s="8" t="s">
        <v>8702</v>
      </c>
      <c r="Y1708" s="8" t="s">
        <v>14701</v>
      </c>
      <c r="Z1708" s="8" t="s">
        <v>14701</v>
      </c>
      <c r="AA1708" s="7" t="n">
        <v>419</v>
      </c>
      <c r="AB1708" s="7" t="n">
        <v>281</v>
      </c>
      <c r="AC1708" s="7" t="n">
        <v>649</v>
      </c>
      <c r="AD1708" s="7" t="n">
        <v>4</v>
      </c>
      <c r="AE1708" s="7" t="n">
        <v>7</v>
      </c>
      <c r="AF1708" s="7" t="n">
        <v>18</v>
      </c>
      <c r="AG1708" s="7" t="n">
        <v>35</v>
      </c>
      <c r="AH1708" s="7" t="n">
        <v>4</v>
      </c>
      <c r="AI1708" s="7" t="n">
        <v>11</v>
      </c>
      <c r="AJ1708" s="7" t="n">
        <v>4</v>
      </c>
      <c r="AK1708" s="7" t="n">
        <v>10</v>
      </c>
      <c r="AL1708" s="7" t="n">
        <v>13</v>
      </c>
      <c r="AM1708" s="7" t="n">
        <v>16</v>
      </c>
      <c r="AN1708" s="7" t="n">
        <v>3</v>
      </c>
      <c r="AO1708" s="7" t="n">
        <v>6</v>
      </c>
      <c r="AP1708" s="7" t="n">
        <v>0</v>
      </c>
      <c r="AQ1708" s="7" t="n">
        <v>1</v>
      </c>
      <c r="AR1708" s="6" t="s">
        <v>63</v>
      </c>
      <c r="AS1708" s="6" t="s">
        <v>63</v>
      </c>
      <c r="AT1708" s="28"/>
      <c r="AU1708" s="9" t="str">
        <f aca="false">HYPERLINK("https://creighton-primo.hosted.exlibrisgroup.com/primo-explore/search?tab=default_tab&amp;search_scope=EVERYTHING&amp;vid=01CRU&amp;lang=en_US&amp;offset=0&amp;query=any,contains,991002522029702656","Catalog Record")</f>
        <v>Catalog Record</v>
      </c>
      <c r="AV1708" s="9" t="str">
        <f aca="false">HYPERLINK("http://www.worldcat.org/oclc/32791288","WorldCat Record")</f>
        <v>WorldCat Record</v>
      </c>
      <c r="AW1708" s="6" t="s">
        <v>14702</v>
      </c>
      <c r="AX1708" s="6" t="s">
        <v>14703</v>
      </c>
      <c r="AY1708" s="6" t="s">
        <v>14704</v>
      </c>
      <c r="AZ1708" s="6" t="s">
        <v>14704</v>
      </c>
      <c r="BA1708" s="6" t="s">
        <v>14705</v>
      </c>
      <c r="BB1708" s="6" t="s">
        <v>14706</v>
      </c>
      <c r="BC1708" s="6" t="s">
        <v>14707</v>
      </c>
      <c r="BE1708" s="15" t="s">
        <v>2145</v>
      </c>
      <c r="BF1708" s="6" t="s">
        <v>14708</v>
      </c>
    </row>
    <row r="1709" customFormat="false" ht="82.5" hidden="false" customHeight="false" outlineLevel="0" collapsed="false">
      <c r="A1709" s="26" t="s">
        <v>63</v>
      </c>
      <c r="B1709" s="27" t="s">
        <v>2129</v>
      </c>
      <c r="C1709" s="27" t="s">
        <v>2130</v>
      </c>
      <c r="D1709" s="27" t="s">
        <v>14709</v>
      </c>
      <c r="E1709" s="27" t="s">
        <v>14710</v>
      </c>
      <c r="F1709" s="27" t="s">
        <v>14711</v>
      </c>
      <c r="G1709" s="28"/>
      <c r="H1709" s="6" t="s">
        <v>63</v>
      </c>
      <c r="I1709" s="6" t="s">
        <v>62</v>
      </c>
      <c r="J1709" s="6" t="s">
        <v>63</v>
      </c>
      <c r="K1709" s="6" t="s">
        <v>63</v>
      </c>
      <c r="L1709" s="6" t="s">
        <v>64</v>
      </c>
      <c r="M1709" s="27" t="s">
        <v>14712</v>
      </c>
      <c r="N1709" s="27" t="s">
        <v>14713</v>
      </c>
      <c r="O1709" s="6" t="s">
        <v>167</v>
      </c>
      <c r="P1709" s="28"/>
      <c r="Q1709" s="6" t="s">
        <v>67</v>
      </c>
      <c r="R1709" s="6" t="s">
        <v>68</v>
      </c>
      <c r="S1709" s="27" t="s">
        <v>3030</v>
      </c>
      <c r="T1709" s="6" t="s">
        <v>6138</v>
      </c>
      <c r="U1709" s="7" t="n">
        <v>8</v>
      </c>
      <c r="V1709" s="7" t="n">
        <v>8</v>
      </c>
      <c r="W1709" s="8" t="s">
        <v>14714</v>
      </c>
      <c r="X1709" s="8" t="s">
        <v>14714</v>
      </c>
      <c r="Y1709" s="8" t="s">
        <v>14629</v>
      </c>
      <c r="Z1709" s="8" t="s">
        <v>14629</v>
      </c>
      <c r="AA1709" s="7" t="n">
        <v>644</v>
      </c>
      <c r="AB1709" s="7" t="n">
        <v>491</v>
      </c>
      <c r="AC1709" s="7" t="n">
        <v>608</v>
      </c>
      <c r="AD1709" s="7" t="n">
        <v>5</v>
      </c>
      <c r="AE1709" s="7" t="n">
        <v>6</v>
      </c>
      <c r="AF1709" s="7" t="n">
        <v>38</v>
      </c>
      <c r="AG1709" s="7" t="n">
        <v>42</v>
      </c>
      <c r="AH1709" s="7" t="n">
        <v>14</v>
      </c>
      <c r="AI1709" s="7" t="n">
        <v>15</v>
      </c>
      <c r="AJ1709" s="7" t="n">
        <v>10</v>
      </c>
      <c r="AK1709" s="7" t="n">
        <v>10</v>
      </c>
      <c r="AL1709" s="7" t="n">
        <v>21</v>
      </c>
      <c r="AM1709" s="7" t="n">
        <v>24</v>
      </c>
      <c r="AN1709" s="7" t="n">
        <v>4</v>
      </c>
      <c r="AO1709" s="7" t="n">
        <v>5</v>
      </c>
      <c r="AP1709" s="7" t="n">
        <v>0</v>
      </c>
      <c r="AQ1709" s="7" t="n">
        <v>0</v>
      </c>
      <c r="AR1709" s="6" t="s">
        <v>63</v>
      </c>
      <c r="AS1709" s="6" t="s">
        <v>57</v>
      </c>
      <c r="AT1709" s="9" t="str">
        <f aca="false">HYPERLINK("http://catalog.hathitrust.org/Record/001380704","HathiTrust Record")</f>
        <v>HathiTrust Record</v>
      </c>
      <c r="AU1709" s="9" t="str">
        <f aca="false">HYPERLINK("https://creighton-primo.hosted.exlibrisgroup.com/primo-explore/search?tab=default_tab&amp;search_scope=EVERYTHING&amp;vid=01CRU&amp;lang=en_US&amp;offset=0&amp;query=any,contains,991004450749702656","Catalog Record")</f>
        <v>Catalog Record</v>
      </c>
      <c r="AV1709" s="9" t="str">
        <f aca="false">HYPERLINK("http://www.worldcat.org/oclc/372490","WorldCat Record")</f>
        <v>WorldCat Record</v>
      </c>
      <c r="AW1709" s="6" t="s">
        <v>14715</v>
      </c>
      <c r="AX1709" s="6" t="s">
        <v>14716</v>
      </c>
      <c r="AY1709" s="6" t="s">
        <v>14717</v>
      </c>
      <c r="AZ1709" s="6" t="s">
        <v>14717</v>
      </c>
      <c r="BA1709" s="6" t="s">
        <v>14718</v>
      </c>
      <c r="BB1709" s="28"/>
      <c r="BC1709" s="6" t="s">
        <v>14719</v>
      </c>
      <c r="BE1709" s="15" t="s">
        <v>2145</v>
      </c>
      <c r="BF1709" s="6" t="s">
        <v>14720</v>
      </c>
    </row>
    <row r="1710" customFormat="false" ht="243.5" hidden="false" customHeight="false" outlineLevel="0" collapsed="false">
      <c r="A1710" s="26" t="s">
        <v>63</v>
      </c>
      <c r="B1710" s="27" t="s">
        <v>2129</v>
      </c>
      <c r="C1710" s="27" t="s">
        <v>2130</v>
      </c>
      <c r="D1710" s="27" t="s">
        <v>14721</v>
      </c>
      <c r="E1710" s="27" t="s">
        <v>14722</v>
      </c>
      <c r="F1710" s="27" t="s">
        <v>14723</v>
      </c>
      <c r="G1710" s="28"/>
      <c r="H1710" s="6" t="s">
        <v>63</v>
      </c>
      <c r="I1710" s="6" t="s">
        <v>62</v>
      </c>
      <c r="J1710" s="6" t="s">
        <v>63</v>
      </c>
      <c r="K1710" s="6" t="s">
        <v>63</v>
      </c>
      <c r="L1710" s="6" t="s">
        <v>64</v>
      </c>
      <c r="M1710" s="27" t="s">
        <v>14410</v>
      </c>
      <c r="N1710" s="27" t="s">
        <v>14724</v>
      </c>
      <c r="O1710" s="6" t="s">
        <v>2262</v>
      </c>
      <c r="P1710" s="28"/>
      <c r="Q1710" s="6" t="s">
        <v>67</v>
      </c>
      <c r="R1710" s="6" t="s">
        <v>181</v>
      </c>
      <c r="S1710" s="28"/>
      <c r="T1710" s="6" t="s">
        <v>6138</v>
      </c>
      <c r="U1710" s="7" t="n">
        <v>4</v>
      </c>
      <c r="V1710" s="7" t="n">
        <v>4</v>
      </c>
      <c r="W1710" s="8" t="s">
        <v>9018</v>
      </c>
      <c r="X1710" s="8" t="s">
        <v>9018</v>
      </c>
      <c r="Y1710" s="8" t="s">
        <v>14629</v>
      </c>
      <c r="Z1710" s="8" t="s">
        <v>14629</v>
      </c>
      <c r="AA1710" s="7" t="n">
        <v>866</v>
      </c>
      <c r="AB1710" s="7" t="n">
        <v>681</v>
      </c>
      <c r="AC1710" s="7" t="n">
        <v>809</v>
      </c>
      <c r="AD1710" s="7" t="n">
        <v>6</v>
      </c>
      <c r="AE1710" s="7" t="n">
        <v>6</v>
      </c>
      <c r="AF1710" s="7" t="n">
        <v>49</v>
      </c>
      <c r="AG1710" s="7" t="n">
        <v>52</v>
      </c>
      <c r="AH1710" s="7" t="n">
        <v>21</v>
      </c>
      <c r="AI1710" s="7" t="n">
        <v>23</v>
      </c>
      <c r="AJ1710" s="7" t="n">
        <v>9</v>
      </c>
      <c r="AK1710" s="7" t="n">
        <v>11</v>
      </c>
      <c r="AL1710" s="7" t="n">
        <v>27</v>
      </c>
      <c r="AM1710" s="7" t="n">
        <v>27</v>
      </c>
      <c r="AN1710" s="7" t="n">
        <v>4</v>
      </c>
      <c r="AO1710" s="7" t="n">
        <v>4</v>
      </c>
      <c r="AP1710" s="7" t="n">
        <v>1</v>
      </c>
      <c r="AQ1710" s="7" t="n">
        <v>1</v>
      </c>
      <c r="AR1710" s="6" t="s">
        <v>63</v>
      </c>
      <c r="AS1710" s="6" t="s">
        <v>63</v>
      </c>
      <c r="AT1710" s="28"/>
      <c r="AU1710" s="9" t="str">
        <f aca="false">HYPERLINK("https://creighton-primo.hosted.exlibrisgroup.com/primo-explore/search?tab=default_tab&amp;search_scope=EVERYTHING&amp;vid=01CRU&amp;lang=en_US&amp;offset=0&amp;query=any,contains,991000711799702656","Catalog Record")</f>
        <v>Catalog Record</v>
      </c>
      <c r="AV1710" s="9" t="str">
        <f aca="false">HYPERLINK("http://www.worldcat.org/oclc/12584472","WorldCat Record")</f>
        <v>WorldCat Record</v>
      </c>
      <c r="AW1710" s="6" t="s">
        <v>14725</v>
      </c>
      <c r="AX1710" s="6" t="s">
        <v>14726</v>
      </c>
      <c r="AY1710" s="6" t="s">
        <v>14727</v>
      </c>
      <c r="AZ1710" s="6" t="s">
        <v>14727</v>
      </c>
      <c r="BA1710" s="6" t="s">
        <v>14728</v>
      </c>
      <c r="BB1710" s="6" t="s">
        <v>14729</v>
      </c>
      <c r="BC1710" s="6" t="s">
        <v>14730</v>
      </c>
      <c r="BE1710" s="15" t="s">
        <v>2145</v>
      </c>
      <c r="BF1710" s="6" t="s">
        <v>14731</v>
      </c>
    </row>
    <row r="1711" customFormat="false" ht="117" hidden="false" customHeight="false" outlineLevel="0" collapsed="false">
      <c r="A1711" s="26" t="s">
        <v>63</v>
      </c>
      <c r="B1711" s="27" t="s">
        <v>2129</v>
      </c>
      <c r="C1711" s="27" t="s">
        <v>2130</v>
      </c>
      <c r="D1711" s="27" t="s">
        <v>14732</v>
      </c>
      <c r="E1711" s="27" t="s">
        <v>14733</v>
      </c>
      <c r="F1711" s="27" t="s">
        <v>14734</v>
      </c>
      <c r="G1711" s="28"/>
      <c r="H1711" s="6" t="s">
        <v>63</v>
      </c>
      <c r="I1711" s="6" t="s">
        <v>62</v>
      </c>
      <c r="J1711" s="6" t="s">
        <v>63</v>
      </c>
      <c r="K1711" s="6" t="s">
        <v>63</v>
      </c>
      <c r="L1711" s="6" t="s">
        <v>64</v>
      </c>
      <c r="M1711" s="27" t="s">
        <v>14735</v>
      </c>
      <c r="N1711" s="27" t="s">
        <v>14736</v>
      </c>
      <c r="O1711" s="6" t="s">
        <v>2467</v>
      </c>
      <c r="P1711" s="28"/>
      <c r="Q1711" s="6" t="s">
        <v>67</v>
      </c>
      <c r="R1711" s="6" t="s">
        <v>14737</v>
      </c>
      <c r="S1711" s="28"/>
      <c r="T1711" s="6" t="s">
        <v>6138</v>
      </c>
      <c r="U1711" s="7" t="n">
        <v>2</v>
      </c>
      <c r="V1711" s="7" t="n">
        <v>2</v>
      </c>
      <c r="W1711" s="8" t="s">
        <v>14738</v>
      </c>
      <c r="X1711" s="8" t="s">
        <v>14738</v>
      </c>
      <c r="Y1711" s="8" t="s">
        <v>14629</v>
      </c>
      <c r="Z1711" s="8" t="s">
        <v>14629</v>
      </c>
      <c r="AA1711" s="7" t="n">
        <v>579</v>
      </c>
      <c r="AB1711" s="7" t="n">
        <v>453</v>
      </c>
      <c r="AC1711" s="7" t="n">
        <v>456</v>
      </c>
      <c r="AD1711" s="7" t="n">
        <v>2</v>
      </c>
      <c r="AE1711" s="7" t="n">
        <v>2</v>
      </c>
      <c r="AF1711" s="7" t="n">
        <v>27</v>
      </c>
      <c r="AG1711" s="7" t="n">
        <v>27</v>
      </c>
      <c r="AH1711" s="7" t="n">
        <v>8</v>
      </c>
      <c r="AI1711" s="7" t="n">
        <v>8</v>
      </c>
      <c r="AJ1711" s="7" t="n">
        <v>8</v>
      </c>
      <c r="AK1711" s="7" t="n">
        <v>8</v>
      </c>
      <c r="AL1711" s="7" t="n">
        <v>15</v>
      </c>
      <c r="AM1711" s="7" t="n">
        <v>15</v>
      </c>
      <c r="AN1711" s="7" t="n">
        <v>1</v>
      </c>
      <c r="AO1711" s="7" t="n">
        <v>1</v>
      </c>
      <c r="AP1711" s="7" t="n">
        <v>0</v>
      </c>
      <c r="AQ1711" s="7" t="n">
        <v>0</v>
      </c>
      <c r="AR1711" s="6" t="s">
        <v>63</v>
      </c>
      <c r="AS1711" s="6" t="s">
        <v>63</v>
      </c>
      <c r="AT1711" s="28"/>
      <c r="AU1711" s="9" t="str">
        <f aca="false">HYPERLINK("https://creighton-primo.hosted.exlibrisgroup.com/primo-explore/search?tab=default_tab&amp;search_scope=EVERYTHING&amp;vid=01CRU&amp;lang=en_US&amp;offset=0&amp;query=any,contains,991003184529702656","Catalog Record")</f>
        <v>Catalog Record</v>
      </c>
      <c r="AV1711" s="9" t="str">
        <f aca="false">HYPERLINK("http://www.worldcat.org/oclc/712505","WorldCat Record")</f>
        <v>WorldCat Record</v>
      </c>
      <c r="AW1711" s="6" t="s">
        <v>14739</v>
      </c>
      <c r="AX1711" s="6" t="s">
        <v>14740</v>
      </c>
      <c r="AY1711" s="6" t="s">
        <v>14741</v>
      </c>
      <c r="AZ1711" s="6" t="s">
        <v>14741</v>
      </c>
      <c r="BA1711" s="6" t="s">
        <v>14742</v>
      </c>
      <c r="BB1711" s="28"/>
      <c r="BC1711" s="6" t="s">
        <v>14743</v>
      </c>
      <c r="BE1711" s="15" t="s">
        <v>2145</v>
      </c>
      <c r="BF1711" s="6" t="s">
        <v>14744</v>
      </c>
    </row>
    <row r="1712" customFormat="false" ht="82.5" hidden="false" customHeight="false" outlineLevel="0" collapsed="false">
      <c r="A1712" s="26" t="s">
        <v>63</v>
      </c>
      <c r="B1712" s="27" t="s">
        <v>2129</v>
      </c>
      <c r="C1712" s="27" t="s">
        <v>2130</v>
      </c>
      <c r="D1712" s="27" t="s">
        <v>14745</v>
      </c>
      <c r="E1712" s="27" t="s">
        <v>14746</v>
      </c>
      <c r="F1712" s="27" t="s">
        <v>14747</v>
      </c>
      <c r="G1712" s="28"/>
      <c r="H1712" s="6" t="s">
        <v>63</v>
      </c>
      <c r="I1712" s="6" t="s">
        <v>62</v>
      </c>
      <c r="J1712" s="6" t="s">
        <v>63</v>
      </c>
      <c r="K1712" s="6" t="s">
        <v>63</v>
      </c>
      <c r="L1712" s="6" t="s">
        <v>64</v>
      </c>
      <c r="M1712" s="27" t="s">
        <v>14748</v>
      </c>
      <c r="N1712" s="27" t="s">
        <v>14749</v>
      </c>
      <c r="O1712" s="6" t="s">
        <v>2329</v>
      </c>
      <c r="P1712" s="28"/>
      <c r="Q1712" s="6" t="s">
        <v>67</v>
      </c>
      <c r="R1712" s="6" t="s">
        <v>123</v>
      </c>
      <c r="S1712" s="28"/>
      <c r="T1712" s="6" t="s">
        <v>6138</v>
      </c>
      <c r="U1712" s="7" t="n">
        <v>11</v>
      </c>
      <c r="V1712" s="7" t="n">
        <v>11</v>
      </c>
      <c r="W1712" s="8" t="s">
        <v>14750</v>
      </c>
      <c r="X1712" s="8" t="s">
        <v>14750</v>
      </c>
      <c r="Y1712" s="8" t="s">
        <v>14629</v>
      </c>
      <c r="Z1712" s="8" t="s">
        <v>14629</v>
      </c>
      <c r="AA1712" s="7" t="n">
        <v>706</v>
      </c>
      <c r="AB1712" s="7" t="n">
        <v>530</v>
      </c>
      <c r="AC1712" s="7" t="n">
        <v>670</v>
      </c>
      <c r="AD1712" s="7" t="n">
        <v>4</v>
      </c>
      <c r="AE1712" s="7" t="n">
        <v>4</v>
      </c>
      <c r="AF1712" s="7" t="n">
        <v>33</v>
      </c>
      <c r="AG1712" s="7" t="n">
        <v>37</v>
      </c>
      <c r="AH1712" s="7" t="n">
        <v>14</v>
      </c>
      <c r="AI1712" s="7" t="n">
        <v>16</v>
      </c>
      <c r="AJ1712" s="7" t="n">
        <v>6</v>
      </c>
      <c r="AK1712" s="7" t="n">
        <v>8</v>
      </c>
      <c r="AL1712" s="7" t="n">
        <v>18</v>
      </c>
      <c r="AM1712" s="7" t="n">
        <v>20</v>
      </c>
      <c r="AN1712" s="7" t="n">
        <v>3</v>
      </c>
      <c r="AO1712" s="7" t="n">
        <v>3</v>
      </c>
      <c r="AP1712" s="7" t="n">
        <v>0</v>
      </c>
      <c r="AQ1712" s="7" t="n">
        <v>0</v>
      </c>
      <c r="AR1712" s="6" t="s">
        <v>63</v>
      </c>
      <c r="AS1712" s="6" t="s">
        <v>63</v>
      </c>
      <c r="AT1712" s="28"/>
      <c r="AU1712" s="9" t="str">
        <f aca="false">HYPERLINK("https://creighton-primo.hosted.exlibrisgroup.com/primo-explore/search?tab=default_tab&amp;search_scope=EVERYTHING&amp;vid=01CRU&amp;lang=en_US&amp;offset=0&amp;query=any,contains,991002544239702656","Catalog Record")</f>
        <v>Catalog Record</v>
      </c>
      <c r="AV1712" s="9" t="str">
        <f aca="false">HYPERLINK("http://www.worldcat.org/oclc/368440","WorldCat Record")</f>
        <v>WorldCat Record</v>
      </c>
      <c r="AW1712" s="6" t="s">
        <v>14751</v>
      </c>
      <c r="AX1712" s="6" t="s">
        <v>14752</v>
      </c>
      <c r="AY1712" s="6" t="s">
        <v>14753</v>
      </c>
      <c r="AZ1712" s="6" t="s">
        <v>14753</v>
      </c>
      <c r="BA1712" s="6" t="s">
        <v>14754</v>
      </c>
      <c r="BB1712" s="28"/>
      <c r="BC1712" s="6" t="s">
        <v>14755</v>
      </c>
      <c r="BE1712" s="15" t="s">
        <v>2145</v>
      </c>
      <c r="BF1712" s="6" t="s">
        <v>14756</v>
      </c>
    </row>
    <row r="1713" customFormat="false" ht="59.5" hidden="false" customHeight="false" outlineLevel="0" collapsed="false">
      <c r="A1713" s="26" t="s">
        <v>57</v>
      </c>
      <c r="B1713" s="27" t="s">
        <v>2129</v>
      </c>
      <c r="C1713" s="27" t="s">
        <v>2130</v>
      </c>
      <c r="D1713" s="27" t="s">
        <v>14757</v>
      </c>
      <c r="E1713" s="27" t="s">
        <v>14758</v>
      </c>
      <c r="F1713" s="27" t="s">
        <v>14759</v>
      </c>
      <c r="G1713" s="28"/>
      <c r="H1713" s="6" t="s">
        <v>63</v>
      </c>
      <c r="I1713" s="6" t="s">
        <v>62</v>
      </c>
      <c r="J1713" s="6" t="s">
        <v>63</v>
      </c>
      <c r="K1713" s="6" t="s">
        <v>63</v>
      </c>
      <c r="L1713" s="6" t="s">
        <v>64</v>
      </c>
      <c r="M1713" s="27" t="s">
        <v>14760</v>
      </c>
      <c r="N1713" s="27" t="s">
        <v>14761</v>
      </c>
      <c r="O1713" s="6" t="s">
        <v>2329</v>
      </c>
      <c r="P1713" s="28"/>
      <c r="Q1713" s="6" t="s">
        <v>67</v>
      </c>
      <c r="R1713" s="6" t="s">
        <v>123</v>
      </c>
      <c r="S1713" s="27" t="s">
        <v>14762</v>
      </c>
      <c r="T1713" s="6" t="s">
        <v>6138</v>
      </c>
      <c r="U1713" s="7" t="n">
        <v>2</v>
      </c>
      <c r="V1713" s="7" t="n">
        <v>2</v>
      </c>
      <c r="W1713" s="8" t="s">
        <v>14763</v>
      </c>
      <c r="X1713" s="8" t="s">
        <v>14763</v>
      </c>
      <c r="Y1713" s="8" t="s">
        <v>7062</v>
      </c>
      <c r="Z1713" s="8" t="s">
        <v>7062</v>
      </c>
      <c r="AA1713" s="7" t="n">
        <v>442</v>
      </c>
      <c r="AB1713" s="7" t="n">
        <v>328</v>
      </c>
      <c r="AC1713" s="7" t="n">
        <v>341</v>
      </c>
      <c r="AD1713" s="7" t="n">
        <v>2</v>
      </c>
      <c r="AE1713" s="7" t="n">
        <v>2</v>
      </c>
      <c r="AF1713" s="7" t="n">
        <v>21</v>
      </c>
      <c r="AG1713" s="7" t="n">
        <v>21</v>
      </c>
      <c r="AH1713" s="7" t="n">
        <v>7</v>
      </c>
      <c r="AI1713" s="7" t="n">
        <v>7</v>
      </c>
      <c r="AJ1713" s="7" t="n">
        <v>3</v>
      </c>
      <c r="AK1713" s="7" t="n">
        <v>3</v>
      </c>
      <c r="AL1713" s="7" t="n">
        <v>16</v>
      </c>
      <c r="AM1713" s="7" t="n">
        <v>16</v>
      </c>
      <c r="AN1713" s="7" t="n">
        <v>1</v>
      </c>
      <c r="AO1713" s="7" t="n">
        <v>1</v>
      </c>
      <c r="AP1713" s="7" t="n">
        <v>0</v>
      </c>
      <c r="AQ1713" s="7" t="n">
        <v>0</v>
      </c>
      <c r="AR1713" s="6" t="s">
        <v>63</v>
      </c>
      <c r="AS1713" s="6" t="s">
        <v>57</v>
      </c>
      <c r="AT1713" s="9" t="str">
        <f aca="false">HYPERLINK("http://catalog.hathitrust.org/Record/001380811","HathiTrust Record")</f>
        <v>HathiTrust Record</v>
      </c>
      <c r="AU1713" s="9" t="str">
        <f aca="false">HYPERLINK("https://creighton-primo.hosted.exlibrisgroup.com/primo-explore/search?tab=default_tab&amp;search_scope=EVERYTHING&amp;vid=01CRU&amp;lang=en_US&amp;offset=0&amp;query=any,contains,991003813369702656","Catalog Record")</f>
        <v>Catalog Record</v>
      </c>
      <c r="AV1713" s="9" t="str">
        <f aca="false">HYPERLINK("http://www.worldcat.org/oclc/1542591","WorldCat Record")</f>
        <v>WorldCat Record</v>
      </c>
      <c r="AW1713" s="6" t="s">
        <v>14764</v>
      </c>
      <c r="AX1713" s="6" t="s">
        <v>14765</v>
      </c>
      <c r="AY1713" s="6" t="s">
        <v>14766</v>
      </c>
      <c r="AZ1713" s="6" t="s">
        <v>14766</v>
      </c>
      <c r="BA1713" s="6" t="s">
        <v>14767</v>
      </c>
      <c r="BB1713" s="28"/>
      <c r="BC1713" s="6" t="s">
        <v>14768</v>
      </c>
      <c r="BE1713" s="15" t="s">
        <v>2145</v>
      </c>
      <c r="BF1713" s="6" t="s">
        <v>14769</v>
      </c>
    </row>
    <row r="1714" customFormat="false" ht="94" hidden="false" customHeight="false" outlineLevel="0" collapsed="false">
      <c r="A1714" s="26" t="s">
        <v>63</v>
      </c>
      <c r="B1714" s="27" t="s">
        <v>2129</v>
      </c>
      <c r="C1714" s="27" t="s">
        <v>2130</v>
      </c>
      <c r="D1714" s="27" t="s">
        <v>14770</v>
      </c>
      <c r="E1714" s="27" t="s">
        <v>14771</v>
      </c>
      <c r="F1714" s="27" t="s">
        <v>14772</v>
      </c>
      <c r="G1714" s="28"/>
      <c r="H1714" s="6" t="s">
        <v>63</v>
      </c>
      <c r="I1714" s="6" t="s">
        <v>62</v>
      </c>
      <c r="J1714" s="6" t="s">
        <v>63</v>
      </c>
      <c r="K1714" s="6" t="s">
        <v>63</v>
      </c>
      <c r="L1714" s="6" t="s">
        <v>64</v>
      </c>
      <c r="M1714" s="27" t="s">
        <v>14773</v>
      </c>
      <c r="N1714" s="27" t="s">
        <v>14774</v>
      </c>
      <c r="O1714" s="6" t="s">
        <v>2893</v>
      </c>
      <c r="P1714" s="28"/>
      <c r="Q1714" s="6" t="s">
        <v>67</v>
      </c>
      <c r="R1714" s="6" t="s">
        <v>222</v>
      </c>
      <c r="S1714" s="27" t="s">
        <v>14775</v>
      </c>
      <c r="T1714" s="6" t="s">
        <v>6138</v>
      </c>
      <c r="U1714" s="7" t="n">
        <v>4</v>
      </c>
      <c r="V1714" s="7" t="n">
        <v>4</v>
      </c>
      <c r="W1714" s="8" t="s">
        <v>14776</v>
      </c>
      <c r="X1714" s="8" t="s">
        <v>14776</v>
      </c>
      <c r="Y1714" s="8" t="s">
        <v>14777</v>
      </c>
      <c r="Z1714" s="8" t="s">
        <v>14777</v>
      </c>
      <c r="AA1714" s="7" t="n">
        <v>718</v>
      </c>
      <c r="AB1714" s="7" t="n">
        <v>638</v>
      </c>
      <c r="AC1714" s="7" t="n">
        <v>678</v>
      </c>
      <c r="AD1714" s="7" t="n">
        <v>4</v>
      </c>
      <c r="AE1714" s="7" t="n">
        <v>5</v>
      </c>
      <c r="AF1714" s="7" t="n">
        <v>30</v>
      </c>
      <c r="AG1714" s="7" t="n">
        <v>33</v>
      </c>
      <c r="AH1714" s="7" t="n">
        <v>13</v>
      </c>
      <c r="AI1714" s="7" t="n">
        <v>15</v>
      </c>
      <c r="AJ1714" s="7" t="n">
        <v>7</v>
      </c>
      <c r="AK1714" s="7" t="n">
        <v>7</v>
      </c>
      <c r="AL1714" s="7" t="n">
        <v>17</v>
      </c>
      <c r="AM1714" s="7" t="n">
        <v>18</v>
      </c>
      <c r="AN1714" s="7" t="n">
        <v>2</v>
      </c>
      <c r="AO1714" s="7" t="n">
        <v>3</v>
      </c>
      <c r="AP1714" s="7" t="n">
        <v>0</v>
      </c>
      <c r="AQ1714" s="7" t="n">
        <v>0</v>
      </c>
      <c r="AR1714" s="6" t="s">
        <v>63</v>
      </c>
      <c r="AS1714" s="6" t="s">
        <v>57</v>
      </c>
      <c r="AT1714" s="9" t="str">
        <f aca="false">HYPERLINK("http://catalog.hathitrust.org/Record/006231687","HathiTrust Record")</f>
        <v>HathiTrust Record</v>
      </c>
      <c r="AU1714" s="9" t="str">
        <f aca="false">HYPERLINK("https://creighton-primo.hosted.exlibrisgroup.com/primo-explore/search?tab=default_tab&amp;search_scope=EVERYTHING&amp;vid=01CRU&amp;lang=en_US&amp;offset=0&amp;query=any,contains,991003599069702656","Catalog Record")</f>
        <v>Catalog Record</v>
      </c>
      <c r="AV1714" s="9" t="str">
        <f aca="false">HYPERLINK("http://www.worldcat.org/oclc/1176849","WorldCat Record")</f>
        <v>WorldCat Record</v>
      </c>
      <c r="AW1714" s="6" t="s">
        <v>14778</v>
      </c>
      <c r="AX1714" s="6" t="s">
        <v>14779</v>
      </c>
      <c r="AY1714" s="6" t="s">
        <v>14780</v>
      </c>
      <c r="AZ1714" s="6" t="s">
        <v>14780</v>
      </c>
      <c r="BA1714" s="6" t="s">
        <v>14781</v>
      </c>
      <c r="BB1714" s="6" t="s">
        <v>14782</v>
      </c>
      <c r="BC1714" s="6" t="s">
        <v>14783</v>
      </c>
      <c r="BE1714" s="15" t="s">
        <v>2145</v>
      </c>
      <c r="BF1714" s="6" t="s">
        <v>14784</v>
      </c>
    </row>
    <row r="1715" customFormat="false" ht="94" hidden="false" customHeight="false" outlineLevel="0" collapsed="false">
      <c r="A1715" s="26" t="s">
        <v>57</v>
      </c>
      <c r="B1715" s="27" t="s">
        <v>2129</v>
      </c>
      <c r="C1715" s="27" t="s">
        <v>2130</v>
      </c>
      <c r="D1715" s="27" t="s">
        <v>14785</v>
      </c>
      <c r="E1715" s="27" t="s">
        <v>14786</v>
      </c>
      <c r="F1715" s="27" t="s">
        <v>14787</v>
      </c>
      <c r="G1715" s="28"/>
      <c r="H1715" s="6" t="s">
        <v>63</v>
      </c>
      <c r="I1715" s="6" t="s">
        <v>62</v>
      </c>
      <c r="J1715" s="6" t="s">
        <v>63</v>
      </c>
      <c r="K1715" s="6" t="s">
        <v>63</v>
      </c>
      <c r="L1715" s="6" t="s">
        <v>64</v>
      </c>
      <c r="M1715" s="27" t="s">
        <v>14788</v>
      </c>
      <c r="N1715" s="27" t="s">
        <v>14789</v>
      </c>
      <c r="O1715" s="6" t="s">
        <v>2262</v>
      </c>
      <c r="P1715" s="28"/>
      <c r="Q1715" s="6" t="s">
        <v>67</v>
      </c>
      <c r="R1715" s="6" t="s">
        <v>384</v>
      </c>
      <c r="S1715" s="27" t="s">
        <v>8261</v>
      </c>
      <c r="T1715" s="6" t="s">
        <v>6138</v>
      </c>
      <c r="U1715" s="7" t="n">
        <v>7</v>
      </c>
      <c r="V1715" s="7" t="n">
        <v>7</v>
      </c>
      <c r="W1715" s="8" t="s">
        <v>9840</v>
      </c>
      <c r="X1715" s="8" t="s">
        <v>9840</v>
      </c>
      <c r="Y1715" s="8" t="s">
        <v>14777</v>
      </c>
      <c r="Z1715" s="8" t="s">
        <v>14777</v>
      </c>
      <c r="AA1715" s="7" t="n">
        <v>552</v>
      </c>
      <c r="AB1715" s="7" t="n">
        <v>400</v>
      </c>
      <c r="AC1715" s="7" t="n">
        <v>419</v>
      </c>
      <c r="AD1715" s="7" t="n">
        <v>2</v>
      </c>
      <c r="AE1715" s="7" t="n">
        <v>2</v>
      </c>
      <c r="AF1715" s="7" t="n">
        <v>21</v>
      </c>
      <c r="AG1715" s="7" t="n">
        <v>22</v>
      </c>
      <c r="AH1715" s="7" t="n">
        <v>8</v>
      </c>
      <c r="AI1715" s="7" t="n">
        <v>8</v>
      </c>
      <c r="AJ1715" s="7" t="n">
        <v>5</v>
      </c>
      <c r="AK1715" s="7" t="n">
        <v>6</v>
      </c>
      <c r="AL1715" s="7" t="n">
        <v>15</v>
      </c>
      <c r="AM1715" s="7" t="n">
        <v>15</v>
      </c>
      <c r="AN1715" s="7" t="n">
        <v>1</v>
      </c>
      <c r="AO1715" s="7" t="n">
        <v>1</v>
      </c>
      <c r="AP1715" s="7" t="n">
        <v>0</v>
      </c>
      <c r="AQ1715" s="7" t="n">
        <v>0</v>
      </c>
      <c r="AR1715" s="6" t="s">
        <v>63</v>
      </c>
      <c r="AS1715" s="6" t="s">
        <v>57</v>
      </c>
      <c r="AT1715" s="9" t="str">
        <f aca="false">HYPERLINK("http://catalog.hathitrust.org/Record/000808353","HathiTrust Record")</f>
        <v>HathiTrust Record</v>
      </c>
      <c r="AU1715" s="9" t="str">
        <f aca="false">HYPERLINK("https://creighton-primo.hosted.exlibrisgroup.com/primo-explore/search?tab=default_tab&amp;search_scope=EVERYTHING&amp;vid=01CRU&amp;lang=en_US&amp;offset=0&amp;query=any,contains,991000873079702656","Catalog Record")</f>
        <v>Catalog Record</v>
      </c>
      <c r="AV1715" s="9" t="str">
        <f aca="false">HYPERLINK("http://www.worldcat.org/oclc/13794510","WorldCat Record")</f>
        <v>WorldCat Record</v>
      </c>
      <c r="AW1715" s="6" t="s">
        <v>14790</v>
      </c>
      <c r="AX1715" s="6" t="s">
        <v>14791</v>
      </c>
      <c r="AY1715" s="6" t="s">
        <v>14792</v>
      </c>
      <c r="AZ1715" s="6" t="s">
        <v>14792</v>
      </c>
      <c r="BA1715" s="6" t="s">
        <v>14793</v>
      </c>
      <c r="BB1715" s="6" t="s">
        <v>14794</v>
      </c>
      <c r="BC1715" s="6" t="s">
        <v>14795</v>
      </c>
      <c r="BE1715" s="15" t="s">
        <v>2145</v>
      </c>
      <c r="BF1715" s="6" t="s">
        <v>14796</v>
      </c>
    </row>
    <row r="1716" customFormat="false" ht="94" hidden="false" customHeight="false" outlineLevel="0" collapsed="false">
      <c r="A1716" s="26" t="s">
        <v>63</v>
      </c>
      <c r="B1716" s="27" t="s">
        <v>2129</v>
      </c>
      <c r="C1716" s="27" t="s">
        <v>2130</v>
      </c>
      <c r="D1716" s="27" t="s">
        <v>14797</v>
      </c>
      <c r="E1716" s="27" t="s">
        <v>14798</v>
      </c>
      <c r="F1716" s="27" t="s">
        <v>14799</v>
      </c>
      <c r="G1716" s="28"/>
      <c r="H1716" s="6" t="s">
        <v>63</v>
      </c>
      <c r="I1716" s="6" t="s">
        <v>62</v>
      </c>
      <c r="J1716" s="6" t="s">
        <v>63</v>
      </c>
      <c r="K1716" s="6" t="s">
        <v>63</v>
      </c>
      <c r="L1716" s="6" t="s">
        <v>64</v>
      </c>
      <c r="M1716" s="27" t="s">
        <v>14800</v>
      </c>
      <c r="N1716" s="27" t="s">
        <v>14801</v>
      </c>
      <c r="O1716" s="6" t="s">
        <v>264</v>
      </c>
      <c r="P1716" s="28"/>
      <c r="Q1716" s="6" t="s">
        <v>67</v>
      </c>
      <c r="R1716" s="6" t="s">
        <v>68</v>
      </c>
      <c r="S1716" s="27" t="s">
        <v>9680</v>
      </c>
      <c r="T1716" s="6" t="s">
        <v>6138</v>
      </c>
      <c r="U1716" s="7" t="n">
        <v>2</v>
      </c>
      <c r="V1716" s="7" t="n">
        <v>2</v>
      </c>
      <c r="W1716" s="8" t="s">
        <v>13679</v>
      </c>
      <c r="X1716" s="8" t="s">
        <v>13679</v>
      </c>
      <c r="Y1716" s="8" t="s">
        <v>14777</v>
      </c>
      <c r="Z1716" s="8" t="s">
        <v>14777</v>
      </c>
      <c r="AA1716" s="7" t="n">
        <v>167</v>
      </c>
      <c r="AB1716" s="7" t="n">
        <v>131</v>
      </c>
      <c r="AC1716" s="7" t="n">
        <v>292</v>
      </c>
      <c r="AD1716" s="7" t="n">
        <v>2</v>
      </c>
      <c r="AE1716" s="7" t="n">
        <v>2</v>
      </c>
      <c r="AF1716" s="7" t="n">
        <v>6</v>
      </c>
      <c r="AG1716" s="7" t="n">
        <v>14</v>
      </c>
      <c r="AH1716" s="7" t="n">
        <v>1</v>
      </c>
      <c r="AI1716" s="7" t="n">
        <v>3</v>
      </c>
      <c r="AJ1716" s="7" t="n">
        <v>2</v>
      </c>
      <c r="AK1716" s="7" t="n">
        <v>4</v>
      </c>
      <c r="AL1716" s="7" t="n">
        <v>5</v>
      </c>
      <c r="AM1716" s="7" t="n">
        <v>11</v>
      </c>
      <c r="AN1716" s="7" t="n">
        <v>1</v>
      </c>
      <c r="AO1716" s="7" t="n">
        <v>1</v>
      </c>
      <c r="AP1716" s="7" t="n">
        <v>0</v>
      </c>
      <c r="AQ1716" s="7" t="n">
        <v>0</v>
      </c>
      <c r="AR1716" s="6" t="s">
        <v>63</v>
      </c>
      <c r="AS1716" s="6" t="s">
        <v>57</v>
      </c>
      <c r="AT1716" s="9" t="str">
        <f aca="false">HYPERLINK("http://catalog.hathitrust.org/Record/011986650","HathiTrust Record")</f>
        <v>HathiTrust Record</v>
      </c>
      <c r="AU1716" s="9" t="str">
        <f aca="false">HYPERLINK("https://creighton-primo.hosted.exlibrisgroup.com/primo-explore/search?tab=default_tab&amp;search_scope=EVERYTHING&amp;vid=01CRU&amp;lang=en_US&amp;offset=0&amp;query=any,contains,991000425159702656","Catalog Record")</f>
        <v>Catalog Record</v>
      </c>
      <c r="AV1716" s="9" t="str">
        <f aca="false">HYPERLINK("http://www.worldcat.org/oclc/74825","WorldCat Record")</f>
        <v>WorldCat Record</v>
      </c>
      <c r="AW1716" s="6" t="s">
        <v>14802</v>
      </c>
      <c r="AX1716" s="6" t="s">
        <v>14803</v>
      </c>
      <c r="AY1716" s="6" t="s">
        <v>14804</v>
      </c>
      <c r="AZ1716" s="6" t="s">
        <v>14804</v>
      </c>
      <c r="BA1716" s="6" t="s">
        <v>14805</v>
      </c>
      <c r="BB1716" s="6" t="s">
        <v>14806</v>
      </c>
      <c r="BC1716" s="6" t="s">
        <v>14807</v>
      </c>
      <c r="BE1716" s="15" t="s">
        <v>2145</v>
      </c>
      <c r="BF1716" s="6" t="s">
        <v>14808</v>
      </c>
    </row>
    <row r="1717" customFormat="false" ht="128.5" hidden="false" customHeight="false" outlineLevel="0" collapsed="false">
      <c r="A1717" s="26" t="s">
        <v>63</v>
      </c>
      <c r="B1717" s="27" t="s">
        <v>2129</v>
      </c>
      <c r="C1717" s="27" t="s">
        <v>2130</v>
      </c>
      <c r="D1717" s="27" t="s">
        <v>14809</v>
      </c>
      <c r="E1717" s="27" t="s">
        <v>14810</v>
      </c>
      <c r="F1717" s="27" t="s">
        <v>14811</v>
      </c>
      <c r="G1717" s="28"/>
      <c r="H1717" s="6" t="s">
        <v>63</v>
      </c>
      <c r="I1717" s="6" t="s">
        <v>62</v>
      </c>
      <c r="J1717" s="6" t="s">
        <v>63</v>
      </c>
      <c r="K1717" s="6" t="s">
        <v>63</v>
      </c>
      <c r="L1717" s="6" t="s">
        <v>64</v>
      </c>
      <c r="M1717" s="27" t="s">
        <v>14812</v>
      </c>
      <c r="N1717" s="27" t="s">
        <v>14813</v>
      </c>
      <c r="O1717" s="6" t="s">
        <v>2893</v>
      </c>
      <c r="P1717" s="28"/>
      <c r="Q1717" s="6" t="s">
        <v>67</v>
      </c>
      <c r="R1717" s="6" t="s">
        <v>1059</v>
      </c>
      <c r="S1717" s="28"/>
      <c r="T1717" s="6" t="s">
        <v>6138</v>
      </c>
      <c r="U1717" s="7" t="n">
        <v>4</v>
      </c>
      <c r="V1717" s="7" t="n">
        <v>4</v>
      </c>
      <c r="W1717" s="8" t="s">
        <v>14814</v>
      </c>
      <c r="X1717" s="8" t="s">
        <v>14814</v>
      </c>
      <c r="Y1717" s="8" t="s">
        <v>14777</v>
      </c>
      <c r="Z1717" s="8" t="s">
        <v>14777</v>
      </c>
      <c r="AA1717" s="7" t="n">
        <v>552</v>
      </c>
      <c r="AB1717" s="7" t="n">
        <v>437</v>
      </c>
      <c r="AC1717" s="7" t="n">
        <v>445</v>
      </c>
      <c r="AD1717" s="7" t="n">
        <v>3</v>
      </c>
      <c r="AE1717" s="7" t="n">
        <v>3</v>
      </c>
      <c r="AF1717" s="7" t="n">
        <v>26</v>
      </c>
      <c r="AG1717" s="7" t="n">
        <v>26</v>
      </c>
      <c r="AH1717" s="7" t="n">
        <v>7</v>
      </c>
      <c r="AI1717" s="7" t="n">
        <v>7</v>
      </c>
      <c r="AJ1717" s="7" t="n">
        <v>8</v>
      </c>
      <c r="AK1717" s="7" t="n">
        <v>8</v>
      </c>
      <c r="AL1717" s="7" t="n">
        <v>17</v>
      </c>
      <c r="AM1717" s="7" t="n">
        <v>17</v>
      </c>
      <c r="AN1717" s="7" t="n">
        <v>2</v>
      </c>
      <c r="AO1717" s="7" t="n">
        <v>2</v>
      </c>
      <c r="AP1717" s="7" t="n">
        <v>0</v>
      </c>
      <c r="AQ1717" s="7" t="n">
        <v>0</v>
      </c>
      <c r="AR1717" s="6" t="s">
        <v>63</v>
      </c>
      <c r="AS1717" s="6" t="s">
        <v>57</v>
      </c>
      <c r="AT1717" s="9" t="str">
        <f aca="false">HYPERLINK("http://catalog.hathitrust.org/Record/000010864","HathiTrust Record")</f>
        <v>HathiTrust Record</v>
      </c>
      <c r="AU1717" s="9" t="str">
        <f aca="false">HYPERLINK("https://creighton-primo.hosted.exlibrisgroup.com/primo-explore/search?tab=default_tab&amp;search_scope=EVERYTHING&amp;vid=01CRU&amp;lang=en_US&amp;offset=0&amp;query=any,contains,991003219599702656","Catalog Record")</f>
        <v>Catalog Record</v>
      </c>
      <c r="AV1717" s="9" t="str">
        <f aca="false">HYPERLINK("http://www.worldcat.org/oclc/745709","WorldCat Record")</f>
        <v>WorldCat Record</v>
      </c>
      <c r="AW1717" s="6" t="s">
        <v>14815</v>
      </c>
      <c r="AX1717" s="6" t="s">
        <v>14816</v>
      </c>
      <c r="AY1717" s="6" t="s">
        <v>14817</v>
      </c>
      <c r="AZ1717" s="6" t="s">
        <v>14817</v>
      </c>
      <c r="BA1717" s="6" t="s">
        <v>14818</v>
      </c>
      <c r="BB1717" s="6" t="s">
        <v>14819</v>
      </c>
      <c r="BC1717" s="6" t="s">
        <v>14820</v>
      </c>
      <c r="BE1717" s="15" t="s">
        <v>2145</v>
      </c>
      <c r="BF1717" s="6" t="s">
        <v>14821</v>
      </c>
    </row>
    <row r="1718" customFormat="false" ht="128.5" hidden="false" customHeight="false" outlineLevel="0" collapsed="false">
      <c r="A1718" s="26" t="s">
        <v>63</v>
      </c>
      <c r="B1718" s="27" t="s">
        <v>2129</v>
      </c>
      <c r="C1718" s="27" t="s">
        <v>2130</v>
      </c>
      <c r="D1718" s="27" t="s">
        <v>14822</v>
      </c>
      <c r="E1718" s="27" t="s">
        <v>14823</v>
      </c>
      <c r="F1718" s="27" t="s">
        <v>14824</v>
      </c>
      <c r="G1718" s="28"/>
      <c r="H1718" s="6" t="s">
        <v>63</v>
      </c>
      <c r="I1718" s="6" t="s">
        <v>62</v>
      </c>
      <c r="J1718" s="6" t="s">
        <v>63</v>
      </c>
      <c r="K1718" s="6" t="s">
        <v>63</v>
      </c>
      <c r="L1718" s="6" t="s">
        <v>64</v>
      </c>
      <c r="M1718" s="27" t="s">
        <v>14825</v>
      </c>
      <c r="N1718" s="27" t="s">
        <v>14826</v>
      </c>
      <c r="O1718" s="6" t="s">
        <v>254</v>
      </c>
      <c r="P1718" s="28"/>
      <c r="Q1718" s="6" t="s">
        <v>67</v>
      </c>
      <c r="R1718" s="6" t="s">
        <v>802</v>
      </c>
      <c r="S1718" s="27" t="s">
        <v>14827</v>
      </c>
      <c r="T1718" s="6" t="s">
        <v>6138</v>
      </c>
      <c r="U1718" s="7" t="n">
        <v>5</v>
      </c>
      <c r="V1718" s="7" t="n">
        <v>5</v>
      </c>
      <c r="W1718" s="8" t="s">
        <v>13679</v>
      </c>
      <c r="X1718" s="8" t="s">
        <v>13679</v>
      </c>
      <c r="Y1718" s="8" t="s">
        <v>14777</v>
      </c>
      <c r="Z1718" s="8" t="s">
        <v>14777</v>
      </c>
      <c r="AA1718" s="7" t="n">
        <v>457</v>
      </c>
      <c r="AB1718" s="7" t="n">
        <v>346</v>
      </c>
      <c r="AC1718" s="7" t="n">
        <v>362</v>
      </c>
      <c r="AD1718" s="7" t="n">
        <v>3</v>
      </c>
      <c r="AE1718" s="7" t="n">
        <v>3</v>
      </c>
      <c r="AF1718" s="7" t="n">
        <v>26</v>
      </c>
      <c r="AG1718" s="7" t="n">
        <v>26</v>
      </c>
      <c r="AH1718" s="7" t="n">
        <v>8</v>
      </c>
      <c r="AI1718" s="7" t="n">
        <v>8</v>
      </c>
      <c r="AJ1718" s="7" t="n">
        <v>8</v>
      </c>
      <c r="AK1718" s="7" t="n">
        <v>8</v>
      </c>
      <c r="AL1718" s="7" t="n">
        <v>17</v>
      </c>
      <c r="AM1718" s="7" t="n">
        <v>17</v>
      </c>
      <c r="AN1718" s="7" t="n">
        <v>2</v>
      </c>
      <c r="AO1718" s="7" t="n">
        <v>2</v>
      </c>
      <c r="AP1718" s="7" t="n">
        <v>0</v>
      </c>
      <c r="AQ1718" s="7" t="n">
        <v>0</v>
      </c>
      <c r="AR1718" s="6" t="s">
        <v>63</v>
      </c>
      <c r="AS1718" s="6" t="s">
        <v>57</v>
      </c>
      <c r="AT1718" s="9" t="str">
        <f aca="false">HYPERLINK("http://catalog.hathitrust.org/Record/001386658","HathiTrust Record")</f>
        <v>HathiTrust Record</v>
      </c>
      <c r="AU1718" s="9" t="str">
        <f aca="false">HYPERLINK("https://creighton-primo.hosted.exlibrisgroup.com/primo-explore/search?tab=default_tab&amp;search_scope=EVERYTHING&amp;vid=01CRU&amp;lang=en_US&amp;offset=0&amp;query=any,contains,991003273369702656","Catalog Record")</f>
        <v>Catalog Record</v>
      </c>
      <c r="AV1718" s="9" t="str">
        <f aca="false">HYPERLINK("http://www.worldcat.org/oclc/798256","WorldCat Record")</f>
        <v>WorldCat Record</v>
      </c>
      <c r="AW1718" s="6" t="s">
        <v>14828</v>
      </c>
      <c r="AX1718" s="6" t="s">
        <v>14829</v>
      </c>
      <c r="AY1718" s="6" t="s">
        <v>14830</v>
      </c>
      <c r="AZ1718" s="6" t="s">
        <v>14830</v>
      </c>
      <c r="BA1718" s="6" t="s">
        <v>14831</v>
      </c>
      <c r="BB1718" s="6" t="s">
        <v>14832</v>
      </c>
      <c r="BC1718" s="6" t="s">
        <v>14833</v>
      </c>
      <c r="BE1718" s="15" t="s">
        <v>2145</v>
      </c>
      <c r="BF1718" s="6" t="s">
        <v>14834</v>
      </c>
    </row>
    <row r="1719" customFormat="false" ht="117" hidden="false" customHeight="false" outlineLevel="0" collapsed="false">
      <c r="A1719" s="26" t="s">
        <v>63</v>
      </c>
      <c r="B1719" s="27" t="s">
        <v>2129</v>
      </c>
      <c r="C1719" s="27" t="s">
        <v>2130</v>
      </c>
      <c r="D1719" s="27" t="s">
        <v>14835</v>
      </c>
      <c r="E1719" s="27" t="s">
        <v>14836</v>
      </c>
      <c r="F1719" s="27" t="s">
        <v>14837</v>
      </c>
      <c r="G1719" s="28"/>
      <c r="H1719" s="6" t="s">
        <v>63</v>
      </c>
      <c r="I1719" s="6" t="s">
        <v>62</v>
      </c>
      <c r="J1719" s="6" t="s">
        <v>63</v>
      </c>
      <c r="K1719" s="6" t="s">
        <v>63</v>
      </c>
      <c r="L1719" s="6" t="s">
        <v>64</v>
      </c>
      <c r="M1719" s="28"/>
      <c r="N1719" s="27" t="s">
        <v>14838</v>
      </c>
      <c r="O1719" s="6" t="s">
        <v>108</v>
      </c>
      <c r="P1719" s="28"/>
      <c r="Q1719" s="6" t="s">
        <v>67</v>
      </c>
      <c r="R1719" s="6" t="s">
        <v>14839</v>
      </c>
      <c r="S1719" s="28"/>
      <c r="T1719" s="6" t="s">
        <v>6138</v>
      </c>
      <c r="U1719" s="7" t="n">
        <v>3</v>
      </c>
      <c r="V1719" s="7" t="n">
        <v>3</v>
      </c>
      <c r="W1719" s="8" t="s">
        <v>14840</v>
      </c>
      <c r="X1719" s="8" t="s">
        <v>14840</v>
      </c>
      <c r="Y1719" s="8" t="s">
        <v>14777</v>
      </c>
      <c r="Z1719" s="8" t="s">
        <v>14777</v>
      </c>
      <c r="AA1719" s="7" t="n">
        <v>759</v>
      </c>
      <c r="AB1719" s="7" t="n">
        <v>657</v>
      </c>
      <c r="AC1719" s="7" t="n">
        <v>658</v>
      </c>
      <c r="AD1719" s="7" t="n">
        <v>7</v>
      </c>
      <c r="AE1719" s="7" t="n">
        <v>7</v>
      </c>
      <c r="AF1719" s="7" t="n">
        <v>42</v>
      </c>
      <c r="AG1719" s="7" t="n">
        <v>42</v>
      </c>
      <c r="AH1719" s="7" t="n">
        <v>14</v>
      </c>
      <c r="AI1719" s="7" t="n">
        <v>14</v>
      </c>
      <c r="AJ1719" s="7" t="n">
        <v>9</v>
      </c>
      <c r="AK1719" s="7" t="n">
        <v>9</v>
      </c>
      <c r="AL1719" s="7" t="n">
        <v>24</v>
      </c>
      <c r="AM1719" s="7" t="n">
        <v>24</v>
      </c>
      <c r="AN1719" s="7" t="n">
        <v>5</v>
      </c>
      <c r="AO1719" s="7" t="n">
        <v>5</v>
      </c>
      <c r="AP1719" s="7" t="n">
        <v>1</v>
      </c>
      <c r="AQ1719" s="7" t="n">
        <v>1</v>
      </c>
      <c r="AR1719" s="6" t="s">
        <v>63</v>
      </c>
      <c r="AS1719" s="6" t="s">
        <v>63</v>
      </c>
      <c r="AT1719" s="28"/>
      <c r="AU1719" s="9" t="str">
        <f aca="false">HYPERLINK("https://creighton-primo.hosted.exlibrisgroup.com/primo-explore/search?tab=default_tab&amp;search_scope=EVERYTHING&amp;vid=01CRU&amp;lang=en_US&amp;offset=0&amp;query=any,contains,991004453009702656","Catalog Record")</f>
        <v>Catalog Record</v>
      </c>
      <c r="AV1719" s="9" t="str">
        <f aca="false">HYPERLINK("http://www.worldcat.org/oclc/3516587","WorldCat Record")</f>
        <v>WorldCat Record</v>
      </c>
      <c r="AW1719" s="6" t="s">
        <v>14841</v>
      </c>
      <c r="AX1719" s="6" t="s">
        <v>14842</v>
      </c>
      <c r="AY1719" s="6" t="s">
        <v>14843</v>
      </c>
      <c r="AZ1719" s="6" t="s">
        <v>14843</v>
      </c>
      <c r="BA1719" s="6" t="s">
        <v>14844</v>
      </c>
      <c r="BB1719" s="6" t="s">
        <v>14845</v>
      </c>
      <c r="BC1719" s="6" t="s">
        <v>14846</v>
      </c>
      <c r="BE1719" s="15" t="s">
        <v>2145</v>
      </c>
      <c r="BF1719" s="6" t="s">
        <v>14847</v>
      </c>
    </row>
    <row r="1720" customFormat="false" ht="289.5" hidden="false" customHeight="false" outlineLevel="0" collapsed="false">
      <c r="A1720" s="26" t="s">
        <v>63</v>
      </c>
      <c r="B1720" s="27" t="s">
        <v>2129</v>
      </c>
      <c r="C1720" s="27" t="s">
        <v>2130</v>
      </c>
      <c r="D1720" s="27" t="s">
        <v>14848</v>
      </c>
      <c r="E1720" s="27" t="s">
        <v>14849</v>
      </c>
      <c r="F1720" s="27" t="s">
        <v>14850</v>
      </c>
      <c r="G1720" s="28"/>
      <c r="H1720" s="6" t="s">
        <v>63</v>
      </c>
      <c r="I1720" s="6" t="s">
        <v>62</v>
      </c>
      <c r="J1720" s="6" t="s">
        <v>63</v>
      </c>
      <c r="K1720" s="6" t="s">
        <v>63</v>
      </c>
      <c r="L1720" s="6" t="s">
        <v>64</v>
      </c>
      <c r="M1720" s="27" t="s">
        <v>14851</v>
      </c>
      <c r="N1720" s="27" t="s">
        <v>14852</v>
      </c>
      <c r="O1720" s="6" t="s">
        <v>2426</v>
      </c>
      <c r="P1720" s="28"/>
      <c r="Q1720" s="6" t="s">
        <v>67</v>
      </c>
      <c r="R1720" s="6" t="s">
        <v>802</v>
      </c>
      <c r="S1720" s="28"/>
      <c r="T1720" s="6" t="s">
        <v>6138</v>
      </c>
      <c r="U1720" s="7" t="n">
        <v>3</v>
      </c>
      <c r="V1720" s="7" t="n">
        <v>3</v>
      </c>
      <c r="W1720" s="8" t="s">
        <v>14853</v>
      </c>
      <c r="X1720" s="8" t="s">
        <v>14853</v>
      </c>
      <c r="Y1720" s="8" t="s">
        <v>14777</v>
      </c>
      <c r="Z1720" s="8" t="s">
        <v>14777</v>
      </c>
      <c r="AA1720" s="7" t="n">
        <v>309</v>
      </c>
      <c r="AB1720" s="7" t="n">
        <v>206</v>
      </c>
      <c r="AC1720" s="7" t="n">
        <v>212</v>
      </c>
      <c r="AD1720" s="7" t="n">
        <v>2</v>
      </c>
      <c r="AE1720" s="7" t="n">
        <v>2</v>
      </c>
      <c r="AF1720" s="7" t="n">
        <v>14</v>
      </c>
      <c r="AG1720" s="7" t="n">
        <v>14</v>
      </c>
      <c r="AH1720" s="7" t="n">
        <v>2</v>
      </c>
      <c r="AI1720" s="7" t="n">
        <v>2</v>
      </c>
      <c r="AJ1720" s="7" t="n">
        <v>4</v>
      </c>
      <c r="AK1720" s="7" t="n">
        <v>4</v>
      </c>
      <c r="AL1720" s="7" t="n">
        <v>10</v>
      </c>
      <c r="AM1720" s="7" t="n">
        <v>10</v>
      </c>
      <c r="AN1720" s="7" t="n">
        <v>1</v>
      </c>
      <c r="AO1720" s="7" t="n">
        <v>1</v>
      </c>
      <c r="AP1720" s="7" t="n">
        <v>0</v>
      </c>
      <c r="AQ1720" s="7" t="n">
        <v>0</v>
      </c>
      <c r="AR1720" s="6" t="s">
        <v>63</v>
      </c>
      <c r="AS1720" s="6" t="s">
        <v>57</v>
      </c>
      <c r="AT1720" s="9" t="str">
        <f aca="false">HYPERLINK("http://catalog.hathitrust.org/Record/001386676","HathiTrust Record")</f>
        <v>HathiTrust Record</v>
      </c>
      <c r="AU1720" s="9" t="str">
        <f aca="false">HYPERLINK("https://creighton-primo.hosted.exlibrisgroup.com/primo-explore/search?tab=default_tab&amp;search_scope=EVERYTHING&amp;vid=01CRU&amp;lang=en_US&amp;offset=0&amp;query=any,contains,991003526269702656","Catalog Record")</f>
        <v>Catalog Record</v>
      </c>
      <c r="AV1720" s="9" t="str">
        <f aca="false">HYPERLINK("http://www.worldcat.org/oclc/1089435","WorldCat Record")</f>
        <v>WorldCat Record</v>
      </c>
      <c r="AW1720" s="6" t="s">
        <v>14854</v>
      </c>
      <c r="AX1720" s="6" t="s">
        <v>14855</v>
      </c>
      <c r="AY1720" s="6" t="s">
        <v>14856</v>
      </c>
      <c r="AZ1720" s="6" t="s">
        <v>14856</v>
      </c>
      <c r="BA1720" s="6" t="s">
        <v>14857</v>
      </c>
      <c r="BB1720" s="6" t="s">
        <v>14858</v>
      </c>
      <c r="BC1720" s="6" t="s">
        <v>14859</v>
      </c>
      <c r="BE1720" s="15" t="s">
        <v>2145</v>
      </c>
      <c r="BF1720" s="6" t="s">
        <v>14860</v>
      </c>
    </row>
    <row r="1721" customFormat="false" ht="105.5" hidden="false" customHeight="false" outlineLevel="0" collapsed="false">
      <c r="A1721" s="26" t="s">
        <v>63</v>
      </c>
      <c r="B1721" s="27" t="s">
        <v>2129</v>
      </c>
      <c r="C1721" s="27" t="s">
        <v>2130</v>
      </c>
      <c r="D1721" s="27" t="s">
        <v>14861</v>
      </c>
      <c r="E1721" s="27" t="s">
        <v>14862</v>
      </c>
      <c r="F1721" s="27" t="s">
        <v>14863</v>
      </c>
      <c r="G1721" s="28"/>
      <c r="H1721" s="6" t="s">
        <v>63</v>
      </c>
      <c r="I1721" s="6" t="s">
        <v>62</v>
      </c>
      <c r="J1721" s="6" t="s">
        <v>63</v>
      </c>
      <c r="K1721" s="6" t="s">
        <v>63</v>
      </c>
      <c r="L1721" s="6" t="s">
        <v>64</v>
      </c>
      <c r="M1721" s="27" t="s">
        <v>14864</v>
      </c>
      <c r="N1721" s="27" t="s">
        <v>14865</v>
      </c>
      <c r="O1721" s="6" t="s">
        <v>246</v>
      </c>
      <c r="P1721" s="28"/>
      <c r="Q1721" s="6" t="s">
        <v>67</v>
      </c>
      <c r="R1721" s="6" t="s">
        <v>802</v>
      </c>
      <c r="S1721" s="27" t="s">
        <v>14866</v>
      </c>
      <c r="T1721" s="6" t="s">
        <v>6138</v>
      </c>
      <c r="U1721" s="7" t="n">
        <v>2</v>
      </c>
      <c r="V1721" s="7" t="n">
        <v>2</v>
      </c>
      <c r="W1721" s="8" t="s">
        <v>12503</v>
      </c>
      <c r="X1721" s="8" t="s">
        <v>12503</v>
      </c>
      <c r="Y1721" s="8" t="s">
        <v>14867</v>
      </c>
      <c r="Z1721" s="8" t="s">
        <v>14867</v>
      </c>
      <c r="AA1721" s="7" t="n">
        <v>269</v>
      </c>
      <c r="AB1721" s="7" t="n">
        <v>179</v>
      </c>
      <c r="AC1721" s="7" t="n">
        <v>179</v>
      </c>
      <c r="AD1721" s="7" t="n">
        <v>2</v>
      </c>
      <c r="AE1721" s="7" t="n">
        <v>2</v>
      </c>
      <c r="AF1721" s="7" t="n">
        <v>20</v>
      </c>
      <c r="AG1721" s="7" t="n">
        <v>20</v>
      </c>
      <c r="AH1721" s="7" t="n">
        <v>7</v>
      </c>
      <c r="AI1721" s="7" t="n">
        <v>7</v>
      </c>
      <c r="AJ1721" s="7" t="n">
        <v>5</v>
      </c>
      <c r="AK1721" s="7" t="n">
        <v>5</v>
      </c>
      <c r="AL1721" s="7" t="n">
        <v>16</v>
      </c>
      <c r="AM1721" s="7" t="n">
        <v>16</v>
      </c>
      <c r="AN1721" s="7" t="n">
        <v>1</v>
      </c>
      <c r="AO1721" s="7" t="n">
        <v>1</v>
      </c>
      <c r="AP1721" s="7" t="n">
        <v>0</v>
      </c>
      <c r="AQ1721" s="7" t="n">
        <v>0</v>
      </c>
      <c r="AR1721" s="6" t="s">
        <v>63</v>
      </c>
      <c r="AS1721" s="6" t="s">
        <v>63</v>
      </c>
      <c r="AT1721" s="28"/>
      <c r="AU1721" s="9" t="str">
        <f aca="false">HYPERLINK("https://creighton-primo.hosted.exlibrisgroup.com/primo-explore/search?tab=default_tab&amp;search_scope=EVERYTHING&amp;vid=01CRU&amp;lang=en_US&amp;offset=0&amp;query=any,contains,991004781759702656","Catalog Record")</f>
        <v>Catalog Record</v>
      </c>
      <c r="AV1721" s="9" t="str">
        <f aca="false">HYPERLINK("http://www.worldcat.org/oclc/5401493","WorldCat Record")</f>
        <v>WorldCat Record</v>
      </c>
      <c r="AW1721" s="6" t="s">
        <v>14868</v>
      </c>
      <c r="AX1721" s="6" t="s">
        <v>14869</v>
      </c>
      <c r="AY1721" s="6" t="s">
        <v>14870</v>
      </c>
      <c r="AZ1721" s="6" t="s">
        <v>14870</v>
      </c>
      <c r="BA1721" s="6" t="s">
        <v>14871</v>
      </c>
      <c r="BB1721" s="6" t="s">
        <v>14872</v>
      </c>
      <c r="BC1721" s="6" t="s">
        <v>14873</v>
      </c>
      <c r="BE1721" s="15" t="s">
        <v>2145</v>
      </c>
      <c r="BF1721" s="6" t="s">
        <v>14874</v>
      </c>
    </row>
    <row r="1722" customFormat="false" ht="117" hidden="false" customHeight="false" outlineLevel="0" collapsed="false">
      <c r="A1722" s="26" t="s">
        <v>63</v>
      </c>
      <c r="B1722" s="27" t="s">
        <v>2129</v>
      </c>
      <c r="C1722" s="27" t="s">
        <v>2130</v>
      </c>
      <c r="D1722" s="27" t="s">
        <v>14875</v>
      </c>
      <c r="E1722" s="27" t="s">
        <v>14876</v>
      </c>
      <c r="F1722" s="27" t="s">
        <v>14877</v>
      </c>
      <c r="G1722" s="28"/>
      <c r="H1722" s="6" t="s">
        <v>57</v>
      </c>
      <c r="I1722" s="6" t="s">
        <v>62</v>
      </c>
      <c r="J1722" s="6" t="s">
        <v>57</v>
      </c>
      <c r="K1722" s="6" t="s">
        <v>63</v>
      </c>
      <c r="L1722" s="6" t="s">
        <v>64</v>
      </c>
      <c r="M1722" s="27" t="s">
        <v>14878</v>
      </c>
      <c r="N1722" s="27" t="s">
        <v>14879</v>
      </c>
      <c r="O1722" s="6" t="s">
        <v>2975</v>
      </c>
      <c r="P1722" s="28"/>
      <c r="Q1722" s="6" t="s">
        <v>67</v>
      </c>
      <c r="R1722" s="6" t="s">
        <v>68</v>
      </c>
      <c r="S1722" s="28"/>
      <c r="T1722" s="6" t="s">
        <v>6138</v>
      </c>
      <c r="U1722" s="7" t="n">
        <v>4</v>
      </c>
      <c r="V1722" s="7" t="n">
        <v>6</v>
      </c>
      <c r="W1722" s="8" t="s">
        <v>14840</v>
      </c>
      <c r="X1722" s="8" t="s">
        <v>14840</v>
      </c>
      <c r="Y1722" s="8" t="s">
        <v>14867</v>
      </c>
      <c r="Z1722" s="8" t="s">
        <v>14867</v>
      </c>
      <c r="AA1722" s="7" t="n">
        <v>342</v>
      </c>
      <c r="AB1722" s="7" t="n">
        <v>287</v>
      </c>
      <c r="AC1722" s="7" t="n">
        <v>947</v>
      </c>
      <c r="AD1722" s="7" t="n">
        <v>4</v>
      </c>
      <c r="AE1722" s="7" t="n">
        <v>8</v>
      </c>
      <c r="AF1722" s="7" t="n">
        <v>11</v>
      </c>
      <c r="AG1722" s="7" t="n">
        <v>48</v>
      </c>
      <c r="AH1722" s="7" t="n">
        <v>3</v>
      </c>
      <c r="AI1722" s="7" t="n">
        <v>21</v>
      </c>
      <c r="AJ1722" s="7" t="n">
        <v>2</v>
      </c>
      <c r="AK1722" s="7" t="n">
        <v>10</v>
      </c>
      <c r="AL1722" s="7" t="n">
        <v>5</v>
      </c>
      <c r="AM1722" s="7" t="n">
        <v>26</v>
      </c>
      <c r="AN1722" s="7" t="n">
        <v>3</v>
      </c>
      <c r="AO1722" s="7" t="n">
        <v>4</v>
      </c>
      <c r="AP1722" s="7" t="n">
        <v>0</v>
      </c>
      <c r="AQ1722" s="7" t="n">
        <v>0</v>
      </c>
      <c r="AR1722" s="6" t="s">
        <v>63</v>
      </c>
      <c r="AS1722" s="6" t="s">
        <v>63</v>
      </c>
      <c r="AT1722" s="28"/>
      <c r="AU1722" s="9" t="str">
        <f aca="false">HYPERLINK("https://creighton-primo.hosted.exlibrisgroup.com/primo-explore/search?tab=default_tab&amp;search_scope=EVERYTHING&amp;vid=01CRU&amp;lang=en_US&amp;offset=0&amp;query=any,contains,991000102719702656","Catalog Record")</f>
        <v>Catalog Record</v>
      </c>
      <c r="AV1722" s="9" t="str">
        <f aca="false">HYPERLINK("http://www.worldcat.org/oclc/45178","WorldCat Record")</f>
        <v>WorldCat Record</v>
      </c>
      <c r="AW1722" s="6" t="s">
        <v>14880</v>
      </c>
      <c r="AX1722" s="6" t="s">
        <v>14881</v>
      </c>
      <c r="AY1722" s="6" t="s">
        <v>14882</v>
      </c>
      <c r="AZ1722" s="6" t="s">
        <v>14882</v>
      </c>
      <c r="BA1722" s="6" t="s">
        <v>14883</v>
      </c>
      <c r="BB1722" s="28"/>
      <c r="BC1722" s="6" t="s">
        <v>14884</v>
      </c>
      <c r="BE1722" s="15" t="s">
        <v>2145</v>
      </c>
      <c r="BF1722" s="6" t="s">
        <v>14885</v>
      </c>
    </row>
    <row r="1723" customFormat="false" ht="117" hidden="false" customHeight="false" outlineLevel="0" collapsed="false">
      <c r="A1723" s="26" t="s">
        <v>63</v>
      </c>
      <c r="B1723" s="27" t="s">
        <v>2129</v>
      </c>
      <c r="C1723" s="27" t="s">
        <v>2130</v>
      </c>
      <c r="D1723" s="27" t="s">
        <v>14886</v>
      </c>
      <c r="E1723" s="27" t="s">
        <v>14887</v>
      </c>
      <c r="F1723" s="27" t="s">
        <v>14877</v>
      </c>
      <c r="G1723" s="28"/>
      <c r="H1723" s="6" t="s">
        <v>57</v>
      </c>
      <c r="I1723" s="6" t="s">
        <v>62</v>
      </c>
      <c r="J1723" s="6" t="s">
        <v>57</v>
      </c>
      <c r="K1723" s="6" t="s">
        <v>63</v>
      </c>
      <c r="L1723" s="6" t="s">
        <v>64</v>
      </c>
      <c r="M1723" s="27" t="s">
        <v>14878</v>
      </c>
      <c r="N1723" s="27" t="s">
        <v>14879</v>
      </c>
      <c r="O1723" s="6" t="s">
        <v>2975</v>
      </c>
      <c r="P1723" s="28"/>
      <c r="Q1723" s="6" t="s">
        <v>67</v>
      </c>
      <c r="R1723" s="6" t="s">
        <v>68</v>
      </c>
      <c r="S1723" s="28"/>
      <c r="T1723" s="6" t="s">
        <v>6138</v>
      </c>
      <c r="U1723" s="7" t="n">
        <v>2</v>
      </c>
      <c r="V1723" s="7" t="n">
        <v>6</v>
      </c>
      <c r="W1723" s="8" t="s">
        <v>14840</v>
      </c>
      <c r="X1723" s="8" t="s">
        <v>14840</v>
      </c>
      <c r="Y1723" s="8" t="s">
        <v>14867</v>
      </c>
      <c r="Z1723" s="8" t="s">
        <v>14867</v>
      </c>
      <c r="AA1723" s="7" t="n">
        <v>342</v>
      </c>
      <c r="AB1723" s="7" t="n">
        <v>287</v>
      </c>
      <c r="AC1723" s="7" t="n">
        <v>947</v>
      </c>
      <c r="AD1723" s="7" t="n">
        <v>4</v>
      </c>
      <c r="AE1723" s="7" t="n">
        <v>8</v>
      </c>
      <c r="AF1723" s="7" t="n">
        <v>11</v>
      </c>
      <c r="AG1723" s="7" t="n">
        <v>48</v>
      </c>
      <c r="AH1723" s="7" t="n">
        <v>3</v>
      </c>
      <c r="AI1723" s="7" t="n">
        <v>21</v>
      </c>
      <c r="AJ1723" s="7" t="n">
        <v>2</v>
      </c>
      <c r="AK1723" s="7" t="n">
        <v>10</v>
      </c>
      <c r="AL1723" s="7" t="n">
        <v>5</v>
      </c>
      <c r="AM1723" s="7" t="n">
        <v>26</v>
      </c>
      <c r="AN1723" s="7" t="n">
        <v>3</v>
      </c>
      <c r="AO1723" s="7" t="n">
        <v>4</v>
      </c>
      <c r="AP1723" s="7" t="n">
        <v>0</v>
      </c>
      <c r="AQ1723" s="7" t="n">
        <v>0</v>
      </c>
      <c r="AR1723" s="6" t="s">
        <v>63</v>
      </c>
      <c r="AS1723" s="6" t="s">
        <v>63</v>
      </c>
      <c r="AT1723" s="28"/>
      <c r="AU1723" s="9" t="str">
        <f aca="false">HYPERLINK("https://creighton-primo.hosted.exlibrisgroup.com/primo-explore/search?tab=default_tab&amp;search_scope=EVERYTHING&amp;vid=01CRU&amp;lang=en_US&amp;offset=0&amp;query=any,contains,991000102719702656","Catalog Record")</f>
        <v>Catalog Record</v>
      </c>
      <c r="AV1723" s="9" t="str">
        <f aca="false">HYPERLINK("http://www.worldcat.org/oclc/45178","WorldCat Record")</f>
        <v>WorldCat Record</v>
      </c>
      <c r="AW1723" s="6" t="s">
        <v>14880</v>
      </c>
      <c r="AX1723" s="6" t="s">
        <v>14881</v>
      </c>
      <c r="AY1723" s="6" t="s">
        <v>14882</v>
      </c>
      <c r="AZ1723" s="6" t="s">
        <v>14882</v>
      </c>
      <c r="BA1723" s="6" t="s">
        <v>14883</v>
      </c>
      <c r="BB1723" s="28"/>
      <c r="BC1723" s="6" t="s">
        <v>14888</v>
      </c>
      <c r="BE1723" s="15" t="s">
        <v>2145</v>
      </c>
      <c r="BF1723" s="6" t="s">
        <v>14889</v>
      </c>
    </row>
    <row r="1724" customFormat="false" ht="128.5" hidden="false" customHeight="false" outlineLevel="0" collapsed="false">
      <c r="A1724" s="26" t="s">
        <v>63</v>
      </c>
      <c r="B1724" s="27" t="s">
        <v>2129</v>
      </c>
      <c r="C1724" s="27" t="s">
        <v>2130</v>
      </c>
      <c r="D1724" s="27" t="s">
        <v>14890</v>
      </c>
      <c r="E1724" s="27" t="s">
        <v>14891</v>
      </c>
      <c r="F1724" s="27" t="s">
        <v>14892</v>
      </c>
      <c r="G1724" s="28"/>
      <c r="H1724" s="6" t="s">
        <v>57</v>
      </c>
      <c r="I1724" s="6" t="s">
        <v>62</v>
      </c>
      <c r="J1724" s="6" t="s">
        <v>57</v>
      </c>
      <c r="K1724" s="6" t="s">
        <v>63</v>
      </c>
      <c r="L1724" s="6" t="s">
        <v>64</v>
      </c>
      <c r="M1724" s="27" t="s">
        <v>14893</v>
      </c>
      <c r="N1724" s="27" t="s">
        <v>14894</v>
      </c>
      <c r="O1724" s="6" t="s">
        <v>2249</v>
      </c>
      <c r="P1724" s="28"/>
      <c r="Q1724" s="6" t="s">
        <v>67</v>
      </c>
      <c r="R1724" s="6" t="s">
        <v>1108</v>
      </c>
      <c r="S1724" s="28"/>
      <c r="T1724" s="6" t="s">
        <v>6138</v>
      </c>
      <c r="U1724" s="7" t="n">
        <v>2</v>
      </c>
      <c r="V1724" s="7" t="n">
        <v>6</v>
      </c>
      <c r="W1724" s="8" t="s">
        <v>6112</v>
      </c>
      <c r="X1724" s="8" t="s">
        <v>3393</v>
      </c>
      <c r="Y1724" s="8" t="s">
        <v>14895</v>
      </c>
      <c r="Z1724" s="8" t="s">
        <v>14895</v>
      </c>
      <c r="AA1724" s="7" t="n">
        <v>94</v>
      </c>
      <c r="AB1724" s="7" t="n">
        <v>68</v>
      </c>
      <c r="AC1724" s="7" t="n">
        <v>510</v>
      </c>
      <c r="AD1724" s="7" t="n">
        <v>2</v>
      </c>
      <c r="AE1724" s="7" t="n">
        <v>4</v>
      </c>
      <c r="AF1724" s="7" t="n">
        <v>4</v>
      </c>
      <c r="AG1724" s="7" t="n">
        <v>28</v>
      </c>
      <c r="AH1724" s="7" t="n">
        <v>1</v>
      </c>
      <c r="AI1724" s="7" t="n">
        <v>10</v>
      </c>
      <c r="AJ1724" s="7" t="n">
        <v>0</v>
      </c>
      <c r="AK1724" s="7" t="n">
        <v>7</v>
      </c>
      <c r="AL1724" s="7" t="n">
        <v>2</v>
      </c>
      <c r="AM1724" s="7" t="n">
        <v>16</v>
      </c>
      <c r="AN1724" s="7" t="n">
        <v>1</v>
      </c>
      <c r="AO1724" s="7" t="n">
        <v>3</v>
      </c>
      <c r="AP1724" s="7" t="n">
        <v>1</v>
      </c>
      <c r="AQ1724" s="7" t="n">
        <v>1</v>
      </c>
      <c r="AR1724" s="6" t="s">
        <v>63</v>
      </c>
      <c r="AS1724" s="6" t="s">
        <v>63</v>
      </c>
      <c r="AT1724" s="28"/>
      <c r="AU1724" s="9" t="str">
        <f aca="false">HYPERLINK("https://creighton-primo.hosted.exlibrisgroup.com/primo-explore/search?tab=default_tab&amp;search_scope=EVERYTHING&amp;vid=01CRU&amp;lang=en_US&amp;offset=0&amp;query=any,contains,991001931309702656","Catalog Record")</f>
        <v>Catalog Record</v>
      </c>
      <c r="AV1724" s="9" t="str">
        <f aca="false">HYPERLINK("http://www.worldcat.org/oclc/24378397","WorldCat Record")</f>
        <v>WorldCat Record</v>
      </c>
      <c r="AW1724" s="6" t="s">
        <v>14896</v>
      </c>
      <c r="AX1724" s="6" t="s">
        <v>14897</v>
      </c>
      <c r="AY1724" s="6" t="s">
        <v>14898</v>
      </c>
      <c r="AZ1724" s="6" t="s">
        <v>14898</v>
      </c>
      <c r="BA1724" s="6" t="s">
        <v>14899</v>
      </c>
      <c r="BB1724" s="6" t="s">
        <v>14900</v>
      </c>
      <c r="BC1724" s="6" t="s">
        <v>14901</v>
      </c>
      <c r="BE1724" s="15" t="s">
        <v>2145</v>
      </c>
      <c r="BF1724" s="6" t="s">
        <v>14902</v>
      </c>
    </row>
    <row r="1725" customFormat="false" ht="71" hidden="false" customHeight="false" outlineLevel="0" collapsed="false">
      <c r="A1725" s="26" t="s">
        <v>63</v>
      </c>
      <c r="B1725" s="27" t="s">
        <v>2129</v>
      </c>
      <c r="C1725" s="27" t="s">
        <v>2130</v>
      </c>
      <c r="D1725" s="27" t="s">
        <v>14903</v>
      </c>
      <c r="E1725" s="27" t="s">
        <v>14904</v>
      </c>
      <c r="F1725" s="27" t="s">
        <v>14905</v>
      </c>
      <c r="G1725" s="28"/>
      <c r="H1725" s="6" t="s">
        <v>63</v>
      </c>
      <c r="I1725" s="6" t="s">
        <v>62</v>
      </c>
      <c r="J1725" s="6" t="s">
        <v>63</v>
      </c>
      <c r="K1725" s="6" t="s">
        <v>63</v>
      </c>
      <c r="L1725" s="6" t="s">
        <v>64</v>
      </c>
      <c r="M1725" s="27" t="s">
        <v>14906</v>
      </c>
      <c r="N1725" s="27" t="s">
        <v>14907</v>
      </c>
      <c r="O1725" s="6" t="s">
        <v>2369</v>
      </c>
      <c r="P1725" s="28"/>
      <c r="Q1725" s="6" t="s">
        <v>67</v>
      </c>
      <c r="R1725" s="6" t="s">
        <v>123</v>
      </c>
      <c r="S1725" s="28"/>
      <c r="T1725" s="6" t="s">
        <v>6138</v>
      </c>
      <c r="U1725" s="7" t="n">
        <v>2</v>
      </c>
      <c r="V1725" s="7" t="n">
        <v>2</v>
      </c>
      <c r="W1725" s="8" t="s">
        <v>11664</v>
      </c>
      <c r="X1725" s="8" t="s">
        <v>11664</v>
      </c>
      <c r="Y1725" s="8" t="s">
        <v>14867</v>
      </c>
      <c r="Z1725" s="8" t="s">
        <v>14867</v>
      </c>
      <c r="AA1725" s="7" t="n">
        <v>138</v>
      </c>
      <c r="AB1725" s="7" t="n">
        <v>108</v>
      </c>
      <c r="AC1725" s="7" t="n">
        <v>457</v>
      </c>
      <c r="AD1725" s="7" t="n">
        <v>1</v>
      </c>
      <c r="AE1725" s="7" t="n">
        <v>3</v>
      </c>
      <c r="AF1725" s="7" t="n">
        <v>5</v>
      </c>
      <c r="AG1725" s="7" t="n">
        <v>26</v>
      </c>
      <c r="AH1725" s="7" t="n">
        <v>3</v>
      </c>
      <c r="AI1725" s="7" t="n">
        <v>7</v>
      </c>
      <c r="AJ1725" s="7" t="n">
        <v>0</v>
      </c>
      <c r="AK1725" s="7" t="n">
        <v>6</v>
      </c>
      <c r="AL1725" s="7" t="n">
        <v>3</v>
      </c>
      <c r="AM1725" s="7" t="n">
        <v>18</v>
      </c>
      <c r="AN1725" s="7" t="n">
        <v>0</v>
      </c>
      <c r="AO1725" s="7" t="n">
        <v>2</v>
      </c>
      <c r="AP1725" s="7" t="n">
        <v>0</v>
      </c>
      <c r="AQ1725" s="7" t="n">
        <v>0</v>
      </c>
      <c r="AR1725" s="6" t="s">
        <v>63</v>
      </c>
      <c r="AS1725" s="6" t="s">
        <v>63</v>
      </c>
      <c r="AT1725" s="28"/>
      <c r="AU1725" s="9" t="str">
        <f aca="false">HYPERLINK("https://creighton-primo.hosted.exlibrisgroup.com/primo-explore/search?tab=default_tab&amp;search_scope=EVERYTHING&amp;vid=01CRU&amp;lang=en_US&amp;offset=0&amp;query=any,contains,991002569639702656","Catalog Record")</f>
        <v>Catalog Record</v>
      </c>
      <c r="AV1725" s="9" t="str">
        <f aca="false">HYPERLINK("http://www.worldcat.org/oclc/40284861","WorldCat Record")</f>
        <v>WorldCat Record</v>
      </c>
      <c r="AW1725" s="6" t="s">
        <v>14908</v>
      </c>
      <c r="AX1725" s="6" t="s">
        <v>14909</v>
      </c>
      <c r="AY1725" s="6" t="s">
        <v>14910</v>
      </c>
      <c r="AZ1725" s="6" t="s">
        <v>14910</v>
      </c>
      <c r="BA1725" s="6" t="s">
        <v>14911</v>
      </c>
      <c r="BB1725" s="28"/>
      <c r="BC1725" s="6" t="s">
        <v>14912</v>
      </c>
      <c r="BE1725" s="15" t="s">
        <v>2145</v>
      </c>
      <c r="BF1725" s="6" t="s">
        <v>14913</v>
      </c>
    </row>
    <row r="1726" customFormat="false" ht="48" hidden="false" customHeight="false" outlineLevel="0" collapsed="false">
      <c r="A1726" s="26" t="s">
        <v>63</v>
      </c>
      <c r="B1726" s="27" t="s">
        <v>2129</v>
      </c>
      <c r="C1726" s="27" t="s">
        <v>2130</v>
      </c>
      <c r="D1726" s="27" t="s">
        <v>14914</v>
      </c>
      <c r="E1726" s="27" t="s">
        <v>14915</v>
      </c>
      <c r="F1726" s="27" t="s">
        <v>14916</v>
      </c>
      <c r="G1726" s="28"/>
      <c r="H1726" s="6" t="s">
        <v>63</v>
      </c>
      <c r="I1726" s="6" t="s">
        <v>62</v>
      </c>
      <c r="J1726" s="6" t="s">
        <v>63</v>
      </c>
      <c r="K1726" s="6" t="s">
        <v>63</v>
      </c>
      <c r="L1726" s="6" t="s">
        <v>64</v>
      </c>
      <c r="M1726" s="27" t="s">
        <v>14917</v>
      </c>
      <c r="N1726" s="27" t="s">
        <v>11531</v>
      </c>
      <c r="O1726" s="6" t="s">
        <v>2811</v>
      </c>
      <c r="P1726" s="28"/>
      <c r="Q1726" s="6" t="s">
        <v>67</v>
      </c>
      <c r="R1726" s="6" t="s">
        <v>802</v>
      </c>
      <c r="S1726" s="27" t="s">
        <v>14918</v>
      </c>
      <c r="T1726" s="6" t="s">
        <v>6138</v>
      </c>
      <c r="U1726" s="7" t="n">
        <v>1</v>
      </c>
      <c r="V1726" s="7" t="n">
        <v>1</v>
      </c>
      <c r="W1726" s="8" t="s">
        <v>14919</v>
      </c>
      <c r="X1726" s="8" t="s">
        <v>14919</v>
      </c>
      <c r="Y1726" s="8" t="s">
        <v>14867</v>
      </c>
      <c r="Z1726" s="8" t="s">
        <v>14867</v>
      </c>
      <c r="AA1726" s="7" t="n">
        <v>413</v>
      </c>
      <c r="AB1726" s="7" t="n">
        <v>324</v>
      </c>
      <c r="AC1726" s="7" t="n">
        <v>346</v>
      </c>
      <c r="AD1726" s="7" t="n">
        <v>4</v>
      </c>
      <c r="AE1726" s="7" t="n">
        <v>4</v>
      </c>
      <c r="AF1726" s="7" t="n">
        <v>24</v>
      </c>
      <c r="AG1726" s="7" t="n">
        <v>24</v>
      </c>
      <c r="AH1726" s="7" t="n">
        <v>6</v>
      </c>
      <c r="AI1726" s="7" t="n">
        <v>6</v>
      </c>
      <c r="AJ1726" s="7" t="n">
        <v>4</v>
      </c>
      <c r="AK1726" s="7" t="n">
        <v>4</v>
      </c>
      <c r="AL1726" s="7" t="n">
        <v>10</v>
      </c>
      <c r="AM1726" s="7" t="n">
        <v>10</v>
      </c>
      <c r="AN1726" s="7" t="n">
        <v>2</v>
      </c>
      <c r="AO1726" s="7" t="n">
        <v>2</v>
      </c>
      <c r="AP1726" s="7" t="n">
        <v>7</v>
      </c>
      <c r="AQ1726" s="7" t="n">
        <v>7</v>
      </c>
      <c r="AR1726" s="6" t="s">
        <v>63</v>
      </c>
      <c r="AS1726" s="6" t="s">
        <v>57</v>
      </c>
      <c r="AT1726" s="9" t="str">
        <f aca="false">HYPERLINK("http://catalog.hathitrust.org/Record/001386694","HathiTrust Record")</f>
        <v>HathiTrust Record</v>
      </c>
      <c r="AU1726" s="9" t="str">
        <f aca="false">HYPERLINK("https://creighton-primo.hosted.exlibrisgroup.com/primo-explore/search?tab=default_tab&amp;search_scope=EVERYTHING&amp;vid=01CRU&amp;lang=en_US&amp;offset=0&amp;query=any,contains,991002250349702656","Catalog Record")</f>
        <v>Catalog Record</v>
      </c>
      <c r="AV1726" s="9" t="str">
        <f aca="false">HYPERLINK("http://www.worldcat.org/oclc/298673","WorldCat Record")</f>
        <v>WorldCat Record</v>
      </c>
      <c r="AW1726" s="6" t="s">
        <v>14920</v>
      </c>
      <c r="AX1726" s="6" t="s">
        <v>14921</v>
      </c>
      <c r="AY1726" s="6" t="s">
        <v>14922</v>
      </c>
      <c r="AZ1726" s="6" t="s">
        <v>14922</v>
      </c>
      <c r="BA1726" s="6" t="s">
        <v>14923</v>
      </c>
      <c r="BB1726" s="28"/>
      <c r="BC1726" s="6" t="s">
        <v>14924</v>
      </c>
      <c r="BE1726" s="15" t="s">
        <v>2145</v>
      </c>
      <c r="BF1726" s="6" t="s">
        <v>14925</v>
      </c>
    </row>
    <row r="1727" customFormat="false" ht="117" hidden="false" customHeight="false" outlineLevel="0" collapsed="false">
      <c r="A1727" s="26" t="s">
        <v>63</v>
      </c>
      <c r="B1727" s="27" t="s">
        <v>2129</v>
      </c>
      <c r="C1727" s="27" t="s">
        <v>2130</v>
      </c>
      <c r="D1727" s="27" t="s">
        <v>14926</v>
      </c>
      <c r="E1727" s="27" t="s">
        <v>14927</v>
      </c>
      <c r="F1727" s="27" t="s">
        <v>14928</v>
      </c>
      <c r="G1727" s="28"/>
      <c r="H1727" s="6" t="s">
        <v>63</v>
      </c>
      <c r="I1727" s="6" t="s">
        <v>62</v>
      </c>
      <c r="J1727" s="6" t="s">
        <v>63</v>
      </c>
      <c r="K1727" s="6" t="s">
        <v>63</v>
      </c>
      <c r="L1727" s="6" t="s">
        <v>64</v>
      </c>
      <c r="M1727" s="28"/>
      <c r="N1727" s="27" t="s">
        <v>14929</v>
      </c>
      <c r="O1727" s="6" t="s">
        <v>7428</v>
      </c>
      <c r="P1727" s="28"/>
      <c r="Q1727" s="6" t="s">
        <v>67</v>
      </c>
      <c r="R1727" s="6" t="s">
        <v>802</v>
      </c>
      <c r="S1727" s="27" t="s">
        <v>14930</v>
      </c>
      <c r="T1727" s="6" t="s">
        <v>6138</v>
      </c>
      <c r="U1727" s="7" t="n">
        <v>5</v>
      </c>
      <c r="V1727" s="7" t="n">
        <v>5</v>
      </c>
      <c r="W1727" s="8" t="s">
        <v>14931</v>
      </c>
      <c r="X1727" s="8" t="s">
        <v>14931</v>
      </c>
      <c r="Y1727" s="8" t="s">
        <v>14867</v>
      </c>
      <c r="Z1727" s="8" t="s">
        <v>14867</v>
      </c>
      <c r="AA1727" s="7" t="n">
        <v>325</v>
      </c>
      <c r="AB1727" s="7" t="n">
        <v>220</v>
      </c>
      <c r="AC1727" s="7" t="n">
        <v>221</v>
      </c>
      <c r="AD1727" s="7" t="n">
        <v>2</v>
      </c>
      <c r="AE1727" s="7" t="n">
        <v>2</v>
      </c>
      <c r="AF1727" s="7" t="n">
        <v>17</v>
      </c>
      <c r="AG1727" s="7" t="n">
        <v>17</v>
      </c>
      <c r="AH1727" s="7" t="n">
        <v>4</v>
      </c>
      <c r="AI1727" s="7" t="n">
        <v>4</v>
      </c>
      <c r="AJ1727" s="7" t="n">
        <v>6</v>
      </c>
      <c r="AK1727" s="7" t="n">
        <v>6</v>
      </c>
      <c r="AL1727" s="7" t="n">
        <v>13</v>
      </c>
      <c r="AM1727" s="7" t="n">
        <v>13</v>
      </c>
      <c r="AN1727" s="7" t="n">
        <v>1</v>
      </c>
      <c r="AO1727" s="7" t="n">
        <v>1</v>
      </c>
      <c r="AP1727" s="7" t="n">
        <v>0</v>
      </c>
      <c r="AQ1727" s="7" t="n">
        <v>0</v>
      </c>
      <c r="AR1727" s="6" t="s">
        <v>63</v>
      </c>
      <c r="AS1727" s="6" t="s">
        <v>57</v>
      </c>
      <c r="AT1727" s="9" t="str">
        <f aca="false">HYPERLINK("http://catalog.hathitrust.org/Record/000212116","HathiTrust Record")</f>
        <v>HathiTrust Record</v>
      </c>
      <c r="AU1727" s="9" t="str">
        <f aca="false">HYPERLINK("https://creighton-primo.hosted.exlibrisgroup.com/primo-explore/search?tab=default_tab&amp;search_scope=EVERYTHING&amp;vid=01CRU&amp;lang=en_US&amp;offset=0&amp;query=any,contains,991004249989702656","Catalog Record")</f>
        <v>Catalog Record</v>
      </c>
      <c r="AV1727" s="9" t="str">
        <f aca="false">HYPERLINK("http://www.worldcat.org/oclc/2807287","WorldCat Record")</f>
        <v>WorldCat Record</v>
      </c>
      <c r="AW1727" s="6" t="s">
        <v>14932</v>
      </c>
      <c r="AX1727" s="6" t="s">
        <v>14933</v>
      </c>
      <c r="AY1727" s="6" t="s">
        <v>14934</v>
      </c>
      <c r="AZ1727" s="6" t="s">
        <v>14934</v>
      </c>
      <c r="BA1727" s="6" t="s">
        <v>14935</v>
      </c>
      <c r="BB1727" s="6" t="s">
        <v>14936</v>
      </c>
      <c r="BC1727" s="6" t="s">
        <v>14937</v>
      </c>
      <c r="BE1727" s="15" t="s">
        <v>2145</v>
      </c>
      <c r="BF1727" s="6" t="s">
        <v>14938</v>
      </c>
    </row>
    <row r="1728" customFormat="false" ht="71" hidden="false" customHeight="false" outlineLevel="0" collapsed="false">
      <c r="A1728" s="26" t="s">
        <v>63</v>
      </c>
      <c r="B1728" s="27" t="s">
        <v>2129</v>
      </c>
      <c r="C1728" s="27" t="s">
        <v>2130</v>
      </c>
      <c r="D1728" s="27" t="s">
        <v>14939</v>
      </c>
      <c r="E1728" s="27" t="s">
        <v>14940</v>
      </c>
      <c r="F1728" s="27" t="s">
        <v>14941</v>
      </c>
      <c r="G1728" s="28"/>
      <c r="H1728" s="6" t="s">
        <v>63</v>
      </c>
      <c r="I1728" s="6" t="s">
        <v>62</v>
      </c>
      <c r="J1728" s="6" t="s">
        <v>63</v>
      </c>
      <c r="K1728" s="6" t="s">
        <v>63</v>
      </c>
      <c r="L1728" s="6" t="s">
        <v>64</v>
      </c>
      <c r="M1728" s="27" t="s">
        <v>7452</v>
      </c>
      <c r="N1728" s="27" t="s">
        <v>14942</v>
      </c>
      <c r="O1728" s="6" t="s">
        <v>122</v>
      </c>
      <c r="P1728" s="28"/>
      <c r="Q1728" s="6" t="s">
        <v>67</v>
      </c>
      <c r="R1728" s="6" t="s">
        <v>68</v>
      </c>
      <c r="S1728" s="28"/>
      <c r="T1728" s="6" t="s">
        <v>6138</v>
      </c>
      <c r="U1728" s="7" t="n">
        <v>5</v>
      </c>
      <c r="V1728" s="7" t="n">
        <v>5</v>
      </c>
      <c r="W1728" s="8" t="s">
        <v>14943</v>
      </c>
      <c r="X1728" s="8" t="s">
        <v>14943</v>
      </c>
      <c r="Y1728" s="8" t="s">
        <v>2868</v>
      </c>
      <c r="Z1728" s="8" t="s">
        <v>2868</v>
      </c>
      <c r="AA1728" s="7" t="n">
        <v>357</v>
      </c>
      <c r="AB1728" s="7" t="n">
        <v>320</v>
      </c>
      <c r="AC1728" s="7" t="n">
        <v>654</v>
      </c>
      <c r="AD1728" s="7" t="n">
        <v>5</v>
      </c>
      <c r="AE1728" s="7" t="n">
        <v>6</v>
      </c>
      <c r="AF1728" s="7" t="n">
        <v>8</v>
      </c>
      <c r="AG1728" s="7" t="n">
        <v>39</v>
      </c>
      <c r="AH1728" s="7" t="n">
        <v>2</v>
      </c>
      <c r="AI1728" s="7" t="n">
        <v>13</v>
      </c>
      <c r="AJ1728" s="7" t="n">
        <v>0</v>
      </c>
      <c r="AK1728" s="7" t="n">
        <v>9</v>
      </c>
      <c r="AL1728" s="7" t="n">
        <v>4</v>
      </c>
      <c r="AM1728" s="7" t="n">
        <v>22</v>
      </c>
      <c r="AN1728" s="7" t="n">
        <v>4</v>
      </c>
      <c r="AO1728" s="7" t="n">
        <v>5</v>
      </c>
      <c r="AP1728" s="7" t="n">
        <v>0</v>
      </c>
      <c r="AQ1728" s="7" t="n">
        <v>0</v>
      </c>
      <c r="AR1728" s="6" t="s">
        <v>63</v>
      </c>
      <c r="AS1728" s="6" t="s">
        <v>57</v>
      </c>
      <c r="AT1728" s="9" t="str">
        <f aca="false">HYPERLINK("http://catalog.hathitrust.org/Record/001380839","HathiTrust Record")</f>
        <v>HathiTrust Record</v>
      </c>
      <c r="AU1728" s="9" t="str">
        <f aca="false">HYPERLINK("https://creighton-primo.hosted.exlibrisgroup.com/primo-explore/search?tab=default_tab&amp;search_scope=EVERYTHING&amp;vid=01CRU&amp;lang=en_US&amp;offset=0&amp;query=any,contains,991002571149702656","Catalog Record")</f>
        <v>Catalog Record</v>
      </c>
      <c r="AV1728" s="9" t="str">
        <f aca="false">HYPERLINK("http://www.worldcat.org/oclc/373668","WorldCat Record")</f>
        <v>WorldCat Record</v>
      </c>
      <c r="AW1728" s="6" t="s">
        <v>14944</v>
      </c>
      <c r="AX1728" s="6" t="s">
        <v>14945</v>
      </c>
      <c r="AY1728" s="6" t="s">
        <v>14946</v>
      </c>
      <c r="AZ1728" s="6" t="s">
        <v>14946</v>
      </c>
      <c r="BA1728" s="6" t="s">
        <v>14947</v>
      </c>
      <c r="BB1728" s="28"/>
      <c r="BC1728" s="6" t="s">
        <v>14948</v>
      </c>
      <c r="BE1728" s="15" t="s">
        <v>2145</v>
      </c>
      <c r="BF1728" s="6" t="s">
        <v>14949</v>
      </c>
    </row>
    <row r="1729" customFormat="false" ht="117" hidden="false" customHeight="false" outlineLevel="0" collapsed="false">
      <c r="A1729" s="26" t="s">
        <v>63</v>
      </c>
      <c r="B1729" s="27" t="s">
        <v>2129</v>
      </c>
      <c r="C1729" s="27" t="s">
        <v>2130</v>
      </c>
      <c r="D1729" s="27" t="s">
        <v>14950</v>
      </c>
      <c r="E1729" s="27" t="s">
        <v>14951</v>
      </c>
      <c r="F1729" s="27" t="s">
        <v>14952</v>
      </c>
      <c r="G1729" s="28"/>
      <c r="H1729" s="6" t="s">
        <v>63</v>
      </c>
      <c r="I1729" s="6" t="s">
        <v>62</v>
      </c>
      <c r="J1729" s="6" t="s">
        <v>63</v>
      </c>
      <c r="K1729" s="6" t="s">
        <v>63</v>
      </c>
      <c r="L1729" s="6" t="s">
        <v>64</v>
      </c>
      <c r="M1729" s="27" t="s">
        <v>14953</v>
      </c>
      <c r="N1729" s="27" t="s">
        <v>14954</v>
      </c>
      <c r="O1729" s="6" t="s">
        <v>3029</v>
      </c>
      <c r="P1729" s="28"/>
      <c r="Q1729" s="6" t="s">
        <v>67</v>
      </c>
      <c r="R1729" s="6" t="s">
        <v>367</v>
      </c>
      <c r="S1729" s="27" t="s">
        <v>14955</v>
      </c>
      <c r="T1729" s="6" t="s">
        <v>6138</v>
      </c>
      <c r="U1729" s="7" t="n">
        <v>5</v>
      </c>
      <c r="V1729" s="7" t="n">
        <v>5</v>
      </c>
      <c r="W1729" s="8" t="s">
        <v>9067</v>
      </c>
      <c r="X1729" s="8" t="s">
        <v>9067</v>
      </c>
      <c r="Y1729" s="8" t="s">
        <v>12020</v>
      </c>
      <c r="Z1729" s="8" t="s">
        <v>12020</v>
      </c>
      <c r="AA1729" s="7" t="n">
        <v>204</v>
      </c>
      <c r="AB1729" s="7" t="n">
        <v>191</v>
      </c>
      <c r="AC1729" s="7" t="n">
        <v>192</v>
      </c>
      <c r="AD1729" s="7" t="n">
        <v>2</v>
      </c>
      <c r="AE1729" s="7" t="n">
        <v>2</v>
      </c>
      <c r="AF1729" s="7" t="n">
        <v>4</v>
      </c>
      <c r="AG1729" s="7" t="n">
        <v>4</v>
      </c>
      <c r="AH1729" s="7" t="n">
        <v>0</v>
      </c>
      <c r="AI1729" s="7" t="n">
        <v>0</v>
      </c>
      <c r="AJ1729" s="7" t="n">
        <v>1</v>
      </c>
      <c r="AK1729" s="7" t="n">
        <v>1</v>
      </c>
      <c r="AL1729" s="7" t="n">
        <v>2</v>
      </c>
      <c r="AM1729" s="7" t="n">
        <v>2</v>
      </c>
      <c r="AN1729" s="7" t="n">
        <v>1</v>
      </c>
      <c r="AO1729" s="7" t="n">
        <v>1</v>
      </c>
      <c r="AP1729" s="7" t="n">
        <v>0</v>
      </c>
      <c r="AQ1729" s="7" t="n">
        <v>0</v>
      </c>
      <c r="AR1729" s="6" t="s">
        <v>63</v>
      </c>
      <c r="AS1729" s="6" t="s">
        <v>63</v>
      </c>
      <c r="AT1729" s="28"/>
      <c r="AU1729" s="9" t="str">
        <f aca="false">HYPERLINK("https://creighton-primo.hosted.exlibrisgroup.com/primo-explore/search?tab=default_tab&amp;search_scope=EVERYTHING&amp;vid=01CRU&amp;lang=en_US&amp;offset=0&amp;query=any,contains,991002545359702656","Catalog Record")</f>
        <v>Catalog Record</v>
      </c>
      <c r="AV1729" s="9" t="str">
        <f aca="false">HYPERLINK("http://www.worldcat.org/oclc/368665","WorldCat Record")</f>
        <v>WorldCat Record</v>
      </c>
      <c r="AW1729" s="6" t="s">
        <v>14956</v>
      </c>
      <c r="AX1729" s="6" t="s">
        <v>14957</v>
      </c>
      <c r="AY1729" s="6" t="s">
        <v>14958</v>
      </c>
      <c r="AZ1729" s="6" t="s">
        <v>14958</v>
      </c>
      <c r="BA1729" s="6" t="s">
        <v>14959</v>
      </c>
      <c r="BB1729" s="28"/>
      <c r="BC1729" s="6" t="s">
        <v>14960</v>
      </c>
      <c r="BE1729" s="15" t="s">
        <v>2145</v>
      </c>
      <c r="BF1729" s="6" t="s">
        <v>14961</v>
      </c>
    </row>
    <row r="1730" customFormat="false" ht="140" hidden="false" customHeight="false" outlineLevel="0" collapsed="false">
      <c r="A1730" s="26" t="s">
        <v>63</v>
      </c>
      <c r="B1730" s="27" t="s">
        <v>2129</v>
      </c>
      <c r="C1730" s="27" t="s">
        <v>2130</v>
      </c>
      <c r="D1730" s="27" t="s">
        <v>14962</v>
      </c>
      <c r="E1730" s="27" t="s">
        <v>14963</v>
      </c>
      <c r="F1730" s="27" t="s">
        <v>14964</v>
      </c>
      <c r="G1730" s="28"/>
      <c r="H1730" s="6" t="s">
        <v>63</v>
      </c>
      <c r="I1730" s="6" t="s">
        <v>62</v>
      </c>
      <c r="J1730" s="6" t="s">
        <v>63</v>
      </c>
      <c r="K1730" s="6" t="s">
        <v>63</v>
      </c>
      <c r="L1730" s="6" t="s">
        <v>64</v>
      </c>
      <c r="M1730" s="27" t="s">
        <v>14450</v>
      </c>
      <c r="N1730" s="27" t="s">
        <v>14965</v>
      </c>
      <c r="O1730" s="6" t="s">
        <v>3068</v>
      </c>
      <c r="P1730" s="28"/>
      <c r="Q1730" s="6" t="s">
        <v>4945</v>
      </c>
      <c r="R1730" s="6" t="s">
        <v>123</v>
      </c>
      <c r="S1730" s="27" t="s">
        <v>14966</v>
      </c>
      <c r="T1730" s="6" t="s">
        <v>6138</v>
      </c>
      <c r="U1730" s="7" t="n">
        <v>0</v>
      </c>
      <c r="V1730" s="7" t="n">
        <v>0</v>
      </c>
      <c r="W1730" s="8" t="s">
        <v>14967</v>
      </c>
      <c r="X1730" s="8" t="s">
        <v>14967</v>
      </c>
      <c r="Y1730" s="8" t="s">
        <v>2868</v>
      </c>
      <c r="Z1730" s="8" t="s">
        <v>2868</v>
      </c>
      <c r="AA1730" s="7" t="n">
        <v>163</v>
      </c>
      <c r="AB1730" s="7" t="n">
        <v>114</v>
      </c>
      <c r="AC1730" s="7" t="n">
        <v>116</v>
      </c>
      <c r="AD1730" s="7" t="n">
        <v>1</v>
      </c>
      <c r="AE1730" s="7" t="n">
        <v>1</v>
      </c>
      <c r="AF1730" s="7" t="n">
        <v>15</v>
      </c>
      <c r="AG1730" s="7" t="n">
        <v>15</v>
      </c>
      <c r="AH1730" s="7" t="n">
        <v>2</v>
      </c>
      <c r="AI1730" s="7" t="n">
        <v>2</v>
      </c>
      <c r="AJ1730" s="7" t="n">
        <v>5</v>
      </c>
      <c r="AK1730" s="7" t="n">
        <v>5</v>
      </c>
      <c r="AL1730" s="7" t="n">
        <v>12</v>
      </c>
      <c r="AM1730" s="7" t="n">
        <v>12</v>
      </c>
      <c r="AN1730" s="7" t="n">
        <v>0</v>
      </c>
      <c r="AO1730" s="7" t="n">
        <v>0</v>
      </c>
      <c r="AP1730" s="7" t="n">
        <v>0</v>
      </c>
      <c r="AQ1730" s="7" t="n">
        <v>0</v>
      </c>
      <c r="AR1730" s="6" t="s">
        <v>57</v>
      </c>
      <c r="AS1730" s="6" t="s">
        <v>63</v>
      </c>
      <c r="AT1730" s="9" t="str">
        <f aca="false">HYPERLINK("http://catalog.hathitrust.org/Record/011804621","HathiTrust Record")</f>
        <v>HathiTrust Record</v>
      </c>
      <c r="AU1730" s="9" t="str">
        <f aca="false">HYPERLINK("https://creighton-primo.hosted.exlibrisgroup.com/primo-explore/search?tab=default_tab&amp;search_scope=EVERYTHING&amp;vid=01CRU&amp;lang=en_US&amp;offset=0&amp;query=any,contains,991003534159702656","Catalog Record")</f>
        <v>Catalog Record</v>
      </c>
      <c r="AV1730" s="9" t="str">
        <f aca="false">HYPERLINK("http://www.worldcat.org/oclc/24782807","WorldCat Record")</f>
        <v>WorldCat Record</v>
      </c>
      <c r="AW1730" s="6" t="s">
        <v>14968</v>
      </c>
      <c r="AX1730" s="6" t="s">
        <v>14969</v>
      </c>
      <c r="AY1730" s="6" t="s">
        <v>14970</v>
      </c>
      <c r="AZ1730" s="6" t="s">
        <v>14970</v>
      </c>
      <c r="BA1730" s="6" t="s">
        <v>14971</v>
      </c>
      <c r="BB1730" s="28"/>
      <c r="BC1730" s="6" t="s">
        <v>14972</v>
      </c>
      <c r="BE1730" s="15" t="s">
        <v>2145</v>
      </c>
      <c r="BF1730" s="6" t="s">
        <v>14973</v>
      </c>
    </row>
    <row r="1731" customFormat="false" ht="94" hidden="false" customHeight="false" outlineLevel="0" collapsed="false">
      <c r="A1731" s="26" t="s">
        <v>63</v>
      </c>
      <c r="B1731" s="27" t="s">
        <v>2129</v>
      </c>
      <c r="C1731" s="27" t="s">
        <v>2130</v>
      </c>
      <c r="D1731" s="27" t="s">
        <v>14974</v>
      </c>
      <c r="E1731" s="27" t="s">
        <v>14975</v>
      </c>
      <c r="F1731" s="27" t="s">
        <v>14976</v>
      </c>
      <c r="G1731" s="28"/>
      <c r="H1731" s="6" t="s">
        <v>63</v>
      </c>
      <c r="I1731" s="6" t="s">
        <v>62</v>
      </c>
      <c r="J1731" s="6" t="s">
        <v>63</v>
      </c>
      <c r="K1731" s="6" t="s">
        <v>63</v>
      </c>
      <c r="L1731" s="6" t="s">
        <v>64</v>
      </c>
      <c r="M1731" s="27" t="s">
        <v>12440</v>
      </c>
      <c r="N1731" s="27" t="s">
        <v>14977</v>
      </c>
      <c r="O1731" s="6" t="s">
        <v>2975</v>
      </c>
      <c r="P1731" s="28"/>
      <c r="Q1731" s="6" t="s">
        <v>67</v>
      </c>
      <c r="R1731" s="6" t="s">
        <v>802</v>
      </c>
      <c r="S1731" s="28"/>
      <c r="T1731" s="6" t="s">
        <v>6138</v>
      </c>
      <c r="U1731" s="7" t="n">
        <v>1</v>
      </c>
      <c r="V1731" s="7" t="n">
        <v>1</v>
      </c>
      <c r="W1731" s="8" t="s">
        <v>9290</v>
      </c>
      <c r="X1731" s="8" t="s">
        <v>9290</v>
      </c>
      <c r="Y1731" s="8" t="s">
        <v>2868</v>
      </c>
      <c r="Z1731" s="8" t="s">
        <v>2868</v>
      </c>
      <c r="AA1731" s="7" t="n">
        <v>391</v>
      </c>
      <c r="AB1731" s="7" t="n">
        <v>296</v>
      </c>
      <c r="AC1731" s="7" t="n">
        <v>310</v>
      </c>
      <c r="AD1731" s="7" t="n">
        <v>2</v>
      </c>
      <c r="AE1731" s="7" t="n">
        <v>2</v>
      </c>
      <c r="AF1731" s="7" t="n">
        <v>27</v>
      </c>
      <c r="AG1731" s="7" t="n">
        <v>28</v>
      </c>
      <c r="AH1731" s="7" t="n">
        <v>8</v>
      </c>
      <c r="AI1731" s="7" t="n">
        <v>9</v>
      </c>
      <c r="AJ1731" s="7" t="n">
        <v>9</v>
      </c>
      <c r="AK1731" s="7" t="n">
        <v>9</v>
      </c>
      <c r="AL1731" s="7" t="n">
        <v>18</v>
      </c>
      <c r="AM1731" s="7" t="n">
        <v>19</v>
      </c>
      <c r="AN1731" s="7" t="n">
        <v>1</v>
      </c>
      <c r="AO1731" s="7" t="n">
        <v>1</v>
      </c>
      <c r="AP1731" s="7" t="n">
        <v>0</v>
      </c>
      <c r="AQ1731" s="7" t="n">
        <v>0</v>
      </c>
      <c r="AR1731" s="6" t="s">
        <v>63</v>
      </c>
      <c r="AS1731" s="6" t="s">
        <v>63</v>
      </c>
      <c r="AT1731" s="28"/>
      <c r="AU1731" s="9" t="str">
        <f aca="false">HYPERLINK("https://creighton-primo.hosted.exlibrisgroup.com/primo-explore/search?tab=default_tab&amp;search_scope=EVERYTHING&amp;vid=01CRU&amp;lang=en_US&amp;offset=0&amp;query=any,contains,991000176909702656","Catalog Record")</f>
        <v>Catalog Record</v>
      </c>
      <c r="AV1731" s="9" t="str">
        <f aca="false">HYPERLINK("http://www.worldcat.org/oclc/62156","WorldCat Record")</f>
        <v>WorldCat Record</v>
      </c>
      <c r="AW1731" s="6" t="s">
        <v>14978</v>
      </c>
      <c r="AX1731" s="6" t="s">
        <v>14979</v>
      </c>
      <c r="AY1731" s="6" t="s">
        <v>14980</v>
      </c>
      <c r="AZ1731" s="6" t="s">
        <v>14980</v>
      </c>
      <c r="BA1731" s="6" t="s">
        <v>14981</v>
      </c>
      <c r="BB1731" s="28"/>
      <c r="BC1731" s="6" t="s">
        <v>14982</v>
      </c>
      <c r="BE1731" s="15" t="s">
        <v>2145</v>
      </c>
      <c r="BF1731" s="6" t="s">
        <v>14983</v>
      </c>
    </row>
    <row r="1732" customFormat="false" ht="82.5" hidden="false" customHeight="false" outlineLevel="0" collapsed="false">
      <c r="A1732" s="26" t="s">
        <v>63</v>
      </c>
      <c r="B1732" s="27" t="s">
        <v>2129</v>
      </c>
      <c r="C1732" s="27" t="s">
        <v>2130</v>
      </c>
      <c r="D1732" s="27" t="s">
        <v>14984</v>
      </c>
      <c r="E1732" s="27" t="s">
        <v>14985</v>
      </c>
      <c r="F1732" s="27" t="s">
        <v>14986</v>
      </c>
      <c r="G1732" s="28"/>
      <c r="H1732" s="6" t="s">
        <v>63</v>
      </c>
      <c r="I1732" s="6" t="s">
        <v>62</v>
      </c>
      <c r="J1732" s="6" t="s">
        <v>63</v>
      </c>
      <c r="K1732" s="6" t="s">
        <v>63</v>
      </c>
      <c r="L1732" s="6" t="s">
        <v>64</v>
      </c>
      <c r="M1732" s="27" t="s">
        <v>14987</v>
      </c>
      <c r="N1732" s="27" t="s">
        <v>14988</v>
      </c>
      <c r="O1732" s="6" t="s">
        <v>167</v>
      </c>
      <c r="P1732" s="27" t="s">
        <v>4146</v>
      </c>
      <c r="Q1732" s="6" t="s">
        <v>67</v>
      </c>
      <c r="R1732" s="6" t="s">
        <v>802</v>
      </c>
      <c r="S1732" s="28"/>
      <c r="T1732" s="6" t="s">
        <v>6138</v>
      </c>
      <c r="U1732" s="7" t="n">
        <v>7</v>
      </c>
      <c r="V1732" s="7" t="n">
        <v>7</v>
      </c>
      <c r="W1732" s="8" t="s">
        <v>14989</v>
      </c>
      <c r="X1732" s="8" t="s">
        <v>14989</v>
      </c>
      <c r="Y1732" s="8" t="s">
        <v>2868</v>
      </c>
      <c r="Z1732" s="8" t="s">
        <v>2868</v>
      </c>
      <c r="AA1732" s="7" t="n">
        <v>227</v>
      </c>
      <c r="AB1732" s="7" t="n">
        <v>161</v>
      </c>
      <c r="AC1732" s="7" t="n">
        <v>385</v>
      </c>
      <c r="AD1732" s="7" t="n">
        <v>2</v>
      </c>
      <c r="AE1732" s="7" t="n">
        <v>3</v>
      </c>
      <c r="AF1732" s="7" t="n">
        <v>12</v>
      </c>
      <c r="AG1732" s="7" t="n">
        <v>28</v>
      </c>
      <c r="AH1732" s="7" t="n">
        <v>2</v>
      </c>
      <c r="AI1732" s="7" t="n">
        <v>9</v>
      </c>
      <c r="AJ1732" s="7" t="n">
        <v>4</v>
      </c>
      <c r="AK1732" s="7" t="n">
        <v>7</v>
      </c>
      <c r="AL1732" s="7" t="n">
        <v>8</v>
      </c>
      <c r="AM1732" s="7" t="n">
        <v>20</v>
      </c>
      <c r="AN1732" s="7" t="n">
        <v>1</v>
      </c>
      <c r="AO1732" s="7" t="n">
        <v>1</v>
      </c>
      <c r="AP1732" s="7" t="n">
        <v>0</v>
      </c>
      <c r="AQ1732" s="7" t="n">
        <v>0</v>
      </c>
      <c r="AR1732" s="6" t="s">
        <v>63</v>
      </c>
      <c r="AS1732" s="6" t="s">
        <v>57</v>
      </c>
      <c r="AT1732" s="9" t="str">
        <f aca="false">HYPERLINK("http://catalog.hathitrust.org/Record/001913513","HathiTrust Record")</f>
        <v>HathiTrust Record</v>
      </c>
      <c r="AU1732" s="9" t="str">
        <f aca="false">HYPERLINK("https://creighton-primo.hosted.exlibrisgroup.com/primo-explore/search?tab=default_tab&amp;search_scope=EVERYTHING&amp;vid=01CRU&amp;lang=en_US&amp;offset=0&amp;query=any,contains,991005039169702656","Catalog Record")</f>
        <v>Catalog Record</v>
      </c>
      <c r="AV1732" s="9" t="str">
        <f aca="false">HYPERLINK("http://www.worldcat.org/oclc/873312","WorldCat Record")</f>
        <v>WorldCat Record</v>
      </c>
      <c r="AW1732" s="6" t="s">
        <v>14990</v>
      </c>
      <c r="AX1732" s="6" t="s">
        <v>14991</v>
      </c>
      <c r="AY1732" s="6" t="s">
        <v>14992</v>
      </c>
      <c r="AZ1732" s="6" t="s">
        <v>14992</v>
      </c>
      <c r="BA1732" s="6" t="s">
        <v>14993</v>
      </c>
      <c r="BB1732" s="28"/>
      <c r="BC1732" s="6" t="s">
        <v>14994</v>
      </c>
      <c r="BE1732" s="15" t="s">
        <v>2145</v>
      </c>
      <c r="BF1732" s="6" t="s">
        <v>14995</v>
      </c>
    </row>
    <row r="1733" customFormat="false" ht="82.5" hidden="false" customHeight="false" outlineLevel="0" collapsed="false">
      <c r="A1733" s="26" t="s">
        <v>63</v>
      </c>
      <c r="B1733" s="27" t="s">
        <v>2129</v>
      </c>
      <c r="C1733" s="27" t="s">
        <v>2130</v>
      </c>
      <c r="D1733" s="27" t="s">
        <v>14996</v>
      </c>
      <c r="E1733" s="27" t="s">
        <v>14997</v>
      </c>
      <c r="F1733" s="27" t="s">
        <v>14998</v>
      </c>
      <c r="G1733" s="28"/>
      <c r="H1733" s="6" t="s">
        <v>63</v>
      </c>
      <c r="I1733" s="6" t="s">
        <v>62</v>
      </c>
      <c r="J1733" s="6" t="s">
        <v>63</v>
      </c>
      <c r="K1733" s="6" t="s">
        <v>63</v>
      </c>
      <c r="L1733" s="6" t="s">
        <v>64</v>
      </c>
      <c r="M1733" s="27" t="s">
        <v>14999</v>
      </c>
      <c r="N1733" s="27" t="s">
        <v>15000</v>
      </c>
      <c r="O1733" s="6" t="s">
        <v>11452</v>
      </c>
      <c r="P1733" s="27" t="s">
        <v>15001</v>
      </c>
      <c r="Q1733" s="6" t="s">
        <v>4945</v>
      </c>
      <c r="R1733" s="6" t="s">
        <v>1086</v>
      </c>
      <c r="S1733" s="28"/>
      <c r="T1733" s="6" t="s">
        <v>6138</v>
      </c>
      <c r="U1733" s="7" t="n">
        <v>5</v>
      </c>
      <c r="V1733" s="7" t="n">
        <v>5</v>
      </c>
      <c r="W1733" s="8" t="s">
        <v>6038</v>
      </c>
      <c r="X1733" s="8" t="s">
        <v>6038</v>
      </c>
      <c r="Y1733" s="8" t="s">
        <v>14629</v>
      </c>
      <c r="Z1733" s="8" t="s">
        <v>14629</v>
      </c>
      <c r="AA1733" s="7" t="n">
        <v>55</v>
      </c>
      <c r="AB1733" s="7" t="n">
        <v>50</v>
      </c>
      <c r="AC1733" s="7" t="n">
        <v>108</v>
      </c>
      <c r="AD1733" s="7" t="n">
        <v>2</v>
      </c>
      <c r="AE1733" s="7" t="n">
        <v>2</v>
      </c>
      <c r="AF1733" s="7" t="n">
        <v>14</v>
      </c>
      <c r="AG1733" s="7" t="n">
        <v>20</v>
      </c>
      <c r="AH1733" s="7" t="n">
        <v>3</v>
      </c>
      <c r="AI1733" s="7" t="n">
        <v>5</v>
      </c>
      <c r="AJ1733" s="7" t="n">
        <v>5</v>
      </c>
      <c r="AK1733" s="7" t="n">
        <v>7</v>
      </c>
      <c r="AL1733" s="7" t="n">
        <v>11</v>
      </c>
      <c r="AM1733" s="7" t="n">
        <v>16</v>
      </c>
      <c r="AN1733" s="7" t="n">
        <v>0</v>
      </c>
      <c r="AO1733" s="7" t="n">
        <v>0</v>
      </c>
      <c r="AP1733" s="7" t="n">
        <v>0</v>
      </c>
      <c r="AQ1733" s="7" t="n">
        <v>0</v>
      </c>
      <c r="AR1733" s="6" t="s">
        <v>63</v>
      </c>
      <c r="AS1733" s="6" t="s">
        <v>63</v>
      </c>
      <c r="AT1733" s="28"/>
      <c r="AU1733" s="9" t="str">
        <f aca="false">HYPERLINK("https://creighton-primo.hosted.exlibrisgroup.com/primo-explore/search?tab=default_tab&amp;search_scope=EVERYTHING&amp;vid=01CRU&amp;lang=en_US&amp;offset=0&amp;query=any,contains,991005386619702656","Catalog Record")</f>
        <v>Catalog Record</v>
      </c>
      <c r="AV1733" s="9" t="str">
        <f aca="false">HYPERLINK("http://www.worldcat.org/oclc/6957515","WorldCat Record")</f>
        <v>WorldCat Record</v>
      </c>
      <c r="AW1733" s="6" t="s">
        <v>15002</v>
      </c>
      <c r="AX1733" s="6" t="s">
        <v>15003</v>
      </c>
      <c r="AY1733" s="6" t="s">
        <v>15004</v>
      </c>
      <c r="AZ1733" s="6" t="s">
        <v>15004</v>
      </c>
      <c r="BA1733" s="6" t="s">
        <v>15005</v>
      </c>
      <c r="BB1733" s="28"/>
      <c r="BC1733" s="6" t="s">
        <v>15006</v>
      </c>
      <c r="BE1733" s="15" t="s">
        <v>2145</v>
      </c>
      <c r="BF1733" s="6" t="s">
        <v>15007</v>
      </c>
    </row>
    <row r="1734" customFormat="false" ht="163" hidden="false" customHeight="false" outlineLevel="0" collapsed="false">
      <c r="A1734" s="26" t="s">
        <v>63</v>
      </c>
      <c r="B1734" s="27" t="s">
        <v>2129</v>
      </c>
      <c r="C1734" s="27" t="s">
        <v>2130</v>
      </c>
      <c r="D1734" s="27" t="s">
        <v>15008</v>
      </c>
      <c r="E1734" s="27" t="s">
        <v>15009</v>
      </c>
      <c r="F1734" s="27" t="s">
        <v>15010</v>
      </c>
      <c r="G1734" s="28"/>
      <c r="H1734" s="6" t="s">
        <v>57</v>
      </c>
      <c r="I1734" s="6" t="s">
        <v>62</v>
      </c>
      <c r="J1734" s="6" t="s">
        <v>57</v>
      </c>
      <c r="K1734" s="6" t="s">
        <v>63</v>
      </c>
      <c r="L1734" s="6" t="s">
        <v>64</v>
      </c>
      <c r="M1734" s="27" t="s">
        <v>15011</v>
      </c>
      <c r="N1734" s="27" t="s">
        <v>15012</v>
      </c>
      <c r="O1734" s="6" t="s">
        <v>3068</v>
      </c>
      <c r="P1734" s="28"/>
      <c r="Q1734" s="6" t="s">
        <v>67</v>
      </c>
      <c r="R1734" s="6" t="s">
        <v>68</v>
      </c>
      <c r="S1734" s="27" t="s">
        <v>15013</v>
      </c>
      <c r="T1734" s="6" t="s">
        <v>6138</v>
      </c>
      <c r="U1734" s="7" t="n">
        <v>1</v>
      </c>
      <c r="V1734" s="7" t="n">
        <v>1</v>
      </c>
      <c r="W1734" s="8" t="s">
        <v>15014</v>
      </c>
      <c r="X1734" s="8" t="s">
        <v>15014</v>
      </c>
      <c r="Y1734" s="8" t="s">
        <v>14867</v>
      </c>
      <c r="Z1734" s="8" t="s">
        <v>14867</v>
      </c>
      <c r="AA1734" s="7" t="n">
        <v>766</v>
      </c>
      <c r="AB1734" s="7" t="n">
        <v>717</v>
      </c>
      <c r="AC1734" s="7" t="n">
        <v>826</v>
      </c>
      <c r="AD1734" s="7" t="n">
        <v>5</v>
      </c>
      <c r="AE1734" s="7" t="n">
        <v>5</v>
      </c>
      <c r="AF1734" s="7" t="n">
        <v>34</v>
      </c>
      <c r="AG1734" s="7" t="n">
        <v>41</v>
      </c>
      <c r="AH1734" s="7" t="n">
        <v>12</v>
      </c>
      <c r="AI1734" s="7" t="n">
        <v>15</v>
      </c>
      <c r="AJ1734" s="7" t="n">
        <v>9</v>
      </c>
      <c r="AK1734" s="7" t="n">
        <v>10</v>
      </c>
      <c r="AL1734" s="7" t="n">
        <v>18</v>
      </c>
      <c r="AM1734" s="7" t="n">
        <v>22</v>
      </c>
      <c r="AN1734" s="7" t="n">
        <v>4</v>
      </c>
      <c r="AO1734" s="7" t="n">
        <v>4</v>
      </c>
      <c r="AP1734" s="7" t="n">
        <v>0</v>
      </c>
      <c r="AQ1734" s="7" t="n">
        <v>0</v>
      </c>
      <c r="AR1734" s="6" t="s">
        <v>63</v>
      </c>
      <c r="AS1734" s="6" t="s">
        <v>57</v>
      </c>
      <c r="AT1734" s="9" t="str">
        <f aca="false">HYPERLINK("http://catalog.hathitrust.org/Record/001386716","HathiTrust Record")</f>
        <v>HathiTrust Record</v>
      </c>
      <c r="AU1734" s="9" t="str">
        <f aca="false">HYPERLINK("https://creighton-primo.hosted.exlibrisgroup.com/primo-explore/search?tab=default_tab&amp;search_scope=EVERYTHING&amp;vid=01CRU&amp;lang=en_US&amp;offset=0&amp;query=any,contains,991002569709702656","Catalog Record")</f>
        <v>Catalog Record</v>
      </c>
      <c r="AV1734" s="9" t="str">
        <f aca="false">HYPERLINK("http://www.worldcat.org/oclc/373371","WorldCat Record")</f>
        <v>WorldCat Record</v>
      </c>
      <c r="AW1734" s="6" t="s">
        <v>15015</v>
      </c>
      <c r="AX1734" s="6" t="s">
        <v>15016</v>
      </c>
      <c r="AY1734" s="6" t="s">
        <v>15017</v>
      </c>
      <c r="AZ1734" s="6" t="s">
        <v>15017</v>
      </c>
      <c r="BA1734" s="6" t="s">
        <v>15018</v>
      </c>
      <c r="BB1734" s="28"/>
      <c r="BC1734" s="6" t="s">
        <v>15019</v>
      </c>
      <c r="BE1734" s="15" t="s">
        <v>2145</v>
      </c>
      <c r="BF1734" s="6" t="s">
        <v>15020</v>
      </c>
    </row>
    <row r="1735" customFormat="false" ht="163" hidden="false" customHeight="false" outlineLevel="0" collapsed="false">
      <c r="A1735" s="26" t="s">
        <v>63</v>
      </c>
      <c r="B1735" s="27" t="s">
        <v>2129</v>
      </c>
      <c r="C1735" s="27" t="s">
        <v>2130</v>
      </c>
      <c r="D1735" s="27" t="s">
        <v>15021</v>
      </c>
      <c r="E1735" s="27" t="s">
        <v>15022</v>
      </c>
      <c r="F1735" s="27" t="s">
        <v>15010</v>
      </c>
      <c r="G1735" s="28"/>
      <c r="H1735" s="6" t="s">
        <v>57</v>
      </c>
      <c r="I1735" s="6" t="s">
        <v>62</v>
      </c>
      <c r="J1735" s="6" t="s">
        <v>57</v>
      </c>
      <c r="K1735" s="6" t="s">
        <v>63</v>
      </c>
      <c r="L1735" s="6" t="s">
        <v>64</v>
      </c>
      <c r="M1735" s="27" t="s">
        <v>15011</v>
      </c>
      <c r="N1735" s="27" t="s">
        <v>15012</v>
      </c>
      <c r="O1735" s="6" t="s">
        <v>3068</v>
      </c>
      <c r="P1735" s="28"/>
      <c r="Q1735" s="6" t="s">
        <v>67</v>
      </c>
      <c r="R1735" s="6" t="s">
        <v>68</v>
      </c>
      <c r="S1735" s="27" t="s">
        <v>15013</v>
      </c>
      <c r="T1735" s="6" t="s">
        <v>6138</v>
      </c>
      <c r="U1735" s="7" t="n">
        <v>0</v>
      </c>
      <c r="V1735" s="7" t="n">
        <v>1</v>
      </c>
      <c r="W1735" s="28"/>
      <c r="X1735" s="8" t="s">
        <v>15014</v>
      </c>
      <c r="Y1735" s="8" t="s">
        <v>14867</v>
      </c>
      <c r="Z1735" s="8" t="s">
        <v>14867</v>
      </c>
      <c r="AA1735" s="7" t="n">
        <v>766</v>
      </c>
      <c r="AB1735" s="7" t="n">
        <v>717</v>
      </c>
      <c r="AC1735" s="7" t="n">
        <v>826</v>
      </c>
      <c r="AD1735" s="7" t="n">
        <v>5</v>
      </c>
      <c r="AE1735" s="7" t="n">
        <v>5</v>
      </c>
      <c r="AF1735" s="7" t="n">
        <v>34</v>
      </c>
      <c r="AG1735" s="7" t="n">
        <v>41</v>
      </c>
      <c r="AH1735" s="7" t="n">
        <v>12</v>
      </c>
      <c r="AI1735" s="7" t="n">
        <v>15</v>
      </c>
      <c r="AJ1735" s="7" t="n">
        <v>9</v>
      </c>
      <c r="AK1735" s="7" t="n">
        <v>10</v>
      </c>
      <c r="AL1735" s="7" t="n">
        <v>18</v>
      </c>
      <c r="AM1735" s="7" t="n">
        <v>22</v>
      </c>
      <c r="AN1735" s="7" t="n">
        <v>4</v>
      </c>
      <c r="AO1735" s="7" t="n">
        <v>4</v>
      </c>
      <c r="AP1735" s="7" t="n">
        <v>0</v>
      </c>
      <c r="AQ1735" s="7" t="n">
        <v>0</v>
      </c>
      <c r="AR1735" s="6" t="s">
        <v>63</v>
      </c>
      <c r="AS1735" s="6" t="s">
        <v>57</v>
      </c>
      <c r="AT1735" s="9" t="str">
        <f aca="false">HYPERLINK("http://catalog.hathitrust.org/Record/001386716","HathiTrust Record")</f>
        <v>HathiTrust Record</v>
      </c>
      <c r="AU1735" s="9" t="str">
        <f aca="false">HYPERLINK("https://creighton-primo.hosted.exlibrisgroup.com/primo-explore/search?tab=default_tab&amp;search_scope=EVERYTHING&amp;vid=01CRU&amp;lang=en_US&amp;offset=0&amp;query=any,contains,991002569709702656","Catalog Record")</f>
        <v>Catalog Record</v>
      </c>
      <c r="AV1735" s="9" t="str">
        <f aca="false">HYPERLINK("http://www.worldcat.org/oclc/373371","WorldCat Record")</f>
        <v>WorldCat Record</v>
      </c>
      <c r="AW1735" s="6" t="s">
        <v>15015</v>
      </c>
      <c r="AX1735" s="6" t="s">
        <v>15016</v>
      </c>
      <c r="AY1735" s="6" t="s">
        <v>15017</v>
      </c>
      <c r="AZ1735" s="6" t="s">
        <v>15017</v>
      </c>
      <c r="BA1735" s="6" t="s">
        <v>15018</v>
      </c>
      <c r="BB1735" s="28"/>
      <c r="BC1735" s="6" t="s">
        <v>15023</v>
      </c>
      <c r="BE1735" s="15" t="s">
        <v>2145</v>
      </c>
      <c r="BF1735" s="6" t="s">
        <v>15024</v>
      </c>
    </row>
    <row r="1736" customFormat="false" ht="105.5" hidden="false" customHeight="false" outlineLevel="0" collapsed="false">
      <c r="A1736" s="26" t="s">
        <v>63</v>
      </c>
      <c r="B1736" s="27" t="s">
        <v>2129</v>
      </c>
      <c r="C1736" s="27" t="s">
        <v>2130</v>
      </c>
      <c r="D1736" s="27" t="s">
        <v>15025</v>
      </c>
      <c r="E1736" s="27" t="s">
        <v>15026</v>
      </c>
      <c r="F1736" s="27" t="s">
        <v>15027</v>
      </c>
      <c r="G1736" s="28"/>
      <c r="H1736" s="6" t="s">
        <v>63</v>
      </c>
      <c r="I1736" s="6" t="s">
        <v>62</v>
      </c>
      <c r="J1736" s="6" t="s">
        <v>63</v>
      </c>
      <c r="K1736" s="6" t="s">
        <v>63</v>
      </c>
      <c r="L1736" s="6" t="s">
        <v>64</v>
      </c>
      <c r="M1736" s="27" t="s">
        <v>15028</v>
      </c>
      <c r="N1736" s="27" t="s">
        <v>12117</v>
      </c>
      <c r="O1736" s="6" t="s">
        <v>233</v>
      </c>
      <c r="P1736" s="28"/>
      <c r="Q1736" s="6" t="s">
        <v>67</v>
      </c>
      <c r="R1736" s="6" t="s">
        <v>123</v>
      </c>
      <c r="S1736" s="28"/>
      <c r="T1736" s="6" t="s">
        <v>6138</v>
      </c>
      <c r="U1736" s="7" t="n">
        <v>1</v>
      </c>
      <c r="V1736" s="7" t="n">
        <v>1</v>
      </c>
      <c r="W1736" s="8" t="s">
        <v>15029</v>
      </c>
      <c r="X1736" s="8" t="s">
        <v>15029</v>
      </c>
      <c r="Y1736" s="8" t="s">
        <v>14867</v>
      </c>
      <c r="Z1736" s="8" t="s">
        <v>14867</v>
      </c>
      <c r="AA1736" s="7" t="n">
        <v>329</v>
      </c>
      <c r="AB1736" s="7" t="n">
        <v>291</v>
      </c>
      <c r="AC1736" s="7" t="n">
        <v>323</v>
      </c>
      <c r="AD1736" s="7" t="n">
        <v>4</v>
      </c>
      <c r="AE1736" s="7" t="n">
        <v>4</v>
      </c>
      <c r="AF1736" s="7" t="n">
        <v>18</v>
      </c>
      <c r="AG1736" s="7" t="n">
        <v>18</v>
      </c>
      <c r="AH1736" s="7" t="n">
        <v>4</v>
      </c>
      <c r="AI1736" s="7" t="n">
        <v>4</v>
      </c>
      <c r="AJ1736" s="7" t="n">
        <v>5</v>
      </c>
      <c r="AK1736" s="7" t="n">
        <v>5</v>
      </c>
      <c r="AL1736" s="7" t="n">
        <v>12</v>
      </c>
      <c r="AM1736" s="7" t="n">
        <v>12</v>
      </c>
      <c r="AN1736" s="7" t="n">
        <v>2</v>
      </c>
      <c r="AO1736" s="7" t="n">
        <v>2</v>
      </c>
      <c r="AP1736" s="7" t="n">
        <v>0</v>
      </c>
      <c r="AQ1736" s="7" t="n">
        <v>0</v>
      </c>
      <c r="AR1736" s="6" t="s">
        <v>63</v>
      </c>
      <c r="AS1736" s="6" t="s">
        <v>57</v>
      </c>
      <c r="AT1736" s="9" t="str">
        <f aca="false">HYPERLINK("http://catalog.hathitrust.org/Record/001386767","HathiTrust Record")</f>
        <v>HathiTrust Record</v>
      </c>
      <c r="AU1736" s="9" t="str">
        <f aca="false">HYPERLINK("https://creighton-primo.hosted.exlibrisgroup.com/primo-explore/search?tab=default_tab&amp;search_scope=EVERYTHING&amp;vid=01CRU&amp;lang=en_US&amp;offset=0&amp;query=any,contains,991003702049702656","Catalog Record")</f>
        <v>Catalog Record</v>
      </c>
      <c r="AV1736" s="9" t="str">
        <f aca="false">HYPERLINK("http://www.worldcat.org/oclc/1338524","WorldCat Record")</f>
        <v>WorldCat Record</v>
      </c>
      <c r="AW1736" s="6" t="s">
        <v>15030</v>
      </c>
      <c r="AX1736" s="6" t="s">
        <v>15031</v>
      </c>
      <c r="AY1736" s="6" t="s">
        <v>15032</v>
      </c>
      <c r="AZ1736" s="6" t="s">
        <v>15032</v>
      </c>
      <c r="BA1736" s="6" t="s">
        <v>15033</v>
      </c>
      <c r="BB1736" s="28"/>
      <c r="BC1736" s="6" t="s">
        <v>15034</v>
      </c>
      <c r="BE1736" s="15" t="s">
        <v>2145</v>
      </c>
      <c r="BF1736" s="6" t="s">
        <v>15035</v>
      </c>
    </row>
    <row r="1737" customFormat="false" ht="220.5" hidden="false" customHeight="false" outlineLevel="0" collapsed="false">
      <c r="A1737" s="26" t="s">
        <v>63</v>
      </c>
      <c r="B1737" s="27" t="s">
        <v>2129</v>
      </c>
      <c r="C1737" s="27" t="s">
        <v>2130</v>
      </c>
      <c r="D1737" s="27" t="s">
        <v>15036</v>
      </c>
      <c r="E1737" s="27" t="s">
        <v>15037</v>
      </c>
      <c r="F1737" s="27" t="s">
        <v>15038</v>
      </c>
      <c r="G1737" s="6" t="s">
        <v>13314</v>
      </c>
      <c r="H1737" s="6" t="s">
        <v>57</v>
      </c>
      <c r="I1737" s="6" t="s">
        <v>62</v>
      </c>
      <c r="J1737" s="6" t="s">
        <v>63</v>
      </c>
      <c r="K1737" s="6" t="s">
        <v>63</v>
      </c>
      <c r="L1737" s="6" t="s">
        <v>64</v>
      </c>
      <c r="M1737" s="27" t="s">
        <v>12377</v>
      </c>
      <c r="N1737" s="27" t="s">
        <v>15039</v>
      </c>
      <c r="O1737" s="6" t="s">
        <v>2811</v>
      </c>
      <c r="P1737" s="27" t="s">
        <v>15040</v>
      </c>
      <c r="Q1737" s="6" t="s">
        <v>9090</v>
      </c>
      <c r="R1737" s="6" t="s">
        <v>9632</v>
      </c>
      <c r="S1737" s="28"/>
      <c r="T1737" s="6" t="s">
        <v>6138</v>
      </c>
      <c r="U1737" s="7" t="n">
        <v>1</v>
      </c>
      <c r="V1737" s="7" t="n">
        <v>5</v>
      </c>
      <c r="W1737" s="8" t="s">
        <v>15041</v>
      </c>
      <c r="X1737" s="8" t="s">
        <v>15042</v>
      </c>
      <c r="Y1737" s="8" t="s">
        <v>15041</v>
      </c>
      <c r="Z1737" s="8" t="s">
        <v>15043</v>
      </c>
      <c r="AA1737" s="7" t="n">
        <v>280</v>
      </c>
      <c r="AB1737" s="7" t="n">
        <v>167</v>
      </c>
      <c r="AC1737" s="7" t="n">
        <v>180</v>
      </c>
      <c r="AD1737" s="7" t="n">
        <v>2</v>
      </c>
      <c r="AE1737" s="7" t="n">
        <v>2</v>
      </c>
      <c r="AF1737" s="7" t="n">
        <v>14</v>
      </c>
      <c r="AG1737" s="7" t="n">
        <v>14</v>
      </c>
      <c r="AH1737" s="7" t="n">
        <v>3</v>
      </c>
      <c r="AI1737" s="7" t="n">
        <v>3</v>
      </c>
      <c r="AJ1737" s="7" t="n">
        <v>5</v>
      </c>
      <c r="AK1737" s="7" t="n">
        <v>5</v>
      </c>
      <c r="AL1737" s="7" t="n">
        <v>9</v>
      </c>
      <c r="AM1737" s="7" t="n">
        <v>9</v>
      </c>
      <c r="AN1737" s="7" t="n">
        <v>1</v>
      </c>
      <c r="AO1737" s="7" t="n">
        <v>1</v>
      </c>
      <c r="AP1737" s="7" t="n">
        <v>0</v>
      </c>
      <c r="AQ1737" s="7" t="n">
        <v>0</v>
      </c>
      <c r="AR1737" s="6" t="s">
        <v>63</v>
      </c>
      <c r="AS1737" s="6" t="s">
        <v>57</v>
      </c>
      <c r="AT1737" s="9" t="str">
        <f aca="false">HYPERLINK("http://catalog.hathitrust.org/Record/000324669","HathiTrust Record")</f>
        <v>HathiTrust Record</v>
      </c>
      <c r="AU1737" s="9" t="str">
        <f aca="false">HYPERLINK("https://creighton-primo.hosted.exlibrisgroup.com/primo-explore/search?tab=default_tab&amp;search_scope=EVERYTHING&amp;vid=01CRU&amp;lang=en_US&amp;offset=0&amp;query=any,contains,991001557629702656","Catalog Record")</f>
        <v>Catalog Record</v>
      </c>
      <c r="AV1737" s="9" t="str">
        <f aca="false">HYPERLINK("http://www.worldcat.org/oclc/7835999","WorldCat Record")</f>
        <v>WorldCat Record</v>
      </c>
      <c r="AW1737" s="6" t="s">
        <v>15044</v>
      </c>
      <c r="AX1737" s="6" t="s">
        <v>15045</v>
      </c>
      <c r="AY1737" s="6" t="s">
        <v>15046</v>
      </c>
      <c r="AZ1737" s="6" t="s">
        <v>15046</v>
      </c>
      <c r="BA1737" s="6" t="s">
        <v>15047</v>
      </c>
      <c r="BB1737" s="6" t="s">
        <v>15048</v>
      </c>
      <c r="BC1737" s="6" t="s">
        <v>15049</v>
      </c>
      <c r="BE1737" s="15" t="s">
        <v>2145</v>
      </c>
      <c r="BF1737" s="6" t="s">
        <v>15050</v>
      </c>
    </row>
    <row r="1738" customFormat="false" ht="220.5" hidden="false" customHeight="false" outlineLevel="0" collapsed="false">
      <c r="A1738" s="26" t="s">
        <v>63</v>
      </c>
      <c r="B1738" s="27" t="s">
        <v>2129</v>
      </c>
      <c r="C1738" s="27" t="s">
        <v>2130</v>
      </c>
      <c r="D1738" s="27" t="s">
        <v>15036</v>
      </c>
      <c r="E1738" s="27" t="s">
        <v>15037</v>
      </c>
      <c r="F1738" s="27" t="s">
        <v>15038</v>
      </c>
      <c r="G1738" s="28"/>
      <c r="H1738" s="6" t="s">
        <v>57</v>
      </c>
      <c r="I1738" s="6" t="s">
        <v>62</v>
      </c>
      <c r="J1738" s="6" t="s">
        <v>57</v>
      </c>
      <c r="K1738" s="6" t="s">
        <v>63</v>
      </c>
      <c r="L1738" s="6" t="s">
        <v>64</v>
      </c>
      <c r="M1738" s="27" t="s">
        <v>12377</v>
      </c>
      <c r="N1738" s="27" t="s">
        <v>15039</v>
      </c>
      <c r="O1738" s="6" t="s">
        <v>2811</v>
      </c>
      <c r="P1738" s="27" t="s">
        <v>15040</v>
      </c>
      <c r="Q1738" s="6" t="s">
        <v>9090</v>
      </c>
      <c r="R1738" s="6" t="s">
        <v>9632</v>
      </c>
      <c r="S1738" s="28"/>
      <c r="T1738" s="6" t="s">
        <v>6138</v>
      </c>
      <c r="U1738" s="7" t="n">
        <v>0</v>
      </c>
      <c r="V1738" s="7" t="n">
        <v>5</v>
      </c>
      <c r="W1738" s="28"/>
      <c r="X1738" s="8" t="s">
        <v>15042</v>
      </c>
      <c r="Y1738" s="8" t="s">
        <v>9980</v>
      </c>
      <c r="Z1738" s="8" t="s">
        <v>15043</v>
      </c>
      <c r="AA1738" s="7" t="n">
        <v>280</v>
      </c>
      <c r="AB1738" s="7" t="n">
        <v>167</v>
      </c>
      <c r="AC1738" s="7" t="n">
        <v>180</v>
      </c>
      <c r="AD1738" s="7" t="n">
        <v>2</v>
      </c>
      <c r="AE1738" s="7" t="n">
        <v>2</v>
      </c>
      <c r="AF1738" s="7" t="n">
        <v>14</v>
      </c>
      <c r="AG1738" s="7" t="n">
        <v>14</v>
      </c>
      <c r="AH1738" s="7" t="n">
        <v>3</v>
      </c>
      <c r="AI1738" s="7" t="n">
        <v>3</v>
      </c>
      <c r="AJ1738" s="7" t="n">
        <v>5</v>
      </c>
      <c r="AK1738" s="7" t="n">
        <v>5</v>
      </c>
      <c r="AL1738" s="7" t="n">
        <v>9</v>
      </c>
      <c r="AM1738" s="7" t="n">
        <v>9</v>
      </c>
      <c r="AN1738" s="7" t="n">
        <v>1</v>
      </c>
      <c r="AO1738" s="7" t="n">
        <v>1</v>
      </c>
      <c r="AP1738" s="7" t="n">
        <v>0</v>
      </c>
      <c r="AQ1738" s="7" t="n">
        <v>0</v>
      </c>
      <c r="AR1738" s="6" t="s">
        <v>63</v>
      </c>
      <c r="AS1738" s="6" t="s">
        <v>57</v>
      </c>
      <c r="AT1738" s="9" t="str">
        <f aca="false">HYPERLINK("http://catalog.hathitrust.org/Record/000324669","HathiTrust Record")</f>
        <v>HathiTrust Record</v>
      </c>
      <c r="AU1738" s="9" t="str">
        <f aca="false">HYPERLINK("https://creighton-primo.hosted.exlibrisgroup.com/primo-explore/search?tab=default_tab&amp;search_scope=EVERYTHING&amp;vid=01CRU&amp;lang=en_US&amp;offset=0&amp;query=any,contains,991001557629702656","Catalog Record")</f>
        <v>Catalog Record</v>
      </c>
      <c r="AV1738" s="9" t="str">
        <f aca="false">HYPERLINK("http://www.worldcat.org/oclc/7835999","WorldCat Record")</f>
        <v>WorldCat Record</v>
      </c>
      <c r="AW1738" s="6" t="s">
        <v>15044</v>
      </c>
      <c r="AX1738" s="6" t="s">
        <v>15045</v>
      </c>
      <c r="AY1738" s="6" t="s">
        <v>15046</v>
      </c>
      <c r="AZ1738" s="6" t="s">
        <v>15046</v>
      </c>
      <c r="BA1738" s="6" t="s">
        <v>15047</v>
      </c>
      <c r="BB1738" s="6" t="s">
        <v>15048</v>
      </c>
      <c r="BC1738" s="6" t="s">
        <v>15051</v>
      </c>
      <c r="BE1738" s="15" t="s">
        <v>2145</v>
      </c>
      <c r="BF1738" s="6" t="s">
        <v>15052</v>
      </c>
    </row>
    <row r="1739" customFormat="false" ht="220.5" hidden="false" customHeight="false" outlineLevel="0" collapsed="false">
      <c r="A1739" s="26" t="s">
        <v>63</v>
      </c>
      <c r="B1739" s="27" t="s">
        <v>2129</v>
      </c>
      <c r="C1739" s="27" t="s">
        <v>2130</v>
      </c>
      <c r="D1739" s="27" t="s">
        <v>15036</v>
      </c>
      <c r="E1739" s="27" t="s">
        <v>15037</v>
      </c>
      <c r="F1739" s="27" t="s">
        <v>15038</v>
      </c>
      <c r="G1739" s="6" t="s">
        <v>13476</v>
      </c>
      <c r="H1739" s="6" t="s">
        <v>57</v>
      </c>
      <c r="I1739" s="6" t="s">
        <v>62</v>
      </c>
      <c r="J1739" s="6" t="s">
        <v>63</v>
      </c>
      <c r="K1739" s="6" t="s">
        <v>63</v>
      </c>
      <c r="L1739" s="6" t="s">
        <v>64</v>
      </c>
      <c r="M1739" s="27" t="s">
        <v>12377</v>
      </c>
      <c r="N1739" s="27" t="s">
        <v>15039</v>
      </c>
      <c r="O1739" s="6" t="s">
        <v>2811</v>
      </c>
      <c r="P1739" s="27" t="s">
        <v>15040</v>
      </c>
      <c r="Q1739" s="6" t="s">
        <v>9090</v>
      </c>
      <c r="R1739" s="6" t="s">
        <v>9632</v>
      </c>
      <c r="S1739" s="28"/>
      <c r="T1739" s="6" t="s">
        <v>6138</v>
      </c>
      <c r="U1739" s="7" t="n">
        <v>0</v>
      </c>
      <c r="V1739" s="7" t="n">
        <v>5</v>
      </c>
      <c r="W1739" s="28"/>
      <c r="X1739" s="8" t="s">
        <v>15042</v>
      </c>
      <c r="Y1739" s="8" t="s">
        <v>15053</v>
      </c>
      <c r="Z1739" s="8" t="s">
        <v>15043</v>
      </c>
      <c r="AA1739" s="7" t="n">
        <v>280</v>
      </c>
      <c r="AB1739" s="7" t="n">
        <v>167</v>
      </c>
      <c r="AC1739" s="7" t="n">
        <v>180</v>
      </c>
      <c r="AD1739" s="7" t="n">
        <v>2</v>
      </c>
      <c r="AE1739" s="7" t="n">
        <v>2</v>
      </c>
      <c r="AF1739" s="7" t="n">
        <v>14</v>
      </c>
      <c r="AG1739" s="7" t="n">
        <v>14</v>
      </c>
      <c r="AH1739" s="7" t="n">
        <v>3</v>
      </c>
      <c r="AI1739" s="7" t="n">
        <v>3</v>
      </c>
      <c r="AJ1739" s="7" t="n">
        <v>5</v>
      </c>
      <c r="AK1739" s="7" t="n">
        <v>5</v>
      </c>
      <c r="AL1739" s="7" t="n">
        <v>9</v>
      </c>
      <c r="AM1739" s="7" t="n">
        <v>9</v>
      </c>
      <c r="AN1739" s="7" t="n">
        <v>1</v>
      </c>
      <c r="AO1739" s="7" t="n">
        <v>1</v>
      </c>
      <c r="AP1739" s="7" t="n">
        <v>0</v>
      </c>
      <c r="AQ1739" s="7" t="n">
        <v>0</v>
      </c>
      <c r="AR1739" s="6" t="s">
        <v>63</v>
      </c>
      <c r="AS1739" s="6" t="s">
        <v>57</v>
      </c>
      <c r="AT1739" s="9" t="str">
        <f aca="false">HYPERLINK("http://catalog.hathitrust.org/Record/000324669","HathiTrust Record")</f>
        <v>HathiTrust Record</v>
      </c>
      <c r="AU1739" s="9" t="str">
        <f aca="false">HYPERLINK("https://creighton-primo.hosted.exlibrisgroup.com/primo-explore/search?tab=default_tab&amp;search_scope=EVERYTHING&amp;vid=01CRU&amp;lang=en_US&amp;offset=0&amp;query=any,contains,991001557629702656","Catalog Record")</f>
        <v>Catalog Record</v>
      </c>
      <c r="AV1739" s="9" t="str">
        <f aca="false">HYPERLINK("http://www.worldcat.org/oclc/7835999","WorldCat Record")</f>
        <v>WorldCat Record</v>
      </c>
      <c r="AW1739" s="6" t="s">
        <v>15044</v>
      </c>
      <c r="AX1739" s="6" t="s">
        <v>15045</v>
      </c>
      <c r="AY1739" s="6" t="s">
        <v>15046</v>
      </c>
      <c r="AZ1739" s="6" t="s">
        <v>15046</v>
      </c>
      <c r="BA1739" s="6" t="s">
        <v>15047</v>
      </c>
      <c r="BB1739" s="6" t="s">
        <v>15048</v>
      </c>
      <c r="BC1739" s="6" t="s">
        <v>15054</v>
      </c>
      <c r="BE1739" s="15" t="s">
        <v>2145</v>
      </c>
      <c r="BF1739" s="6" t="s">
        <v>15055</v>
      </c>
    </row>
    <row r="1740" customFormat="false" ht="220.5" hidden="false" customHeight="false" outlineLevel="0" collapsed="false">
      <c r="A1740" s="26" t="s">
        <v>63</v>
      </c>
      <c r="B1740" s="27" t="s">
        <v>2129</v>
      </c>
      <c r="C1740" s="27" t="s">
        <v>2130</v>
      </c>
      <c r="D1740" s="27" t="s">
        <v>15036</v>
      </c>
      <c r="E1740" s="27" t="s">
        <v>15037</v>
      </c>
      <c r="F1740" s="27" t="s">
        <v>15038</v>
      </c>
      <c r="G1740" s="6" t="s">
        <v>13343</v>
      </c>
      <c r="H1740" s="6" t="s">
        <v>57</v>
      </c>
      <c r="I1740" s="6" t="s">
        <v>62</v>
      </c>
      <c r="J1740" s="6" t="s">
        <v>57</v>
      </c>
      <c r="K1740" s="6" t="s">
        <v>63</v>
      </c>
      <c r="L1740" s="6" t="s">
        <v>64</v>
      </c>
      <c r="M1740" s="27" t="s">
        <v>12377</v>
      </c>
      <c r="N1740" s="27" t="s">
        <v>15039</v>
      </c>
      <c r="O1740" s="6" t="s">
        <v>2811</v>
      </c>
      <c r="P1740" s="27" t="s">
        <v>15040</v>
      </c>
      <c r="Q1740" s="6" t="s">
        <v>9090</v>
      </c>
      <c r="R1740" s="6" t="s">
        <v>9632</v>
      </c>
      <c r="S1740" s="28"/>
      <c r="T1740" s="6" t="s">
        <v>6138</v>
      </c>
      <c r="U1740" s="7" t="n">
        <v>0</v>
      </c>
      <c r="V1740" s="7" t="n">
        <v>5</v>
      </c>
      <c r="W1740" s="28"/>
      <c r="X1740" s="8" t="s">
        <v>15042</v>
      </c>
      <c r="Y1740" s="8" t="s">
        <v>15043</v>
      </c>
      <c r="Z1740" s="8" t="s">
        <v>15043</v>
      </c>
      <c r="AA1740" s="7" t="n">
        <v>280</v>
      </c>
      <c r="AB1740" s="7" t="n">
        <v>167</v>
      </c>
      <c r="AC1740" s="7" t="n">
        <v>180</v>
      </c>
      <c r="AD1740" s="7" t="n">
        <v>2</v>
      </c>
      <c r="AE1740" s="7" t="n">
        <v>2</v>
      </c>
      <c r="AF1740" s="7" t="n">
        <v>14</v>
      </c>
      <c r="AG1740" s="7" t="n">
        <v>14</v>
      </c>
      <c r="AH1740" s="7" t="n">
        <v>3</v>
      </c>
      <c r="AI1740" s="7" t="n">
        <v>3</v>
      </c>
      <c r="AJ1740" s="7" t="n">
        <v>5</v>
      </c>
      <c r="AK1740" s="7" t="n">
        <v>5</v>
      </c>
      <c r="AL1740" s="7" t="n">
        <v>9</v>
      </c>
      <c r="AM1740" s="7" t="n">
        <v>9</v>
      </c>
      <c r="AN1740" s="7" t="n">
        <v>1</v>
      </c>
      <c r="AO1740" s="7" t="n">
        <v>1</v>
      </c>
      <c r="AP1740" s="7" t="n">
        <v>0</v>
      </c>
      <c r="AQ1740" s="7" t="n">
        <v>0</v>
      </c>
      <c r="AR1740" s="6" t="s">
        <v>63</v>
      </c>
      <c r="AS1740" s="6" t="s">
        <v>57</v>
      </c>
      <c r="AT1740" s="9" t="str">
        <f aca="false">HYPERLINK("http://catalog.hathitrust.org/Record/000324669","HathiTrust Record")</f>
        <v>HathiTrust Record</v>
      </c>
      <c r="AU1740" s="9" t="str">
        <f aca="false">HYPERLINK("https://creighton-primo.hosted.exlibrisgroup.com/primo-explore/search?tab=default_tab&amp;search_scope=EVERYTHING&amp;vid=01CRU&amp;lang=en_US&amp;offset=0&amp;query=any,contains,991001557629702656","Catalog Record")</f>
        <v>Catalog Record</v>
      </c>
      <c r="AV1740" s="9" t="str">
        <f aca="false">HYPERLINK("http://www.worldcat.org/oclc/7835999","WorldCat Record")</f>
        <v>WorldCat Record</v>
      </c>
      <c r="AW1740" s="6" t="s">
        <v>15044</v>
      </c>
      <c r="AX1740" s="6" t="s">
        <v>15045</v>
      </c>
      <c r="AY1740" s="6" t="s">
        <v>15046</v>
      </c>
      <c r="AZ1740" s="6" t="s">
        <v>15046</v>
      </c>
      <c r="BA1740" s="6" t="s">
        <v>15047</v>
      </c>
      <c r="BB1740" s="6" t="s">
        <v>15048</v>
      </c>
      <c r="BC1740" s="6" t="s">
        <v>15056</v>
      </c>
      <c r="BE1740" s="15" t="s">
        <v>2145</v>
      </c>
      <c r="BF1740" s="6" t="s">
        <v>15057</v>
      </c>
    </row>
    <row r="1741" customFormat="false" ht="220.5" hidden="false" customHeight="false" outlineLevel="0" collapsed="false">
      <c r="A1741" s="26" t="s">
        <v>63</v>
      </c>
      <c r="B1741" s="27" t="s">
        <v>2129</v>
      </c>
      <c r="C1741" s="27" t="s">
        <v>2130</v>
      </c>
      <c r="D1741" s="27" t="s">
        <v>15036</v>
      </c>
      <c r="E1741" s="27" t="s">
        <v>15037</v>
      </c>
      <c r="F1741" s="27" t="s">
        <v>15038</v>
      </c>
      <c r="G1741" s="6" t="s">
        <v>390</v>
      </c>
      <c r="H1741" s="6" t="s">
        <v>57</v>
      </c>
      <c r="I1741" s="6" t="s">
        <v>62</v>
      </c>
      <c r="J1741" s="6" t="s">
        <v>63</v>
      </c>
      <c r="K1741" s="6" t="s">
        <v>63</v>
      </c>
      <c r="L1741" s="6" t="s">
        <v>64</v>
      </c>
      <c r="M1741" s="27" t="s">
        <v>12377</v>
      </c>
      <c r="N1741" s="27" t="s">
        <v>15039</v>
      </c>
      <c r="O1741" s="6" t="s">
        <v>2811</v>
      </c>
      <c r="P1741" s="27" t="s">
        <v>15040</v>
      </c>
      <c r="Q1741" s="6" t="s">
        <v>9090</v>
      </c>
      <c r="R1741" s="6" t="s">
        <v>9632</v>
      </c>
      <c r="S1741" s="28"/>
      <c r="T1741" s="6" t="s">
        <v>6138</v>
      </c>
      <c r="U1741" s="7" t="n">
        <v>0</v>
      </c>
      <c r="V1741" s="7" t="n">
        <v>5</v>
      </c>
      <c r="W1741" s="28"/>
      <c r="X1741" s="8" t="s">
        <v>15042</v>
      </c>
      <c r="Y1741" s="8" t="s">
        <v>5041</v>
      </c>
      <c r="Z1741" s="8" t="s">
        <v>15043</v>
      </c>
      <c r="AA1741" s="7" t="n">
        <v>280</v>
      </c>
      <c r="AB1741" s="7" t="n">
        <v>167</v>
      </c>
      <c r="AC1741" s="7" t="n">
        <v>180</v>
      </c>
      <c r="AD1741" s="7" t="n">
        <v>2</v>
      </c>
      <c r="AE1741" s="7" t="n">
        <v>2</v>
      </c>
      <c r="AF1741" s="7" t="n">
        <v>14</v>
      </c>
      <c r="AG1741" s="7" t="n">
        <v>14</v>
      </c>
      <c r="AH1741" s="7" t="n">
        <v>3</v>
      </c>
      <c r="AI1741" s="7" t="n">
        <v>3</v>
      </c>
      <c r="AJ1741" s="7" t="n">
        <v>5</v>
      </c>
      <c r="AK1741" s="7" t="n">
        <v>5</v>
      </c>
      <c r="AL1741" s="7" t="n">
        <v>9</v>
      </c>
      <c r="AM1741" s="7" t="n">
        <v>9</v>
      </c>
      <c r="AN1741" s="7" t="n">
        <v>1</v>
      </c>
      <c r="AO1741" s="7" t="n">
        <v>1</v>
      </c>
      <c r="AP1741" s="7" t="n">
        <v>0</v>
      </c>
      <c r="AQ1741" s="7" t="n">
        <v>0</v>
      </c>
      <c r="AR1741" s="6" t="s">
        <v>63</v>
      </c>
      <c r="AS1741" s="6" t="s">
        <v>57</v>
      </c>
      <c r="AT1741" s="9" t="str">
        <f aca="false">HYPERLINK("http://catalog.hathitrust.org/Record/000324669","HathiTrust Record")</f>
        <v>HathiTrust Record</v>
      </c>
      <c r="AU1741" s="9" t="str">
        <f aca="false">HYPERLINK("https://creighton-primo.hosted.exlibrisgroup.com/primo-explore/search?tab=default_tab&amp;search_scope=EVERYTHING&amp;vid=01CRU&amp;lang=en_US&amp;offset=0&amp;query=any,contains,991001557629702656","Catalog Record")</f>
        <v>Catalog Record</v>
      </c>
      <c r="AV1741" s="9" t="str">
        <f aca="false">HYPERLINK("http://www.worldcat.org/oclc/7835999","WorldCat Record")</f>
        <v>WorldCat Record</v>
      </c>
      <c r="AW1741" s="6" t="s">
        <v>15044</v>
      </c>
      <c r="AX1741" s="6" t="s">
        <v>15045</v>
      </c>
      <c r="AY1741" s="6" t="s">
        <v>15046</v>
      </c>
      <c r="AZ1741" s="6" t="s">
        <v>15046</v>
      </c>
      <c r="BA1741" s="6" t="s">
        <v>15047</v>
      </c>
      <c r="BB1741" s="6" t="s">
        <v>15048</v>
      </c>
      <c r="BC1741" s="6" t="s">
        <v>15058</v>
      </c>
      <c r="BE1741" s="15" t="s">
        <v>2145</v>
      </c>
      <c r="BF1741" s="6" t="s">
        <v>15059</v>
      </c>
    </row>
    <row r="1742" customFormat="false" ht="220.5" hidden="false" customHeight="false" outlineLevel="0" collapsed="false">
      <c r="A1742" s="26" t="s">
        <v>63</v>
      </c>
      <c r="B1742" s="27" t="s">
        <v>2129</v>
      </c>
      <c r="C1742" s="27" t="s">
        <v>2130</v>
      </c>
      <c r="D1742" s="27" t="s">
        <v>15036</v>
      </c>
      <c r="E1742" s="27" t="s">
        <v>15037</v>
      </c>
      <c r="F1742" s="27" t="s">
        <v>15038</v>
      </c>
      <c r="G1742" s="6" t="s">
        <v>120</v>
      </c>
      <c r="H1742" s="6" t="s">
        <v>57</v>
      </c>
      <c r="I1742" s="6" t="s">
        <v>62</v>
      </c>
      <c r="J1742" s="6" t="s">
        <v>63</v>
      </c>
      <c r="K1742" s="6" t="s">
        <v>63</v>
      </c>
      <c r="L1742" s="6" t="s">
        <v>64</v>
      </c>
      <c r="M1742" s="27" t="s">
        <v>12377</v>
      </c>
      <c r="N1742" s="27" t="s">
        <v>15039</v>
      </c>
      <c r="O1742" s="6" t="s">
        <v>2811</v>
      </c>
      <c r="P1742" s="27" t="s">
        <v>15040</v>
      </c>
      <c r="Q1742" s="6" t="s">
        <v>9090</v>
      </c>
      <c r="R1742" s="6" t="s">
        <v>9632</v>
      </c>
      <c r="S1742" s="28"/>
      <c r="T1742" s="6" t="s">
        <v>6138</v>
      </c>
      <c r="U1742" s="7" t="n">
        <v>1</v>
      </c>
      <c r="V1742" s="7" t="n">
        <v>5</v>
      </c>
      <c r="W1742" s="8" t="s">
        <v>15060</v>
      </c>
      <c r="X1742" s="8" t="s">
        <v>15042</v>
      </c>
      <c r="Y1742" s="8" t="s">
        <v>8087</v>
      </c>
      <c r="Z1742" s="8" t="s">
        <v>15043</v>
      </c>
      <c r="AA1742" s="7" t="n">
        <v>280</v>
      </c>
      <c r="AB1742" s="7" t="n">
        <v>167</v>
      </c>
      <c r="AC1742" s="7" t="n">
        <v>180</v>
      </c>
      <c r="AD1742" s="7" t="n">
        <v>2</v>
      </c>
      <c r="AE1742" s="7" t="n">
        <v>2</v>
      </c>
      <c r="AF1742" s="7" t="n">
        <v>14</v>
      </c>
      <c r="AG1742" s="7" t="n">
        <v>14</v>
      </c>
      <c r="AH1742" s="7" t="n">
        <v>3</v>
      </c>
      <c r="AI1742" s="7" t="n">
        <v>3</v>
      </c>
      <c r="AJ1742" s="7" t="n">
        <v>5</v>
      </c>
      <c r="AK1742" s="7" t="n">
        <v>5</v>
      </c>
      <c r="AL1742" s="7" t="n">
        <v>9</v>
      </c>
      <c r="AM1742" s="7" t="n">
        <v>9</v>
      </c>
      <c r="AN1742" s="7" t="n">
        <v>1</v>
      </c>
      <c r="AO1742" s="7" t="n">
        <v>1</v>
      </c>
      <c r="AP1742" s="7" t="n">
        <v>0</v>
      </c>
      <c r="AQ1742" s="7" t="n">
        <v>0</v>
      </c>
      <c r="AR1742" s="6" t="s">
        <v>63</v>
      </c>
      <c r="AS1742" s="6" t="s">
        <v>57</v>
      </c>
      <c r="AT1742" s="9" t="str">
        <f aca="false">HYPERLINK("http://catalog.hathitrust.org/Record/000324669","HathiTrust Record")</f>
        <v>HathiTrust Record</v>
      </c>
      <c r="AU1742" s="9" t="str">
        <f aca="false">HYPERLINK("https://creighton-primo.hosted.exlibrisgroup.com/primo-explore/search?tab=default_tab&amp;search_scope=EVERYTHING&amp;vid=01CRU&amp;lang=en_US&amp;offset=0&amp;query=any,contains,991001557629702656","Catalog Record")</f>
        <v>Catalog Record</v>
      </c>
      <c r="AV1742" s="9" t="str">
        <f aca="false">HYPERLINK("http://www.worldcat.org/oclc/7835999","WorldCat Record")</f>
        <v>WorldCat Record</v>
      </c>
      <c r="AW1742" s="6" t="s">
        <v>15044</v>
      </c>
      <c r="AX1742" s="6" t="s">
        <v>15045</v>
      </c>
      <c r="AY1742" s="6" t="s">
        <v>15046</v>
      </c>
      <c r="AZ1742" s="6" t="s">
        <v>15046</v>
      </c>
      <c r="BA1742" s="6" t="s">
        <v>15047</v>
      </c>
      <c r="BB1742" s="6" t="s">
        <v>15048</v>
      </c>
      <c r="BC1742" s="6" t="s">
        <v>15061</v>
      </c>
      <c r="BE1742" s="15" t="s">
        <v>2145</v>
      </c>
      <c r="BF1742" s="6" t="s">
        <v>15062</v>
      </c>
    </row>
    <row r="1743" customFormat="false" ht="220.5" hidden="false" customHeight="false" outlineLevel="0" collapsed="false">
      <c r="A1743" s="26" t="s">
        <v>63</v>
      </c>
      <c r="B1743" s="27" t="s">
        <v>2129</v>
      </c>
      <c r="C1743" s="27" t="s">
        <v>2130</v>
      </c>
      <c r="D1743" s="27" t="s">
        <v>15036</v>
      </c>
      <c r="E1743" s="27" t="s">
        <v>15037</v>
      </c>
      <c r="F1743" s="27" t="s">
        <v>15038</v>
      </c>
      <c r="G1743" s="6" t="s">
        <v>15063</v>
      </c>
      <c r="H1743" s="6" t="s">
        <v>57</v>
      </c>
      <c r="I1743" s="6" t="s">
        <v>62</v>
      </c>
      <c r="J1743" s="6" t="s">
        <v>63</v>
      </c>
      <c r="K1743" s="6" t="s">
        <v>63</v>
      </c>
      <c r="L1743" s="6" t="s">
        <v>64</v>
      </c>
      <c r="M1743" s="27" t="s">
        <v>12377</v>
      </c>
      <c r="N1743" s="27" t="s">
        <v>15039</v>
      </c>
      <c r="O1743" s="6" t="s">
        <v>2811</v>
      </c>
      <c r="P1743" s="27" t="s">
        <v>15040</v>
      </c>
      <c r="Q1743" s="6" t="s">
        <v>9090</v>
      </c>
      <c r="R1743" s="6" t="s">
        <v>9632</v>
      </c>
      <c r="S1743" s="28"/>
      <c r="T1743" s="6" t="s">
        <v>6138</v>
      </c>
      <c r="U1743" s="7" t="n">
        <v>1</v>
      </c>
      <c r="V1743" s="7" t="n">
        <v>5</v>
      </c>
      <c r="W1743" s="28"/>
      <c r="X1743" s="8" t="s">
        <v>15042</v>
      </c>
      <c r="Y1743" s="8" t="s">
        <v>5041</v>
      </c>
      <c r="Z1743" s="8" t="s">
        <v>15043</v>
      </c>
      <c r="AA1743" s="7" t="n">
        <v>280</v>
      </c>
      <c r="AB1743" s="7" t="n">
        <v>167</v>
      </c>
      <c r="AC1743" s="7" t="n">
        <v>180</v>
      </c>
      <c r="AD1743" s="7" t="n">
        <v>2</v>
      </c>
      <c r="AE1743" s="7" t="n">
        <v>2</v>
      </c>
      <c r="AF1743" s="7" t="n">
        <v>14</v>
      </c>
      <c r="AG1743" s="7" t="n">
        <v>14</v>
      </c>
      <c r="AH1743" s="7" t="n">
        <v>3</v>
      </c>
      <c r="AI1743" s="7" t="n">
        <v>3</v>
      </c>
      <c r="AJ1743" s="7" t="n">
        <v>5</v>
      </c>
      <c r="AK1743" s="7" t="n">
        <v>5</v>
      </c>
      <c r="AL1743" s="7" t="n">
        <v>9</v>
      </c>
      <c r="AM1743" s="7" t="n">
        <v>9</v>
      </c>
      <c r="AN1743" s="7" t="n">
        <v>1</v>
      </c>
      <c r="AO1743" s="7" t="n">
        <v>1</v>
      </c>
      <c r="AP1743" s="7" t="n">
        <v>0</v>
      </c>
      <c r="AQ1743" s="7" t="n">
        <v>0</v>
      </c>
      <c r="AR1743" s="6" t="s">
        <v>63</v>
      </c>
      <c r="AS1743" s="6" t="s">
        <v>57</v>
      </c>
      <c r="AT1743" s="9" t="str">
        <f aca="false">HYPERLINK("http://catalog.hathitrust.org/Record/000324669","HathiTrust Record")</f>
        <v>HathiTrust Record</v>
      </c>
      <c r="AU1743" s="9" t="str">
        <f aca="false">HYPERLINK("https://creighton-primo.hosted.exlibrisgroup.com/primo-explore/search?tab=default_tab&amp;search_scope=EVERYTHING&amp;vid=01CRU&amp;lang=en_US&amp;offset=0&amp;query=any,contains,991001557629702656","Catalog Record")</f>
        <v>Catalog Record</v>
      </c>
      <c r="AV1743" s="9" t="str">
        <f aca="false">HYPERLINK("http://www.worldcat.org/oclc/7835999","WorldCat Record")</f>
        <v>WorldCat Record</v>
      </c>
      <c r="AW1743" s="6" t="s">
        <v>15044</v>
      </c>
      <c r="AX1743" s="6" t="s">
        <v>15045</v>
      </c>
      <c r="AY1743" s="6" t="s">
        <v>15046</v>
      </c>
      <c r="AZ1743" s="6" t="s">
        <v>15046</v>
      </c>
      <c r="BA1743" s="6" t="s">
        <v>15047</v>
      </c>
      <c r="BB1743" s="6" t="s">
        <v>15048</v>
      </c>
      <c r="BC1743" s="6" t="s">
        <v>15064</v>
      </c>
      <c r="BE1743" s="15" t="s">
        <v>2145</v>
      </c>
      <c r="BF1743" s="6" t="s">
        <v>15065</v>
      </c>
    </row>
    <row r="1744" customFormat="false" ht="220.5" hidden="false" customHeight="false" outlineLevel="0" collapsed="false">
      <c r="A1744" s="26" t="s">
        <v>63</v>
      </c>
      <c r="B1744" s="27" t="s">
        <v>2129</v>
      </c>
      <c r="C1744" s="27" t="s">
        <v>2130</v>
      </c>
      <c r="D1744" s="27" t="s">
        <v>15036</v>
      </c>
      <c r="E1744" s="27" t="s">
        <v>15037</v>
      </c>
      <c r="F1744" s="27" t="s">
        <v>15038</v>
      </c>
      <c r="G1744" s="6" t="s">
        <v>13343</v>
      </c>
      <c r="H1744" s="6" t="s">
        <v>57</v>
      </c>
      <c r="I1744" s="6" t="s">
        <v>62</v>
      </c>
      <c r="J1744" s="6" t="s">
        <v>57</v>
      </c>
      <c r="K1744" s="6" t="s">
        <v>63</v>
      </c>
      <c r="L1744" s="6" t="s">
        <v>64</v>
      </c>
      <c r="M1744" s="27" t="s">
        <v>12377</v>
      </c>
      <c r="N1744" s="27" t="s">
        <v>15039</v>
      </c>
      <c r="O1744" s="6" t="s">
        <v>2811</v>
      </c>
      <c r="P1744" s="27" t="s">
        <v>15040</v>
      </c>
      <c r="Q1744" s="6" t="s">
        <v>9090</v>
      </c>
      <c r="R1744" s="6" t="s">
        <v>9632</v>
      </c>
      <c r="S1744" s="28"/>
      <c r="T1744" s="6" t="s">
        <v>6138</v>
      </c>
      <c r="U1744" s="7" t="n">
        <v>0</v>
      </c>
      <c r="V1744" s="7" t="n">
        <v>5</v>
      </c>
      <c r="W1744" s="28"/>
      <c r="X1744" s="8" t="s">
        <v>15042</v>
      </c>
      <c r="Y1744" s="8" t="s">
        <v>15066</v>
      </c>
      <c r="Z1744" s="8" t="s">
        <v>15043</v>
      </c>
      <c r="AA1744" s="7" t="n">
        <v>280</v>
      </c>
      <c r="AB1744" s="7" t="n">
        <v>167</v>
      </c>
      <c r="AC1744" s="7" t="n">
        <v>180</v>
      </c>
      <c r="AD1744" s="7" t="n">
        <v>2</v>
      </c>
      <c r="AE1744" s="7" t="n">
        <v>2</v>
      </c>
      <c r="AF1744" s="7" t="n">
        <v>14</v>
      </c>
      <c r="AG1744" s="7" t="n">
        <v>14</v>
      </c>
      <c r="AH1744" s="7" t="n">
        <v>3</v>
      </c>
      <c r="AI1744" s="7" t="n">
        <v>3</v>
      </c>
      <c r="AJ1744" s="7" t="n">
        <v>5</v>
      </c>
      <c r="AK1744" s="7" t="n">
        <v>5</v>
      </c>
      <c r="AL1744" s="7" t="n">
        <v>9</v>
      </c>
      <c r="AM1744" s="7" t="n">
        <v>9</v>
      </c>
      <c r="AN1744" s="7" t="n">
        <v>1</v>
      </c>
      <c r="AO1744" s="7" t="n">
        <v>1</v>
      </c>
      <c r="AP1744" s="7" t="n">
        <v>0</v>
      </c>
      <c r="AQ1744" s="7" t="n">
        <v>0</v>
      </c>
      <c r="AR1744" s="6" t="s">
        <v>63</v>
      </c>
      <c r="AS1744" s="6" t="s">
        <v>57</v>
      </c>
      <c r="AT1744" s="9" t="str">
        <f aca="false">HYPERLINK("http://catalog.hathitrust.org/Record/000324669","HathiTrust Record")</f>
        <v>HathiTrust Record</v>
      </c>
      <c r="AU1744" s="9" t="str">
        <f aca="false">HYPERLINK("https://creighton-primo.hosted.exlibrisgroup.com/primo-explore/search?tab=default_tab&amp;search_scope=EVERYTHING&amp;vid=01CRU&amp;lang=en_US&amp;offset=0&amp;query=any,contains,991001557629702656","Catalog Record")</f>
        <v>Catalog Record</v>
      </c>
      <c r="AV1744" s="9" t="str">
        <f aca="false">HYPERLINK("http://www.worldcat.org/oclc/7835999","WorldCat Record")</f>
        <v>WorldCat Record</v>
      </c>
      <c r="AW1744" s="6" t="s">
        <v>15044</v>
      </c>
      <c r="AX1744" s="6" t="s">
        <v>15045</v>
      </c>
      <c r="AY1744" s="6" t="s">
        <v>15046</v>
      </c>
      <c r="AZ1744" s="6" t="s">
        <v>15046</v>
      </c>
      <c r="BA1744" s="6" t="s">
        <v>15047</v>
      </c>
      <c r="BB1744" s="6" t="s">
        <v>15048</v>
      </c>
      <c r="BC1744" s="6" t="s">
        <v>15067</v>
      </c>
      <c r="BE1744" s="15" t="s">
        <v>2145</v>
      </c>
      <c r="BF1744" s="6" t="s">
        <v>15068</v>
      </c>
    </row>
    <row r="1745" customFormat="false" ht="220.5" hidden="false" customHeight="false" outlineLevel="0" collapsed="false">
      <c r="A1745" s="26" t="s">
        <v>63</v>
      </c>
      <c r="B1745" s="27" t="s">
        <v>2129</v>
      </c>
      <c r="C1745" s="27" t="s">
        <v>2130</v>
      </c>
      <c r="D1745" s="27" t="s">
        <v>15036</v>
      </c>
      <c r="E1745" s="27" t="s">
        <v>15037</v>
      </c>
      <c r="F1745" s="27" t="s">
        <v>15038</v>
      </c>
      <c r="G1745" s="6" t="s">
        <v>517</v>
      </c>
      <c r="H1745" s="6" t="s">
        <v>57</v>
      </c>
      <c r="I1745" s="6" t="s">
        <v>62</v>
      </c>
      <c r="J1745" s="6" t="s">
        <v>63</v>
      </c>
      <c r="K1745" s="6" t="s">
        <v>63</v>
      </c>
      <c r="L1745" s="6" t="s">
        <v>64</v>
      </c>
      <c r="M1745" s="27" t="s">
        <v>12377</v>
      </c>
      <c r="N1745" s="27" t="s">
        <v>15039</v>
      </c>
      <c r="O1745" s="6" t="s">
        <v>2811</v>
      </c>
      <c r="P1745" s="27" t="s">
        <v>15040</v>
      </c>
      <c r="Q1745" s="6" t="s">
        <v>9090</v>
      </c>
      <c r="R1745" s="6" t="s">
        <v>9632</v>
      </c>
      <c r="S1745" s="28"/>
      <c r="T1745" s="6" t="s">
        <v>6138</v>
      </c>
      <c r="U1745" s="7" t="n">
        <v>0</v>
      </c>
      <c r="V1745" s="7" t="n">
        <v>5</v>
      </c>
      <c r="W1745" s="28"/>
      <c r="X1745" s="8" t="s">
        <v>15042</v>
      </c>
      <c r="Y1745" s="8" t="s">
        <v>5041</v>
      </c>
      <c r="Z1745" s="8" t="s">
        <v>15043</v>
      </c>
      <c r="AA1745" s="7" t="n">
        <v>280</v>
      </c>
      <c r="AB1745" s="7" t="n">
        <v>167</v>
      </c>
      <c r="AC1745" s="7" t="n">
        <v>180</v>
      </c>
      <c r="AD1745" s="7" t="n">
        <v>2</v>
      </c>
      <c r="AE1745" s="7" t="n">
        <v>2</v>
      </c>
      <c r="AF1745" s="7" t="n">
        <v>14</v>
      </c>
      <c r="AG1745" s="7" t="n">
        <v>14</v>
      </c>
      <c r="AH1745" s="7" t="n">
        <v>3</v>
      </c>
      <c r="AI1745" s="7" t="n">
        <v>3</v>
      </c>
      <c r="AJ1745" s="7" t="n">
        <v>5</v>
      </c>
      <c r="AK1745" s="7" t="n">
        <v>5</v>
      </c>
      <c r="AL1745" s="7" t="n">
        <v>9</v>
      </c>
      <c r="AM1745" s="7" t="n">
        <v>9</v>
      </c>
      <c r="AN1745" s="7" t="n">
        <v>1</v>
      </c>
      <c r="AO1745" s="7" t="n">
        <v>1</v>
      </c>
      <c r="AP1745" s="7" t="n">
        <v>0</v>
      </c>
      <c r="AQ1745" s="7" t="n">
        <v>0</v>
      </c>
      <c r="AR1745" s="6" t="s">
        <v>63</v>
      </c>
      <c r="AS1745" s="6" t="s">
        <v>57</v>
      </c>
      <c r="AT1745" s="9" t="str">
        <f aca="false">HYPERLINK("http://catalog.hathitrust.org/Record/000324669","HathiTrust Record")</f>
        <v>HathiTrust Record</v>
      </c>
      <c r="AU1745" s="9" t="str">
        <f aca="false">HYPERLINK("https://creighton-primo.hosted.exlibrisgroup.com/primo-explore/search?tab=default_tab&amp;search_scope=EVERYTHING&amp;vid=01CRU&amp;lang=en_US&amp;offset=0&amp;query=any,contains,991001557629702656","Catalog Record")</f>
        <v>Catalog Record</v>
      </c>
      <c r="AV1745" s="9" t="str">
        <f aca="false">HYPERLINK("http://www.worldcat.org/oclc/7835999","WorldCat Record")</f>
        <v>WorldCat Record</v>
      </c>
      <c r="AW1745" s="6" t="s">
        <v>15044</v>
      </c>
      <c r="AX1745" s="6" t="s">
        <v>15045</v>
      </c>
      <c r="AY1745" s="6" t="s">
        <v>15046</v>
      </c>
      <c r="AZ1745" s="6" t="s">
        <v>15046</v>
      </c>
      <c r="BA1745" s="6" t="s">
        <v>15047</v>
      </c>
      <c r="BB1745" s="6" t="s">
        <v>15048</v>
      </c>
      <c r="BC1745" s="6" t="s">
        <v>15069</v>
      </c>
      <c r="BE1745" s="15" t="s">
        <v>2145</v>
      </c>
      <c r="BF1745" s="6" t="s">
        <v>15070</v>
      </c>
    </row>
    <row r="1746" customFormat="false" ht="220.5" hidden="false" customHeight="false" outlineLevel="0" collapsed="false">
      <c r="A1746" s="26" t="s">
        <v>63</v>
      </c>
      <c r="B1746" s="27" t="s">
        <v>2129</v>
      </c>
      <c r="C1746" s="27" t="s">
        <v>2130</v>
      </c>
      <c r="D1746" s="27" t="s">
        <v>15036</v>
      </c>
      <c r="E1746" s="27" t="s">
        <v>15037</v>
      </c>
      <c r="F1746" s="27" t="s">
        <v>15038</v>
      </c>
      <c r="G1746" s="6" t="s">
        <v>13329</v>
      </c>
      <c r="H1746" s="6" t="s">
        <v>57</v>
      </c>
      <c r="I1746" s="6" t="s">
        <v>62</v>
      </c>
      <c r="J1746" s="6" t="s">
        <v>63</v>
      </c>
      <c r="K1746" s="6" t="s">
        <v>63</v>
      </c>
      <c r="L1746" s="6" t="s">
        <v>64</v>
      </c>
      <c r="M1746" s="27" t="s">
        <v>12377</v>
      </c>
      <c r="N1746" s="27" t="s">
        <v>15039</v>
      </c>
      <c r="O1746" s="6" t="s">
        <v>2811</v>
      </c>
      <c r="P1746" s="27" t="s">
        <v>15040</v>
      </c>
      <c r="Q1746" s="6" t="s">
        <v>9090</v>
      </c>
      <c r="R1746" s="6" t="s">
        <v>9632</v>
      </c>
      <c r="S1746" s="28"/>
      <c r="T1746" s="6" t="s">
        <v>6138</v>
      </c>
      <c r="U1746" s="7" t="n">
        <v>1</v>
      </c>
      <c r="V1746" s="7" t="n">
        <v>5</v>
      </c>
      <c r="W1746" s="8" t="s">
        <v>15042</v>
      </c>
      <c r="X1746" s="8" t="s">
        <v>15042</v>
      </c>
      <c r="Y1746" s="8" t="s">
        <v>15042</v>
      </c>
      <c r="Z1746" s="8" t="s">
        <v>15043</v>
      </c>
      <c r="AA1746" s="7" t="n">
        <v>280</v>
      </c>
      <c r="AB1746" s="7" t="n">
        <v>167</v>
      </c>
      <c r="AC1746" s="7" t="n">
        <v>180</v>
      </c>
      <c r="AD1746" s="7" t="n">
        <v>2</v>
      </c>
      <c r="AE1746" s="7" t="n">
        <v>2</v>
      </c>
      <c r="AF1746" s="7" t="n">
        <v>14</v>
      </c>
      <c r="AG1746" s="7" t="n">
        <v>14</v>
      </c>
      <c r="AH1746" s="7" t="n">
        <v>3</v>
      </c>
      <c r="AI1746" s="7" t="n">
        <v>3</v>
      </c>
      <c r="AJ1746" s="7" t="n">
        <v>5</v>
      </c>
      <c r="AK1746" s="7" t="n">
        <v>5</v>
      </c>
      <c r="AL1746" s="7" t="n">
        <v>9</v>
      </c>
      <c r="AM1746" s="7" t="n">
        <v>9</v>
      </c>
      <c r="AN1746" s="7" t="n">
        <v>1</v>
      </c>
      <c r="AO1746" s="7" t="n">
        <v>1</v>
      </c>
      <c r="AP1746" s="7" t="n">
        <v>0</v>
      </c>
      <c r="AQ1746" s="7" t="n">
        <v>0</v>
      </c>
      <c r="AR1746" s="6" t="s">
        <v>63</v>
      </c>
      <c r="AS1746" s="6" t="s">
        <v>57</v>
      </c>
      <c r="AT1746" s="9" t="str">
        <f aca="false">HYPERLINK("http://catalog.hathitrust.org/Record/000324669","HathiTrust Record")</f>
        <v>HathiTrust Record</v>
      </c>
      <c r="AU1746" s="9" t="str">
        <f aca="false">HYPERLINK("https://creighton-primo.hosted.exlibrisgroup.com/primo-explore/search?tab=default_tab&amp;search_scope=EVERYTHING&amp;vid=01CRU&amp;lang=en_US&amp;offset=0&amp;query=any,contains,991001557629702656","Catalog Record")</f>
        <v>Catalog Record</v>
      </c>
      <c r="AV1746" s="9" t="str">
        <f aca="false">HYPERLINK("http://www.worldcat.org/oclc/7835999","WorldCat Record")</f>
        <v>WorldCat Record</v>
      </c>
      <c r="AW1746" s="6" t="s">
        <v>15044</v>
      </c>
      <c r="AX1746" s="6" t="s">
        <v>15045</v>
      </c>
      <c r="AY1746" s="6" t="s">
        <v>15046</v>
      </c>
      <c r="AZ1746" s="6" t="s">
        <v>15046</v>
      </c>
      <c r="BA1746" s="6" t="s">
        <v>15047</v>
      </c>
      <c r="BB1746" s="6" t="s">
        <v>15048</v>
      </c>
      <c r="BC1746" s="6" t="s">
        <v>15071</v>
      </c>
      <c r="BE1746" s="15" t="s">
        <v>2145</v>
      </c>
      <c r="BF1746" s="6" t="s">
        <v>15072</v>
      </c>
    </row>
    <row r="1747" customFormat="false" ht="220.5" hidden="false" customHeight="false" outlineLevel="0" collapsed="false">
      <c r="A1747" s="26" t="s">
        <v>63</v>
      </c>
      <c r="B1747" s="27" t="s">
        <v>2129</v>
      </c>
      <c r="C1747" s="27" t="s">
        <v>2130</v>
      </c>
      <c r="D1747" s="27" t="s">
        <v>15036</v>
      </c>
      <c r="E1747" s="27" t="s">
        <v>15037</v>
      </c>
      <c r="F1747" s="27" t="s">
        <v>15038</v>
      </c>
      <c r="G1747" s="6" t="s">
        <v>395</v>
      </c>
      <c r="H1747" s="6" t="s">
        <v>57</v>
      </c>
      <c r="I1747" s="6" t="s">
        <v>62</v>
      </c>
      <c r="J1747" s="6" t="s">
        <v>63</v>
      </c>
      <c r="K1747" s="6" t="s">
        <v>63</v>
      </c>
      <c r="L1747" s="6" t="s">
        <v>64</v>
      </c>
      <c r="M1747" s="27" t="s">
        <v>12377</v>
      </c>
      <c r="N1747" s="27" t="s">
        <v>15039</v>
      </c>
      <c r="O1747" s="6" t="s">
        <v>2811</v>
      </c>
      <c r="P1747" s="27" t="s">
        <v>15040</v>
      </c>
      <c r="Q1747" s="6" t="s">
        <v>9090</v>
      </c>
      <c r="R1747" s="6" t="s">
        <v>9632</v>
      </c>
      <c r="S1747" s="28"/>
      <c r="T1747" s="6" t="s">
        <v>6138</v>
      </c>
      <c r="U1747" s="7" t="n">
        <v>0</v>
      </c>
      <c r="V1747" s="7" t="n">
        <v>5</v>
      </c>
      <c r="W1747" s="28"/>
      <c r="X1747" s="8" t="s">
        <v>15042</v>
      </c>
      <c r="Y1747" s="8" t="s">
        <v>5041</v>
      </c>
      <c r="Z1747" s="8" t="s">
        <v>15043</v>
      </c>
      <c r="AA1747" s="7" t="n">
        <v>280</v>
      </c>
      <c r="AB1747" s="7" t="n">
        <v>167</v>
      </c>
      <c r="AC1747" s="7" t="n">
        <v>180</v>
      </c>
      <c r="AD1747" s="7" t="n">
        <v>2</v>
      </c>
      <c r="AE1747" s="7" t="n">
        <v>2</v>
      </c>
      <c r="AF1747" s="7" t="n">
        <v>14</v>
      </c>
      <c r="AG1747" s="7" t="n">
        <v>14</v>
      </c>
      <c r="AH1747" s="7" t="n">
        <v>3</v>
      </c>
      <c r="AI1747" s="7" t="n">
        <v>3</v>
      </c>
      <c r="AJ1747" s="7" t="n">
        <v>5</v>
      </c>
      <c r="AK1747" s="7" t="n">
        <v>5</v>
      </c>
      <c r="AL1747" s="7" t="n">
        <v>9</v>
      </c>
      <c r="AM1747" s="7" t="n">
        <v>9</v>
      </c>
      <c r="AN1747" s="7" t="n">
        <v>1</v>
      </c>
      <c r="AO1747" s="7" t="n">
        <v>1</v>
      </c>
      <c r="AP1747" s="7" t="n">
        <v>0</v>
      </c>
      <c r="AQ1747" s="7" t="n">
        <v>0</v>
      </c>
      <c r="AR1747" s="6" t="s">
        <v>63</v>
      </c>
      <c r="AS1747" s="6" t="s">
        <v>57</v>
      </c>
      <c r="AT1747" s="9" t="str">
        <f aca="false">HYPERLINK("http://catalog.hathitrust.org/Record/000324669","HathiTrust Record")</f>
        <v>HathiTrust Record</v>
      </c>
      <c r="AU1747" s="9" t="str">
        <f aca="false">HYPERLINK("https://creighton-primo.hosted.exlibrisgroup.com/primo-explore/search?tab=default_tab&amp;search_scope=EVERYTHING&amp;vid=01CRU&amp;lang=en_US&amp;offset=0&amp;query=any,contains,991001557629702656","Catalog Record")</f>
        <v>Catalog Record</v>
      </c>
      <c r="AV1747" s="9" t="str">
        <f aca="false">HYPERLINK("http://www.worldcat.org/oclc/7835999","WorldCat Record")</f>
        <v>WorldCat Record</v>
      </c>
      <c r="AW1747" s="6" t="s">
        <v>15044</v>
      </c>
      <c r="AX1747" s="6" t="s">
        <v>15045</v>
      </c>
      <c r="AY1747" s="6" t="s">
        <v>15046</v>
      </c>
      <c r="AZ1747" s="6" t="s">
        <v>15046</v>
      </c>
      <c r="BA1747" s="6" t="s">
        <v>15047</v>
      </c>
      <c r="BB1747" s="6" t="s">
        <v>15048</v>
      </c>
      <c r="BC1747" s="6" t="s">
        <v>15073</v>
      </c>
      <c r="BE1747" s="15" t="s">
        <v>2145</v>
      </c>
      <c r="BF1747" s="6" t="s">
        <v>15074</v>
      </c>
    </row>
    <row r="1748" customFormat="false" ht="220.5" hidden="false" customHeight="false" outlineLevel="0" collapsed="false">
      <c r="A1748" s="26" t="s">
        <v>63</v>
      </c>
      <c r="B1748" s="27" t="s">
        <v>2129</v>
      </c>
      <c r="C1748" s="27" t="s">
        <v>2130</v>
      </c>
      <c r="D1748" s="27" t="s">
        <v>15036</v>
      </c>
      <c r="E1748" s="27" t="s">
        <v>15037</v>
      </c>
      <c r="F1748" s="27" t="s">
        <v>15038</v>
      </c>
      <c r="G1748" s="6" t="s">
        <v>381</v>
      </c>
      <c r="H1748" s="6" t="s">
        <v>57</v>
      </c>
      <c r="I1748" s="6" t="s">
        <v>62</v>
      </c>
      <c r="J1748" s="6" t="s">
        <v>63</v>
      </c>
      <c r="K1748" s="6" t="s">
        <v>63</v>
      </c>
      <c r="L1748" s="6" t="s">
        <v>64</v>
      </c>
      <c r="M1748" s="27" t="s">
        <v>12377</v>
      </c>
      <c r="N1748" s="27" t="s">
        <v>15039</v>
      </c>
      <c r="O1748" s="6" t="s">
        <v>2811</v>
      </c>
      <c r="P1748" s="27" t="s">
        <v>15040</v>
      </c>
      <c r="Q1748" s="6" t="s">
        <v>9090</v>
      </c>
      <c r="R1748" s="6" t="s">
        <v>9632</v>
      </c>
      <c r="S1748" s="28"/>
      <c r="T1748" s="6" t="s">
        <v>6138</v>
      </c>
      <c r="U1748" s="7" t="n">
        <v>1</v>
      </c>
      <c r="V1748" s="7" t="n">
        <v>5</v>
      </c>
      <c r="W1748" s="28"/>
      <c r="X1748" s="8" t="s">
        <v>15042</v>
      </c>
      <c r="Y1748" s="8" t="s">
        <v>5041</v>
      </c>
      <c r="Z1748" s="8" t="s">
        <v>15043</v>
      </c>
      <c r="AA1748" s="7" t="n">
        <v>280</v>
      </c>
      <c r="AB1748" s="7" t="n">
        <v>167</v>
      </c>
      <c r="AC1748" s="7" t="n">
        <v>180</v>
      </c>
      <c r="AD1748" s="7" t="n">
        <v>2</v>
      </c>
      <c r="AE1748" s="7" t="n">
        <v>2</v>
      </c>
      <c r="AF1748" s="7" t="n">
        <v>14</v>
      </c>
      <c r="AG1748" s="7" t="n">
        <v>14</v>
      </c>
      <c r="AH1748" s="7" t="n">
        <v>3</v>
      </c>
      <c r="AI1748" s="7" t="n">
        <v>3</v>
      </c>
      <c r="AJ1748" s="7" t="n">
        <v>5</v>
      </c>
      <c r="AK1748" s="7" t="n">
        <v>5</v>
      </c>
      <c r="AL1748" s="7" t="n">
        <v>9</v>
      </c>
      <c r="AM1748" s="7" t="n">
        <v>9</v>
      </c>
      <c r="AN1748" s="7" t="n">
        <v>1</v>
      </c>
      <c r="AO1748" s="7" t="n">
        <v>1</v>
      </c>
      <c r="AP1748" s="7" t="n">
        <v>0</v>
      </c>
      <c r="AQ1748" s="7" t="n">
        <v>0</v>
      </c>
      <c r="AR1748" s="6" t="s">
        <v>63</v>
      </c>
      <c r="AS1748" s="6" t="s">
        <v>57</v>
      </c>
      <c r="AT1748" s="9" t="str">
        <f aca="false">HYPERLINK("http://catalog.hathitrust.org/Record/000324669","HathiTrust Record")</f>
        <v>HathiTrust Record</v>
      </c>
      <c r="AU1748" s="9" t="str">
        <f aca="false">HYPERLINK("https://creighton-primo.hosted.exlibrisgroup.com/primo-explore/search?tab=default_tab&amp;search_scope=EVERYTHING&amp;vid=01CRU&amp;lang=en_US&amp;offset=0&amp;query=any,contains,991001557629702656","Catalog Record")</f>
        <v>Catalog Record</v>
      </c>
      <c r="AV1748" s="9" t="str">
        <f aca="false">HYPERLINK("http://www.worldcat.org/oclc/7835999","WorldCat Record")</f>
        <v>WorldCat Record</v>
      </c>
      <c r="AW1748" s="6" t="s">
        <v>15044</v>
      </c>
      <c r="AX1748" s="6" t="s">
        <v>15045</v>
      </c>
      <c r="AY1748" s="6" t="s">
        <v>15046</v>
      </c>
      <c r="AZ1748" s="6" t="s">
        <v>15046</v>
      </c>
      <c r="BA1748" s="6" t="s">
        <v>15047</v>
      </c>
      <c r="BB1748" s="6" t="s">
        <v>15048</v>
      </c>
      <c r="BC1748" s="6" t="s">
        <v>15075</v>
      </c>
      <c r="BE1748" s="15" t="s">
        <v>2145</v>
      </c>
      <c r="BF1748" s="6" t="s">
        <v>15076</v>
      </c>
    </row>
    <row r="1749" customFormat="false" ht="163" hidden="false" customHeight="false" outlineLevel="0" collapsed="false">
      <c r="A1749" s="26" t="s">
        <v>63</v>
      </c>
      <c r="B1749" s="27" t="s">
        <v>2129</v>
      </c>
      <c r="C1749" s="27" t="s">
        <v>2130</v>
      </c>
      <c r="D1749" s="27" t="s">
        <v>15077</v>
      </c>
      <c r="E1749" s="27" t="s">
        <v>15078</v>
      </c>
      <c r="F1749" s="27" t="s">
        <v>15079</v>
      </c>
      <c r="G1749" s="28"/>
      <c r="H1749" s="6" t="s">
        <v>63</v>
      </c>
      <c r="I1749" s="6" t="s">
        <v>62</v>
      </c>
      <c r="J1749" s="6" t="s">
        <v>63</v>
      </c>
      <c r="K1749" s="6" t="s">
        <v>63</v>
      </c>
      <c r="L1749" s="6" t="s">
        <v>64</v>
      </c>
      <c r="M1749" s="28"/>
      <c r="N1749" s="27" t="s">
        <v>15080</v>
      </c>
      <c r="O1749" s="6" t="s">
        <v>3934</v>
      </c>
      <c r="P1749" s="28"/>
      <c r="Q1749" s="6" t="s">
        <v>67</v>
      </c>
      <c r="R1749" s="6" t="s">
        <v>1224</v>
      </c>
      <c r="S1749" s="28"/>
      <c r="T1749" s="6" t="s">
        <v>6138</v>
      </c>
      <c r="U1749" s="7" t="n">
        <v>2</v>
      </c>
      <c r="V1749" s="7" t="n">
        <v>2</v>
      </c>
      <c r="W1749" s="8" t="s">
        <v>15081</v>
      </c>
      <c r="X1749" s="8" t="s">
        <v>15081</v>
      </c>
      <c r="Y1749" s="8" t="s">
        <v>15082</v>
      </c>
      <c r="Z1749" s="8" t="s">
        <v>15082</v>
      </c>
      <c r="AA1749" s="7" t="n">
        <v>300</v>
      </c>
      <c r="AB1749" s="7" t="n">
        <v>243</v>
      </c>
      <c r="AC1749" s="7" t="n">
        <v>246</v>
      </c>
      <c r="AD1749" s="7" t="n">
        <v>2</v>
      </c>
      <c r="AE1749" s="7" t="n">
        <v>2</v>
      </c>
      <c r="AF1749" s="7" t="n">
        <v>21</v>
      </c>
      <c r="AG1749" s="7" t="n">
        <v>21</v>
      </c>
      <c r="AH1749" s="7" t="n">
        <v>7</v>
      </c>
      <c r="AI1749" s="7" t="n">
        <v>7</v>
      </c>
      <c r="AJ1749" s="7" t="n">
        <v>6</v>
      </c>
      <c r="AK1749" s="7" t="n">
        <v>6</v>
      </c>
      <c r="AL1749" s="7" t="n">
        <v>13</v>
      </c>
      <c r="AM1749" s="7" t="n">
        <v>13</v>
      </c>
      <c r="AN1749" s="7" t="n">
        <v>1</v>
      </c>
      <c r="AO1749" s="7" t="n">
        <v>1</v>
      </c>
      <c r="AP1749" s="7" t="n">
        <v>0</v>
      </c>
      <c r="AQ1749" s="7" t="n">
        <v>0</v>
      </c>
      <c r="AR1749" s="6" t="s">
        <v>63</v>
      </c>
      <c r="AS1749" s="6" t="s">
        <v>63</v>
      </c>
      <c r="AT1749" s="28"/>
      <c r="AU1749" s="9" t="str">
        <f aca="false">HYPERLINK("https://creighton-primo.hosted.exlibrisgroup.com/primo-explore/search?tab=default_tab&amp;search_scope=EVERYTHING&amp;vid=01CRU&amp;lang=en_US&amp;offset=0&amp;query=any,contains,991002407559702656","Catalog Record")</f>
        <v>Catalog Record</v>
      </c>
      <c r="AV1749" s="9" t="str">
        <f aca="false">HYPERLINK("http://www.worldcat.org/oclc/31328463","WorldCat Record")</f>
        <v>WorldCat Record</v>
      </c>
      <c r="AW1749" s="6" t="s">
        <v>15083</v>
      </c>
      <c r="AX1749" s="6" t="s">
        <v>15084</v>
      </c>
      <c r="AY1749" s="6" t="s">
        <v>15085</v>
      </c>
      <c r="AZ1749" s="6" t="s">
        <v>15085</v>
      </c>
      <c r="BA1749" s="6" t="s">
        <v>15086</v>
      </c>
      <c r="BB1749" s="6" t="s">
        <v>15087</v>
      </c>
      <c r="BC1749" s="6" t="s">
        <v>15088</v>
      </c>
      <c r="BE1749" s="15" t="s">
        <v>2145</v>
      </c>
      <c r="BF1749" s="6" t="s">
        <v>15089</v>
      </c>
    </row>
    <row r="1750" customFormat="false" ht="140" hidden="false" customHeight="false" outlineLevel="0" collapsed="false">
      <c r="A1750" s="26" t="s">
        <v>63</v>
      </c>
      <c r="B1750" s="27" t="s">
        <v>2129</v>
      </c>
      <c r="C1750" s="27" t="s">
        <v>2130</v>
      </c>
      <c r="D1750" s="27" t="s">
        <v>15090</v>
      </c>
      <c r="E1750" s="27" t="s">
        <v>15091</v>
      </c>
      <c r="F1750" s="27" t="s">
        <v>15092</v>
      </c>
      <c r="G1750" s="6" t="s">
        <v>395</v>
      </c>
      <c r="H1750" s="6" t="s">
        <v>57</v>
      </c>
      <c r="I1750" s="6" t="s">
        <v>62</v>
      </c>
      <c r="J1750" s="6" t="s">
        <v>63</v>
      </c>
      <c r="K1750" s="6" t="s">
        <v>63</v>
      </c>
      <c r="L1750" s="6" t="s">
        <v>64</v>
      </c>
      <c r="M1750" s="27" t="s">
        <v>15093</v>
      </c>
      <c r="N1750" s="27" t="s">
        <v>15094</v>
      </c>
      <c r="O1750" s="6" t="s">
        <v>2411</v>
      </c>
      <c r="P1750" s="28"/>
      <c r="Q1750" s="6" t="s">
        <v>67</v>
      </c>
      <c r="R1750" s="6" t="s">
        <v>68</v>
      </c>
      <c r="S1750" s="28"/>
      <c r="T1750" s="6" t="s">
        <v>6138</v>
      </c>
      <c r="U1750" s="7" t="n">
        <v>0</v>
      </c>
      <c r="V1750" s="7" t="n">
        <v>2</v>
      </c>
      <c r="W1750" s="28"/>
      <c r="X1750" s="8" t="s">
        <v>15095</v>
      </c>
      <c r="Y1750" s="8" t="s">
        <v>15096</v>
      </c>
      <c r="Z1750" s="8" t="s">
        <v>15096</v>
      </c>
      <c r="AA1750" s="7" t="n">
        <v>319</v>
      </c>
      <c r="AB1750" s="7" t="n">
        <v>278</v>
      </c>
      <c r="AC1750" s="7" t="n">
        <v>293</v>
      </c>
      <c r="AD1750" s="7" t="n">
        <v>4</v>
      </c>
      <c r="AE1750" s="7" t="n">
        <v>4</v>
      </c>
      <c r="AF1750" s="7" t="n">
        <v>27</v>
      </c>
      <c r="AG1750" s="7" t="n">
        <v>27</v>
      </c>
      <c r="AH1750" s="7" t="n">
        <v>9</v>
      </c>
      <c r="AI1750" s="7" t="n">
        <v>9</v>
      </c>
      <c r="AJ1750" s="7" t="n">
        <v>7</v>
      </c>
      <c r="AK1750" s="7" t="n">
        <v>7</v>
      </c>
      <c r="AL1750" s="7" t="n">
        <v>19</v>
      </c>
      <c r="AM1750" s="7" t="n">
        <v>19</v>
      </c>
      <c r="AN1750" s="7" t="n">
        <v>3</v>
      </c>
      <c r="AO1750" s="7" t="n">
        <v>3</v>
      </c>
      <c r="AP1750" s="7" t="n">
        <v>0</v>
      </c>
      <c r="AQ1750" s="7" t="n">
        <v>0</v>
      </c>
      <c r="AR1750" s="6" t="s">
        <v>63</v>
      </c>
      <c r="AS1750" s="6" t="s">
        <v>57</v>
      </c>
      <c r="AT1750" s="9" t="str">
        <f aca="false">HYPERLINK("http://catalog.hathitrust.org/Record/101894880","HathiTrust Record")</f>
        <v>HathiTrust Record</v>
      </c>
      <c r="AU1750" s="9" t="str">
        <f aca="false">HYPERLINK("https://creighton-primo.hosted.exlibrisgroup.com/primo-explore/search?tab=default_tab&amp;search_scope=EVERYTHING&amp;vid=01CRU&amp;lang=en_US&amp;offset=0&amp;query=any,contains,991001398099702656","Catalog Record")</f>
        <v>Catalog Record</v>
      </c>
      <c r="AV1750" s="9" t="str">
        <f aca="false">HYPERLINK("http://www.worldcat.org/oclc/18813940","WorldCat Record")</f>
        <v>WorldCat Record</v>
      </c>
      <c r="AW1750" s="6" t="s">
        <v>15097</v>
      </c>
      <c r="AX1750" s="6" t="s">
        <v>15098</v>
      </c>
      <c r="AY1750" s="6" t="s">
        <v>15099</v>
      </c>
      <c r="AZ1750" s="6" t="s">
        <v>15099</v>
      </c>
      <c r="BA1750" s="6" t="s">
        <v>15100</v>
      </c>
      <c r="BB1750" s="6" t="s">
        <v>15101</v>
      </c>
      <c r="BC1750" s="6" t="s">
        <v>15102</v>
      </c>
      <c r="BE1750" s="15" t="s">
        <v>2145</v>
      </c>
      <c r="BF1750" s="6" t="s">
        <v>15103</v>
      </c>
    </row>
    <row r="1751" customFormat="false" ht="140" hidden="false" customHeight="false" outlineLevel="0" collapsed="false">
      <c r="A1751" s="26" t="s">
        <v>63</v>
      </c>
      <c r="B1751" s="27" t="s">
        <v>2129</v>
      </c>
      <c r="C1751" s="27" t="s">
        <v>2130</v>
      </c>
      <c r="D1751" s="27" t="s">
        <v>15090</v>
      </c>
      <c r="E1751" s="27" t="s">
        <v>15091</v>
      </c>
      <c r="F1751" s="27" t="s">
        <v>15092</v>
      </c>
      <c r="G1751" s="6" t="s">
        <v>517</v>
      </c>
      <c r="H1751" s="6" t="s">
        <v>57</v>
      </c>
      <c r="I1751" s="6" t="s">
        <v>62</v>
      </c>
      <c r="J1751" s="6" t="s">
        <v>63</v>
      </c>
      <c r="K1751" s="6" t="s">
        <v>63</v>
      </c>
      <c r="L1751" s="6" t="s">
        <v>64</v>
      </c>
      <c r="M1751" s="27" t="s">
        <v>15093</v>
      </c>
      <c r="N1751" s="27" t="s">
        <v>15094</v>
      </c>
      <c r="O1751" s="6" t="s">
        <v>2411</v>
      </c>
      <c r="P1751" s="28"/>
      <c r="Q1751" s="6" t="s">
        <v>67</v>
      </c>
      <c r="R1751" s="6" t="s">
        <v>68</v>
      </c>
      <c r="S1751" s="28"/>
      <c r="T1751" s="6" t="s">
        <v>6138</v>
      </c>
      <c r="U1751" s="7" t="n">
        <v>2</v>
      </c>
      <c r="V1751" s="7" t="n">
        <v>2</v>
      </c>
      <c r="W1751" s="8" t="s">
        <v>15095</v>
      </c>
      <c r="X1751" s="8" t="s">
        <v>15095</v>
      </c>
      <c r="Y1751" s="8" t="s">
        <v>4948</v>
      </c>
      <c r="Z1751" s="8" t="s">
        <v>15096</v>
      </c>
      <c r="AA1751" s="7" t="n">
        <v>319</v>
      </c>
      <c r="AB1751" s="7" t="n">
        <v>278</v>
      </c>
      <c r="AC1751" s="7" t="n">
        <v>293</v>
      </c>
      <c r="AD1751" s="7" t="n">
        <v>4</v>
      </c>
      <c r="AE1751" s="7" t="n">
        <v>4</v>
      </c>
      <c r="AF1751" s="7" t="n">
        <v>27</v>
      </c>
      <c r="AG1751" s="7" t="n">
        <v>27</v>
      </c>
      <c r="AH1751" s="7" t="n">
        <v>9</v>
      </c>
      <c r="AI1751" s="7" t="n">
        <v>9</v>
      </c>
      <c r="AJ1751" s="7" t="n">
        <v>7</v>
      </c>
      <c r="AK1751" s="7" t="n">
        <v>7</v>
      </c>
      <c r="AL1751" s="7" t="n">
        <v>19</v>
      </c>
      <c r="AM1751" s="7" t="n">
        <v>19</v>
      </c>
      <c r="AN1751" s="7" t="n">
        <v>3</v>
      </c>
      <c r="AO1751" s="7" t="n">
        <v>3</v>
      </c>
      <c r="AP1751" s="7" t="n">
        <v>0</v>
      </c>
      <c r="AQ1751" s="7" t="n">
        <v>0</v>
      </c>
      <c r="AR1751" s="6" t="s">
        <v>63</v>
      </c>
      <c r="AS1751" s="6" t="s">
        <v>57</v>
      </c>
      <c r="AT1751" s="9" t="str">
        <f aca="false">HYPERLINK("http://catalog.hathitrust.org/Record/101894880","HathiTrust Record")</f>
        <v>HathiTrust Record</v>
      </c>
      <c r="AU1751" s="9" t="str">
        <f aca="false">HYPERLINK("https://creighton-primo.hosted.exlibrisgroup.com/primo-explore/search?tab=default_tab&amp;search_scope=EVERYTHING&amp;vid=01CRU&amp;lang=en_US&amp;offset=0&amp;query=any,contains,991001398099702656","Catalog Record")</f>
        <v>Catalog Record</v>
      </c>
      <c r="AV1751" s="9" t="str">
        <f aca="false">HYPERLINK("http://www.worldcat.org/oclc/18813940","WorldCat Record")</f>
        <v>WorldCat Record</v>
      </c>
      <c r="AW1751" s="6" t="s">
        <v>15097</v>
      </c>
      <c r="AX1751" s="6" t="s">
        <v>15098</v>
      </c>
      <c r="AY1751" s="6" t="s">
        <v>15099</v>
      </c>
      <c r="AZ1751" s="6" t="s">
        <v>15099</v>
      </c>
      <c r="BA1751" s="6" t="s">
        <v>15100</v>
      </c>
      <c r="BB1751" s="6" t="s">
        <v>15101</v>
      </c>
      <c r="BC1751" s="6" t="s">
        <v>15104</v>
      </c>
      <c r="BE1751" s="15" t="s">
        <v>2145</v>
      </c>
      <c r="BF1751" s="6" t="s">
        <v>15105</v>
      </c>
    </row>
    <row r="1752" customFormat="false" ht="117" hidden="false" customHeight="false" outlineLevel="0" collapsed="false">
      <c r="A1752" s="26" t="s">
        <v>63</v>
      </c>
      <c r="B1752" s="27" t="s">
        <v>2129</v>
      </c>
      <c r="C1752" s="27" t="s">
        <v>2130</v>
      </c>
      <c r="D1752" s="27" t="s">
        <v>15106</v>
      </c>
      <c r="E1752" s="27" t="s">
        <v>15107</v>
      </c>
      <c r="F1752" s="27" t="s">
        <v>15108</v>
      </c>
      <c r="G1752" s="28"/>
      <c r="H1752" s="6" t="s">
        <v>63</v>
      </c>
      <c r="I1752" s="6" t="s">
        <v>62</v>
      </c>
      <c r="J1752" s="6" t="s">
        <v>63</v>
      </c>
      <c r="K1752" s="6" t="s">
        <v>63</v>
      </c>
      <c r="L1752" s="6" t="s">
        <v>64</v>
      </c>
      <c r="M1752" s="27" t="s">
        <v>15109</v>
      </c>
      <c r="N1752" s="27" t="s">
        <v>15110</v>
      </c>
      <c r="O1752" s="6" t="s">
        <v>3094</v>
      </c>
      <c r="P1752" s="28"/>
      <c r="Q1752" s="6" t="s">
        <v>67</v>
      </c>
      <c r="R1752" s="6" t="s">
        <v>123</v>
      </c>
      <c r="S1752" s="27" t="s">
        <v>15111</v>
      </c>
      <c r="T1752" s="6" t="s">
        <v>6138</v>
      </c>
      <c r="U1752" s="7" t="n">
        <v>3</v>
      </c>
      <c r="V1752" s="7" t="n">
        <v>3</v>
      </c>
      <c r="W1752" s="8" t="s">
        <v>3171</v>
      </c>
      <c r="X1752" s="8" t="s">
        <v>3171</v>
      </c>
      <c r="Y1752" s="8" t="s">
        <v>2868</v>
      </c>
      <c r="Z1752" s="8" t="s">
        <v>2868</v>
      </c>
      <c r="AA1752" s="7" t="n">
        <v>295</v>
      </c>
      <c r="AB1752" s="7" t="n">
        <v>225</v>
      </c>
      <c r="AC1752" s="7" t="n">
        <v>231</v>
      </c>
      <c r="AD1752" s="7" t="n">
        <v>1</v>
      </c>
      <c r="AE1752" s="7" t="n">
        <v>1</v>
      </c>
      <c r="AF1752" s="7" t="n">
        <v>13</v>
      </c>
      <c r="AG1752" s="7" t="n">
        <v>13</v>
      </c>
      <c r="AH1752" s="7" t="n">
        <v>4</v>
      </c>
      <c r="AI1752" s="7" t="n">
        <v>4</v>
      </c>
      <c r="AJ1752" s="7" t="n">
        <v>4</v>
      </c>
      <c r="AK1752" s="7" t="n">
        <v>4</v>
      </c>
      <c r="AL1752" s="7" t="n">
        <v>11</v>
      </c>
      <c r="AM1752" s="7" t="n">
        <v>11</v>
      </c>
      <c r="AN1752" s="7" t="n">
        <v>0</v>
      </c>
      <c r="AO1752" s="7" t="n">
        <v>0</v>
      </c>
      <c r="AP1752" s="7" t="n">
        <v>0</v>
      </c>
      <c r="AQ1752" s="7" t="n">
        <v>0</v>
      </c>
      <c r="AR1752" s="6" t="s">
        <v>63</v>
      </c>
      <c r="AS1752" s="6" t="s">
        <v>57</v>
      </c>
      <c r="AT1752" s="9" t="str">
        <f aca="false">HYPERLINK("http://catalog.hathitrust.org/Record/001690796","HathiTrust Record")</f>
        <v>HathiTrust Record</v>
      </c>
      <c r="AU1752" s="9" t="str">
        <f aca="false">HYPERLINK("https://creighton-primo.hosted.exlibrisgroup.com/primo-explore/search?tab=default_tab&amp;search_scope=EVERYTHING&amp;vid=01CRU&amp;lang=en_US&amp;offset=0&amp;query=any,contains,991003373969702656","Catalog Record")</f>
        <v>Catalog Record</v>
      </c>
      <c r="AV1752" s="9" t="str">
        <f aca="false">HYPERLINK("http://www.worldcat.org/oclc/910392","WorldCat Record")</f>
        <v>WorldCat Record</v>
      </c>
      <c r="AW1752" s="6" t="s">
        <v>15112</v>
      </c>
      <c r="AX1752" s="6" t="s">
        <v>15113</v>
      </c>
      <c r="AY1752" s="6" t="s">
        <v>15114</v>
      </c>
      <c r="AZ1752" s="6" t="s">
        <v>15114</v>
      </c>
      <c r="BA1752" s="6" t="s">
        <v>15115</v>
      </c>
      <c r="BB1752" s="28"/>
      <c r="BC1752" s="6" t="s">
        <v>15116</v>
      </c>
      <c r="BE1752" s="15" t="s">
        <v>2145</v>
      </c>
      <c r="BF1752" s="6" t="s">
        <v>15117</v>
      </c>
    </row>
    <row r="1753" customFormat="false" ht="243.5" hidden="false" customHeight="false" outlineLevel="0" collapsed="false">
      <c r="A1753" s="26" t="s">
        <v>63</v>
      </c>
      <c r="B1753" s="27" t="s">
        <v>2129</v>
      </c>
      <c r="C1753" s="27" t="s">
        <v>2130</v>
      </c>
      <c r="D1753" s="27" t="s">
        <v>15118</v>
      </c>
      <c r="E1753" s="27" t="s">
        <v>15119</v>
      </c>
      <c r="F1753" s="27" t="s">
        <v>15120</v>
      </c>
      <c r="G1753" s="28"/>
      <c r="H1753" s="6" t="s">
        <v>63</v>
      </c>
      <c r="I1753" s="6" t="s">
        <v>62</v>
      </c>
      <c r="J1753" s="6" t="s">
        <v>63</v>
      </c>
      <c r="K1753" s="6" t="s">
        <v>63</v>
      </c>
      <c r="L1753" s="6" t="s">
        <v>64</v>
      </c>
      <c r="M1753" s="27" t="s">
        <v>9042</v>
      </c>
      <c r="N1753" s="27" t="s">
        <v>15121</v>
      </c>
      <c r="O1753" s="6" t="s">
        <v>108</v>
      </c>
      <c r="P1753" s="27" t="s">
        <v>15122</v>
      </c>
      <c r="Q1753" s="6" t="s">
        <v>67</v>
      </c>
      <c r="R1753" s="6" t="s">
        <v>5017</v>
      </c>
      <c r="S1753" s="28"/>
      <c r="T1753" s="6" t="s">
        <v>6138</v>
      </c>
      <c r="U1753" s="7" t="n">
        <v>2</v>
      </c>
      <c r="V1753" s="7" t="n">
        <v>2</v>
      </c>
      <c r="W1753" s="8" t="s">
        <v>9216</v>
      </c>
      <c r="X1753" s="8" t="s">
        <v>9216</v>
      </c>
      <c r="Y1753" s="8" t="s">
        <v>2868</v>
      </c>
      <c r="Z1753" s="8" t="s">
        <v>2868</v>
      </c>
      <c r="AA1753" s="7" t="n">
        <v>344</v>
      </c>
      <c r="AB1753" s="7" t="n">
        <v>266</v>
      </c>
      <c r="AC1753" s="7" t="n">
        <v>580</v>
      </c>
      <c r="AD1753" s="7" t="n">
        <v>4</v>
      </c>
      <c r="AE1753" s="7" t="n">
        <v>5</v>
      </c>
      <c r="AF1753" s="7" t="n">
        <v>24</v>
      </c>
      <c r="AG1753" s="7" t="n">
        <v>45</v>
      </c>
      <c r="AH1753" s="7" t="n">
        <v>7</v>
      </c>
      <c r="AI1753" s="7" t="n">
        <v>17</v>
      </c>
      <c r="AJ1753" s="7" t="n">
        <v>6</v>
      </c>
      <c r="AK1753" s="7" t="n">
        <v>10</v>
      </c>
      <c r="AL1753" s="7" t="n">
        <v>14</v>
      </c>
      <c r="AM1753" s="7" t="n">
        <v>27</v>
      </c>
      <c r="AN1753" s="7" t="n">
        <v>3</v>
      </c>
      <c r="AO1753" s="7" t="n">
        <v>3</v>
      </c>
      <c r="AP1753" s="7" t="n">
        <v>1</v>
      </c>
      <c r="AQ1753" s="7" t="n">
        <v>1</v>
      </c>
      <c r="AR1753" s="6" t="s">
        <v>63</v>
      </c>
      <c r="AS1753" s="6" t="s">
        <v>57</v>
      </c>
      <c r="AT1753" s="9" t="str">
        <f aca="false">HYPERLINK("http://catalog.hathitrust.org/Record/007115212","HathiTrust Record")</f>
        <v>HathiTrust Record</v>
      </c>
      <c r="AU1753" s="9" t="str">
        <f aca="false">HYPERLINK("https://creighton-primo.hosted.exlibrisgroup.com/primo-explore/search?tab=default_tab&amp;search_scope=EVERYTHING&amp;vid=01CRU&amp;lang=en_US&amp;offset=0&amp;query=any,contains,991004537829702656","Catalog Record")</f>
        <v>Catalog Record</v>
      </c>
      <c r="AV1753" s="9" t="str">
        <f aca="false">HYPERLINK("http://www.worldcat.org/oclc/3877550","WorldCat Record")</f>
        <v>WorldCat Record</v>
      </c>
      <c r="AW1753" s="6" t="s">
        <v>15123</v>
      </c>
      <c r="AX1753" s="6" t="s">
        <v>15124</v>
      </c>
      <c r="AY1753" s="6" t="s">
        <v>15125</v>
      </c>
      <c r="AZ1753" s="6" t="s">
        <v>15125</v>
      </c>
      <c r="BA1753" s="6" t="s">
        <v>15126</v>
      </c>
      <c r="BB1753" s="28"/>
      <c r="BC1753" s="6" t="s">
        <v>15127</v>
      </c>
      <c r="BE1753" s="15" t="s">
        <v>2145</v>
      </c>
      <c r="BF1753" s="6" t="s">
        <v>15128</v>
      </c>
    </row>
    <row r="1754" customFormat="false" ht="128.5" hidden="false" customHeight="false" outlineLevel="0" collapsed="false">
      <c r="A1754" s="26" t="s">
        <v>63</v>
      </c>
      <c r="B1754" s="27" t="s">
        <v>2129</v>
      </c>
      <c r="C1754" s="27" t="s">
        <v>2130</v>
      </c>
      <c r="D1754" s="27" t="s">
        <v>15129</v>
      </c>
      <c r="E1754" s="27" t="s">
        <v>15130</v>
      </c>
      <c r="F1754" s="27" t="s">
        <v>15131</v>
      </c>
      <c r="G1754" s="28"/>
      <c r="H1754" s="6" t="s">
        <v>57</v>
      </c>
      <c r="I1754" s="6" t="s">
        <v>62</v>
      </c>
      <c r="J1754" s="6" t="s">
        <v>57</v>
      </c>
      <c r="K1754" s="6" t="s">
        <v>57</v>
      </c>
      <c r="L1754" s="6" t="s">
        <v>64</v>
      </c>
      <c r="M1754" s="27" t="s">
        <v>14999</v>
      </c>
      <c r="N1754" s="27" t="s">
        <v>15132</v>
      </c>
      <c r="O1754" s="6" t="s">
        <v>3094</v>
      </c>
      <c r="P1754" s="28"/>
      <c r="Q1754" s="6" t="s">
        <v>67</v>
      </c>
      <c r="R1754" s="6" t="s">
        <v>1059</v>
      </c>
      <c r="S1754" s="27" t="s">
        <v>15133</v>
      </c>
      <c r="T1754" s="6" t="s">
        <v>6138</v>
      </c>
      <c r="U1754" s="7" t="n">
        <v>2</v>
      </c>
      <c r="V1754" s="7" t="n">
        <v>3</v>
      </c>
      <c r="W1754" s="8" t="s">
        <v>15095</v>
      </c>
      <c r="X1754" s="8" t="s">
        <v>15095</v>
      </c>
      <c r="Y1754" s="8" t="s">
        <v>2868</v>
      </c>
      <c r="Z1754" s="8" t="s">
        <v>2868</v>
      </c>
      <c r="AA1754" s="7" t="n">
        <v>831</v>
      </c>
      <c r="AB1754" s="7" t="n">
        <v>742</v>
      </c>
      <c r="AC1754" s="7" t="n">
        <v>810</v>
      </c>
      <c r="AD1754" s="7" t="n">
        <v>9</v>
      </c>
      <c r="AE1754" s="7" t="n">
        <v>10</v>
      </c>
      <c r="AF1754" s="7" t="n">
        <v>47</v>
      </c>
      <c r="AG1754" s="7" t="n">
        <v>49</v>
      </c>
      <c r="AH1754" s="7" t="n">
        <v>17</v>
      </c>
      <c r="AI1754" s="7" t="n">
        <v>18</v>
      </c>
      <c r="AJ1754" s="7" t="n">
        <v>10</v>
      </c>
      <c r="AK1754" s="7" t="n">
        <v>10</v>
      </c>
      <c r="AL1754" s="7" t="n">
        <v>27</v>
      </c>
      <c r="AM1754" s="7" t="n">
        <v>27</v>
      </c>
      <c r="AN1754" s="7" t="n">
        <v>6</v>
      </c>
      <c r="AO1754" s="7" t="n">
        <v>7</v>
      </c>
      <c r="AP1754" s="7" t="n">
        <v>0</v>
      </c>
      <c r="AQ1754" s="7" t="n">
        <v>0</v>
      </c>
      <c r="AR1754" s="6" t="s">
        <v>63</v>
      </c>
      <c r="AS1754" s="6" t="s">
        <v>57</v>
      </c>
      <c r="AT1754" s="9" t="str">
        <f aca="false">HYPERLINK("http://catalog.hathitrust.org/Record/001380873","HathiTrust Record")</f>
        <v>HathiTrust Record</v>
      </c>
      <c r="AU1754" s="9" t="str">
        <f aca="false">HYPERLINK("https://creighton-primo.hosted.exlibrisgroup.com/primo-explore/search?tab=default_tab&amp;search_scope=EVERYTHING&amp;vid=01CRU&amp;lang=en_US&amp;offset=0&amp;query=any,contains,991002290139702656","Catalog Record")</f>
        <v>Catalog Record</v>
      </c>
      <c r="AV1754" s="9" t="str">
        <f aca="false">HYPERLINK("http://www.worldcat.org/oclc/312731","WorldCat Record")</f>
        <v>WorldCat Record</v>
      </c>
      <c r="AW1754" s="6" t="s">
        <v>15134</v>
      </c>
      <c r="AX1754" s="6" t="s">
        <v>15135</v>
      </c>
      <c r="AY1754" s="6" t="s">
        <v>15136</v>
      </c>
      <c r="AZ1754" s="6" t="s">
        <v>15136</v>
      </c>
      <c r="BA1754" s="6" t="s">
        <v>15137</v>
      </c>
      <c r="BB1754" s="28"/>
      <c r="BC1754" s="6" t="s">
        <v>15138</v>
      </c>
      <c r="BE1754" s="15" t="s">
        <v>2145</v>
      </c>
      <c r="BF1754" s="6" t="s">
        <v>15139</v>
      </c>
    </row>
    <row r="1755" customFormat="false" ht="128.5" hidden="false" customHeight="false" outlineLevel="0" collapsed="false">
      <c r="A1755" s="26" t="s">
        <v>63</v>
      </c>
      <c r="B1755" s="27" t="s">
        <v>2129</v>
      </c>
      <c r="C1755" s="27" t="s">
        <v>2130</v>
      </c>
      <c r="D1755" s="27" t="s">
        <v>15140</v>
      </c>
      <c r="E1755" s="27" t="s">
        <v>15141</v>
      </c>
      <c r="F1755" s="27" t="s">
        <v>15131</v>
      </c>
      <c r="G1755" s="28"/>
      <c r="H1755" s="6" t="s">
        <v>57</v>
      </c>
      <c r="I1755" s="6" t="s">
        <v>62</v>
      </c>
      <c r="J1755" s="6" t="s">
        <v>57</v>
      </c>
      <c r="K1755" s="6" t="s">
        <v>57</v>
      </c>
      <c r="L1755" s="6" t="s">
        <v>64</v>
      </c>
      <c r="M1755" s="27" t="s">
        <v>14999</v>
      </c>
      <c r="N1755" s="27" t="s">
        <v>15132</v>
      </c>
      <c r="O1755" s="6" t="s">
        <v>3094</v>
      </c>
      <c r="P1755" s="28"/>
      <c r="Q1755" s="6" t="s">
        <v>67</v>
      </c>
      <c r="R1755" s="6" t="s">
        <v>1059</v>
      </c>
      <c r="S1755" s="27" t="s">
        <v>15133</v>
      </c>
      <c r="T1755" s="6" t="s">
        <v>6138</v>
      </c>
      <c r="U1755" s="7" t="n">
        <v>1</v>
      </c>
      <c r="V1755" s="7" t="n">
        <v>3</v>
      </c>
      <c r="W1755" s="8" t="s">
        <v>15095</v>
      </c>
      <c r="X1755" s="8" t="s">
        <v>15095</v>
      </c>
      <c r="Y1755" s="8" t="s">
        <v>2868</v>
      </c>
      <c r="Z1755" s="8" t="s">
        <v>2868</v>
      </c>
      <c r="AA1755" s="7" t="n">
        <v>831</v>
      </c>
      <c r="AB1755" s="7" t="n">
        <v>742</v>
      </c>
      <c r="AC1755" s="7" t="n">
        <v>810</v>
      </c>
      <c r="AD1755" s="7" t="n">
        <v>9</v>
      </c>
      <c r="AE1755" s="7" t="n">
        <v>10</v>
      </c>
      <c r="AF1755" s="7" t="n">
        <v>47</v>
      </c>
      <c r="AG1755" s="7" t="n">
        <v>49</v>
      </c>
      <c r="AH1755" s="7" t="n">
        <v>17</v>
      </c>
      <c r="AI1755" s="7" t="n">
        <v>18</v>
      </c>
      <c r="AJ1755" s="7" t="n">
        <v>10</v>
      </c>
      <c r="AK1755" s="7" t="n">
        <v>10</v>
      </c>
      <c r="AL1755" s="7" t="n">
        <v>27</v>
      </c>
      <c r="AM1755" s="7" t="n">
        <v>27</v>
      </c>
      <c r="AN1755" s="7" t="n">
        <v>6</v>
      </c>
      <c r="AO1755" s="7" t="n">
        <v>7</v>
      </c>
      <c r="AP1755" s="7" t="n">
        <v>0</v>
      </c>
      <c r="AQ1755" s="7" t="n">
        <v>0</v>
      </c>
      <c r="AR1755" s="6" t="s">
        <v>63</v>
      </c>
      <c r="AS1755" s="6" t="s">
        <v>57</v>
      </c>
      <c r="AT1755" s="9" t="str">
        <f aca="false">HYPERLINK("http://catalog.hathitrust.org/Record/001380873","HathiTrust Record")</f>
        <v>HathiTrust Record</v>
      </c>
      <c r="AU1755" s="9" t="str">
        <f aca="false">HYPERLINK("https://creighton-primo.hosted.exlibrisgroup.com/primo-explore/search?tab=default_tab&amp;search_scope=EVERYTHING&amp;vid=01CRU&amp;lang=en_US&amp;offset=0&amp;query=any,contains,991002290139702656","Catalog Record")</f>
        <v>Catalog Record</v>
      </c>
      <c r="AV1755" s="9" t="str">
        <f aca="false">HYPERLINK("http://www.worldcat.org/oclc/312731","WorldCat Record")</f>
        <v>WorldCat Record</v>
      </c>
      <c r="AW1755" s="6" t="s">
        <v>15134</v>
      </c>
      <c r="AX1755" s="6" t="s">
        <v>15135</v>
      </c>
      <c r="AY1755" s="6" t="s">
        <v>15136</v>
      </c>
      <c r="AZ1755" s="6" t="s">
        <v>15136</v>
      </c>
      <c r="BA1755" s="6" t="s">
        <v>15137</v>
      </c>
      <c r="BB1755" s="28"/>
      <c r="BC1755" s="6" t="s">
        <v>15142</v>
      </c>
      <c r="BE1755" s="15" t="s">
        <v>2145</v>
      </c>
      <c r="BF1755" s="6" t="s">
        <v>15143</v>
      </c>
    </row>
    <row r="1756" customFormat="false" ht="128.5" hidden="false" customHeight="false" outlineLevel="0" collapsed="false">
      <c r="A1756" s="26" t="s">
        <v>63</v>
      </c>
      <c r="B1756" s="27" t="s">
        <v>2129</v>
      </c>
      <c r="C1756" s="27" t="s">
        <v>2130</v>
      </c>
      <c r="D1756" s="27" t="s">
        <v>15144</v>
      </c>
      <c r="E1756" s="27" t="s">
        <v>15145</v>
      </c>
      <c r="F1756" s="27" t="s">
        <v>15146</v>
      </c>
      <c r="G1756" s="28"/>
      <c r="H1756" s="6" t="s">
        <v>63</v>
      </c>
      <c r="I1756" s="6" t="s">
        <v>62</v>
      </c>
      <c r="J1756" s="6" t="s">
        <v>63</v>
      </c>
      <c r="K1756" s="6" t="s">
        <v>63</v>
      </c>
      <c r="L1756" s="6" t="s">
        <v>64</v>
      </c>
      <c r="M1756" s="27" t="s">
        <v>15147</v>
      </c>
      <c r="N1756" s="27" t="s">
        <v>15148</v>
      </c>
      <c r="O1756" s="6" t="s">
        <v>3934</v>
      </c>
      <c r="P1756" s="28"/>
      <c r="Q1756" s="6" t="s">
        <v>67</v>
      </c>
      <c r="R1756" s="6" t="s">
        <v>384</v>
      </c>
      <c r="S1756" s="28"/>
      <c r="T1756" s="6" t="s">
        <v>6138</v>
      </c>
      <c r="U1756" s="7" t="n">
        <v>4</v>
      </c>
      <c r="V1756" s="7" t="n">
        <v>4</v>
      </c>
      <c r="W1756" s="8" t="s">
        <v>5821</v>
      </c>
      <c r="X1756" s="8" t="s">
        <v>5821</v>
      </c>
      <c r="Y1756" s="8" t="s">
        <v>15149</v>
      </c>
      <c r="Z1756" s="8" t="s">
        <v>15149</v>
      </c>
      <c r="AA1756" s="7" t="n">
        <v>295</v>
      </c>
      <c r="AB1756" s="7" t="n">
        <v>216</v>
      </c>
      <c r="AC1756" s="7" t="n">
        <v>228</v>
      </c>
      <c r="AD1756" s="7" t="n">
        <v>2</v>
      </c>
      <c r="AE1756" s="7" t="n">
        <v>2</v>
      </c>
      <c r="AF1756" s="7" t="n">
        <v>15</v>
      </c>
      <c r="AG1756" s="7" t="n">
        <v>16</v>
      </c>
      <c r="AH1756" s="7" t="n">
        <v>3</v>
      </c>
      <c r="AI1756" s="7" t="n">
        <v>4</v>
      </c>
      <c r="AJ1756" s="7" t="n">
        <v>5</v>
      </c>
      <c r="AK1756" s="7" t="n">
        <v>5</v>
      </c>
      <c r="AL1756" s="7" t="n">
        <v>10</v>
      </c>
      <c r="AM1756" s="7" t="n">
        <v>10</v>
      </c>
      <c r="AN1756" s="7" t="n">
        <v>1</v>
      </c>
      <c r="AO1756" s="7" t="n">
        <v>1</v>
      </c>
      <c r="AP1756" s="7" t="n">
        <v>1</v>
      </c>
      <c r="AQ1756" s="7" t="n">
        <v>1</v>
      </c>
      <c r="AR1756" s="6" t="s">
        <v>63</v>
      </c>
      <c r="AS1756" s="6" t="s">
        <v>63</v>
      </c>
      <c r="AT1756" s="28"/>
      <c r="AU1756" s="9" t="str">
        <f aca="false">HYPERLINK("https://creighton-primo.hosted.exlibrisgroup.com/primo-explore/search?tab=default_tab&amp;search_scope=EVERYTHING&amp;vid=01CRU&amp;lang=en_US&amp;offset=0&amp;query=any,contains,991002460689702656","Catalog Record")</f>
        <v>Catalog Record</v>
      </c>
      <c r="AV1756" s="9" t="str">
        <f aca="false">HYPERLINK("http://www.worldcat.org/oclc/32052201","WorldCat Record")</f>
        <v>WorldCat Record</v>
      </c>
      <c r="AW1756" s="6" t="s">
        <v>15150</v>
      </c>
      <c r="AX1756" s="6" t="s">
        <v>15151</v>
      </c>
      <c r="AY1756" s="6" t="s">
        <v>15152</v>
      </c>
      <c r="AZ1756" s="6" t="s">
        <v>15152</v>
      </c>
      <c r="BA1756" s="6" t="s">
        <v>15153</v>
      </c>
      <c r="BB1756" s="6" t="s">
        <v>15154</v>
      </c>
      <c r="BC1756" s="6" t="s">
        <v>15155</v>
      </c>
      <c r="BE1756" s="15" t="s">
        <v>2145</v>
      </c>
      <c r="BF1756" s="6" t="s">
        <v>15156</v>
      </c>
    </row>
    <row r="1757" customFormat="false" ht="94" hidden="false" customHeight="false" outlineLevel="0" collapsed="false">
      <c r="A1757" s="26" t="s">
        <v>63</v>
      </c>
      <c r="B1757" s="27" t="s">
        <v>2129</v>
      </c>
      <c r="C1757" s="27" t="s">
        <v>2130</v>
      </c>
      <c r="D1757" s="27" t="s">
        <v>15157</v>
      </c>
      <c r="E1757" s="27" t="s">
        <v>15158</v>
      </c>
      <c r="F1757" s="27" t="s">
        <v>15159</v>
      </c>
      <c r="G1757" s="28"/>
      <c r="H1757" s="6" t="s">
        <v>63</v>
      </c>
      <c r="I1757" s="6" t="s">
        <v>62</v>
      </c>
      <c r="J1757" s="6" t="s">
        <v>63</v>
      </c>
      <c r="K1757" s="6" t="s">
        <v>63</v>
      </c>
      <c r="L1757" s="6" t="s">
        <v>64</v>
      </c>
      <c r="M1757" s="27" t="s">
        <v>15160</v>
      </c>
      <c r="N1757" s="27" t="s">
        <v>15161</v>
      </c>
      <c r="O1757" s="6" t="s">
        <v>233</v>
      </c>
      <c r="P1757" s="28"/>
      <c r="Q1757" s="6" t="s">
        <v>67</v>
      </c>
      <c r="R1757" s="6" t="s">
        <v>401</v>
      </c>
      <c r="S1757" s="28"/>
      <c r="T1757" s="6" t="s">
        <v>6138</v>
      </c>
      <c r="U1757" s="7" t="n">
        <v>3</v>
      </c>
      <c r="V1757" s="7" t="n">
        <v>3</v>
      </c>
      <c r="W1757" s="8" t="s">
        <v>15162</v>
      </c>
      <c r="X1757" s="8" t="s">
        <v>15162</v>
      </c>
      <c r="Y1757" s="8" t="s">
        <v>15163</v>
      </c>
      <c r="Z1757" s="8" t="s">
        <v>15163</v>
      </c>
      <c r="AA1757" s="7" t="n">
        <v>401</v>
      </c>
      <c r="AB1757" s="7" t="n">
        <v>386</v>
      </c>
      <c r="AC1757" s="7" t="n">
        <v>399</v>
      </c>
      <c r="AD1757" s="7" t="n">
        <v>1</v>
      </c>
      <c r="AE1757" s="7" t="n">
        <v>1</v>
      </c>
      <c r="AF1757" s="7" t="n">
        <v>7</v>
      </c>
      <c r="AG1757" s="7" t="n">
        <v>8</v>
      </c>
      <c r="AH1757" s="7" t="n">
        <v>3</v>
      </c>
      <c r="AI1757" s="7" t="n">
        <v>3</v>
      </c>
      <c r="AJ1757" s="7" t="n">
        <v>1</v>
      </c>
      <c r="AK1757" s="7" t="n">
        <v>1</v>
      </c>
      <c r="AL1757" s="7" t="n">
        <v>4</v>
      </c>
      <c r="AM1757" s="7" t="n">
        <v>5</v>
      </c>
      <c r="AN1757" s="7" t="n">
        <v>0</v>
      </c>
      <c r="AO1757" s="7" t="n">
        <v>0</v>
      </c>
      <c r="AP1757" s="7" t="n">
        <v>0</v>
      </c>
      <c r="AQ1757" s="7" t="n">
        <v>0</v>
      </c>
      <c r="AR1757" s="6" t="s">
        <v>63</v>
      </c>
      <c r="AS1757" s="6" t="s">
        <v>63</v>
      </c>
      <c r="AT1757" s="28"/>
      <c r="AU1757" s="9" t="str">
        <f aca="false">HYPERLINK("https://creighton-primo.hosted.exlibrisgroup.com/primo-explore/search?tab=default_tab&amp;search_scope=EVERYTHING&amp;vid=01CRU&amp;lang=en_US&amp;offset=0&amp;query=any,contains,991003888409702656","Catalog Record")</f>
        <v>Catalog Record</v>
      </c>
      <c r="AV1757" s="9" t="str">
        <f aca="false">HYPERLINK("http://www.worldcat.org/oclc/1664361","WorldCat Record")</f>
        <v>WorldCat Record</v>
      </c>
      <c r="AW1757" s="6" t="s">
        <v>15164</v>
      </c>
      <c r="AX1757" s="6" t="s">
        <v>15165</v>
      </c>
      <c r="AY1757" s="6" t="s">
        <v>15166</v>
      </c>
      <c r="AZ1757" s="6" t="s">
        <v>15166</v>
      </c>
      <c r="BA1757" s="6" t="s">
        <v>15167</v>
      </c>
      <c r="BB1757" s="28"/>
      <c r="BC1757" s="6" t="s">
        <v>15168</v>
      </c>
      <c r="BE1757" s="15" t="s">
        <v>2145</v>
      </c>
      <c r="BF1757" s="6" t="s">
        <v>15169</v>
      </c>
    </row>
    <row r="1758" customFormat="false" ht="71" hidden="false" customHeight="false" outlineLevel="0" collapsed="false">
      <c r="A1758" s="26" t="s">
        <v>63</v>
      </c>
      <c r="B1758" s="27" t="s">
        <v>2129</v>
      </c>
      <c r="C1758" s="27" t="s">
        <v>2130</v>
      </c>
      <c r="D1758" s="27" t="s">
        <v>15170</v>
      </c>
      <c r="E1758" s="27" t="s">
        <v>15171</v>
      </c>
      <c r="F1758" s="27" t="s">
        <v>15172</v>
      </c>
      <c r="G1758" s="28"/>
      <c r="H1758" s="6" t="s">
        <v>63</v>
      </c>
      <c r="I1758" s="6" t="s">
        <v>62</v>
      </c>
      <c r="J1758" s="6" t="s">
        <v>63</v>
      </c>
      <c r="K1758" s="6" t="s">
        <v>63</v>
      </c>
      <c r="L1758" s="6" t="s">
        <v>64</v>
      </c>
      <c r="M1758" s="27" t="s">
        <v>15173</v>
      </c>
      <c r="N1758" s="27" t="s">
        <v>15174</v>
      </c>
      <c r="O1758" s="6" t="s">
        <v>14265</v>
      </c>
      <c r="P1758" s="28"/>
      <c r="Q1758" s="6" t="s">
        <v>67</v>
      </c>
      <c r="R1758" s="6" t="s">
        <v>123</v>
      </c>
      <c r="S1758" s="28"/>
      <c r="T1758" s="6" t="s">
        <v>6138</v>
      </c>
      <c r="U1758" s="7" t="n">
        <v>5</v>
      </c>
      <c r="V1758" s="7" t="n">
        <v>5</v>
      </c>
      <c r="W1758" s="8" t="s">
        <v>15175</v>
      </c>
      <c r="X1758" s="8" t="s">
        <v>15175</v>
      </c>
      <c r="Y1758" s="8" t="s">
        <v>15163</v>
      </c>
      <c r="Z1758" s="8" t="s">
        <v>15163</v>
      </c>
      <c r="AA1758" s="7" t="n">
        <v>701</v>
      </c>
      <c r="AB1758" s="7" t="n">
        <v>625</v>
      </c>
      <c r="AC1758" s="7" t="n">
        <v>1064</v>
      </c>
      <c r="AD1758" s="7" t="n">
        <v>6</v>
      </c>
      <c r="AE1758" s="7" t="n">
        <v>9</v>
      </c>
      <c r="AF1758" s="7" t="n">
        <v>29</v>
      </c>
      <c r="AG1758" s="7" t="n">
        <v>46</v>
      </c>
      <c r="AH1758" s="7" t="n">
        <v>13</v>
      </c>
      <c r="AI1758" s="7" t="n">
        <v>20</v>
      </c>
      <c r="AJ1758" s="7" t="n">
        <v>5</v>
      </c>
      <c r="AK1758" s="7" t="n">
        <v>9</v>
      </c>
      <c r="AL1758" s="7" t="n">
        <v>12</v>
      </c>
      <c r="AM1758" s="7" t="n">
        <v>20</v>
      </c>
      <c r="AN1758" s="7" t="n">
        <v>5</v>
      </c>
      <c r="AO1758" s="7" t="n">
        <v>7</v>
      </c>
      <c r="AP1758" s="7" t="n">
        <v>0</v>
      </c>
      <c r="AQ1758" s="7" t="n">
        <v>0</v>
      </c>
      <c r="AR1758" s="6" t="s">
        <v>63</v>
      </c>
      <c r="AS1758" s="6" t="s">
        <v>57</v>
      </c>
      <c r="AT1758" s="9" t="str">
        <f aca="false">HYPERLINK("http://catalog.hathitrust.org/Record/001386861","HathiTrust Record")</f>
        <v>HathiTrust Record</v>
      </c>
      <c r="AU1758" s="9" t="str">
        <f aca="false">HYPERLINK("https://creighton-primo.hosted.exlibrisgroup.com/primo-explore/search?tab=default_tab&amp;search_scope=EVERYTHING&amp;vid=01CRU&amp;lang=en_US&amp;offset=0&amp;query=any,contains,991003281409702656","Catalog Record")</f>
        <v>Catalog Record</v>
      </c>
      <c r="AV1758" s="9" t="str">
        <f aca="false">HYPERLINK("http://www.worldcat.org/oclc/803874","WorldCat Record")</f>
        <v>WorldCat Record</v>
      </c>
      <c r="AW1758" s="6" t="s">
        <v>15176</v>
      </c>
      <c r="AX1758" s="6" t="s">
        <v>15177</v>
      </c>
      <c r="AY1758" s="6" t="s">
        <v>15178</v>
      </c>
      <c r="AZ1758" s="6" t="s">
        <v>15178</v>
      </c>
      <c r="BA1758" s="6" t="s">
        <v>15179</v>
      </c>
      <c r="BB1758" s="28"/>
      <c r="BC1758" s="6" t="s">
        <v>15180</v>
      </c>
      <c r="BE1758" s="15" t="s">
        <v>2145</v>
      </c>
      <c r="BF1758" s="6" t="s">
        <v>15181</v>
      </c>
    </row>
    <row r="1759" customFormat="false" ht="117" hidden="false" customHeight="false" outlineLevel="0" collapsed="false">
      <c r="A1759" s="26" t="s">
        <v>63</v>
      </c>
      <c r="B1759" s="27" t="s">
        <v>2129</v>
      </c>
      <c r="C1759" s="27" t="s">
        <v>2130</v>
      </c>
      <c r="D1759" s="27" t="s">
        <v>15182</v>
      </c>
      <c r="E1759" s="27" t="s">
        <v>15183</v>
      </c>
      <c r="F1759" s="27" t="s">
        <v>15184</v>
      </c>
      <c r="G1759" s="28"/>
      <c r="H1759" s="6" t="s">
        <v>63</v>
      </c>
      <c r="I1759" s="6" t="s">
        <v>62</v>
      </c>
      <c r="J1759" s="6" t="s">
        <v>63</v>
      </c>
      <c r="K1759" s="6" t="s">
        <v>63</v>
      </c>
      <c r="L1759" s="6" t="s">
        <v>64</v>
      </c>
      <c r="M1759" s="27" t="s">
        <v>15185</v>
      </c>
      <c r="N1759" s="27" t="s">
        <v>15186</v>
      </c>
      <c r="O1759" s="6" t="s">
        <v>4869</v>
      </c>
      <c r="P1759" s="28"/>
      <c r="Q1759" s="6" t="s">
        <v>67</v>
      </c>
      <c r="R1759" s="6" t="s">
        <v>123</v>
      </c>
      <c r="S1759" s="28"/>
      <c r="T1759" s="6" t="s">
        <v>6138</v>
      </c>
      <c r="U1759" s="7" t="n">
        <v>1</v>
      </c>
      <c r="V1759" s="7" t="n">
        <v>1</v>
      </c>
      <c r="W1759" s="8" t="s">
        <v>5066</v>
      </c>
      <c r="X1759" s="8" t="s">
        <v>5066</v>
      </c>
      <c r="Y1759" s="8" t="s">
        <v>15163</v>
      </c>
      <c r="Z1759" s="8" t="s">
        <v>15163</v>
      </c>
      <c r="AA1759" s="7" t="n">
        <v>241</v>
      </c>
      <c r="AB1759" s="7" t="n">
        <v>225</v>
      </c>
      <c r="AC1759" s="7" t="n">
        <v>345</v>
      </c>
      <c r="AD1759" s="7" t="n">
        <v>2</v>
      </c>
      <c r="AE1759" s="7" t="n">
        <v>3</v>
      </c>
      <c r="AF1759" s="7" t="n">
        <v>17</v>
      </c>
      <c r="AG1759" s="7" t="n">
        <v>25</v>
      </c>
      <c r="AH1759" s="7" t="n">
        <v>5</v>
      </c>
      <c r="AI1759" s="7" t="n">
        <v>9</v>
      </c>
      <c r="AJ1759" s="7" t="n">
        <v>5</v>
      </c>
      <c r="AK1759" s="7" t="n">
        <v>6</v>
      </c>
      <c r="AL1759" s="7" t="n">
        <v>11</v>
      </c>
      <c r="AM1759" s="7" t="n">
        <v>17</v>
      </c>
      <c r="AN1759" s="7" t="n">
        <v>0</v>
      </c>
      <c r="AO1759" s="7" t="n">
        <v>1</v>
      </c>
      <c r="AP1759" s="7" t="n">
        <v>0</v>
      </c>
      <c r="AQ1759" s="7" t="n">
        <v>0</v>
      </c>
      <c r="AR1759" s="6" t="s">
        <v>63</v>
      </c>
      <c r="AS1759" s="6" t="s">
        <v>63</v>
      </c>
      <c r="AT1759" s="28"/>
      <c r="AU1759" s="9" t="str">
        <f aca="false">HYPERLINK("https://creighton-primo.hosted.exlibrisgroup.com/primo-explore/search?tab=default_tab&amp;search_scope=EVERYTHING&amp;vid=01CRU&amp;lang=en_US&amp;offset=0&amp;query=any,contains,991003207909702656","Catalog Record")</f>
        <v>Catalog Record</v>
      </c>
      <c r="AV1759" s="9" t="str">
        <f aca="false">HYPERLINK("http://www.worldcat.org/oclc/733177","WorldCat Record")</f>
        <v>WorldCat Record</v>
      </c>
      <c r="AW1759" s="6" t="s">
        <v>15187</v>
      </c>
      <c r="AX1759" s="6" t="s">
        <v>15188</v>
      </c>
      <c r="AY1759" s="6" t="s">
        <v>15189</v>
      </c>
      <c r="AZ1759" s="6" t="s">
        <v>15189</v>
      </c>
      <c r="BA1759" s="6" t="s">
        <v>15190</v>
      </c>
      <c r="BB1759" s="28"/>
      <c r="BC1759" s="6" t="s">
        <v>15191</v>
      </c>
      <c r="BE1759" s="15" t="s">
        <v>2145</v>
      </c>
      <c r="BF1759" s="6" t="s">
        <v>15192</v>
      </c>
    </row>
    <row r="1760" customFormat="false" ht="140" hidden="false" customHeight="false" outlineLevel="0" collapsed="false">
      <c r="A1760" s="26" t="s">
        <v>63</v>
      </c>
      <c r="B1760" s="27" t="s">
        <v>2129</v>
      </c>
      <c r="C1760" s="27" t="s">
        <v>2130</v>
      </c>
      <c r="D1760" s="27" t="s">
        <v>15193</v>
      </c>
      <c r="E1760" s="27" t="s">
        <v>15194</v>
      </c>
      <c r="F1760" s="27" t="s">
        <v>15195</v>
      </c>
      <c r="G1760" s="28"/>
      <c r="H1760" s="6" t="s">
        <v>63</v>
      </c>
      <c r="I1760" s="6" t="s">
        <v>62</v>
      </c>
      <c r="J1760" s="6" t="s">
        <v>63</v>
      </c>
      <c r="K1760" s="6" t="s">
        <v>63</v>
      </c>
      <c r="L1760" s="6" t="s">
        <v>64</v>
      </c>
      <c r="M1760" s="27" t="s">
        <v>15196</v>
      </c>
      <c r="N1760" s="27" t="s">
        <v>15197</v>
      </c>
      <c r="O1760" s="6" t="s">
        <v>167</v>
      </c>
      <c r="P1760" s="28"/>
      <c r="Q1760" s="6" t="s">
        <v>67</v>
      </c>
      <c r="R1760" s="6" t="s">
        <v>1224</v>
      </c>
      <c r="S1760" s="28"/>
      <c r="T1760" s="6" t="s">
        <v>6138</v>
      </c>
      <c r="U1760" s="7" t="n">
        <v>2</v>
      </c>
      <c r="V1760" s="7" t="n">
        <v>2</v>
      </c>
      <c r="W1760" s="8" t="s">
        <v>15198</v>
      </c>
      <c r="X1760" s="8" t="s">
        <v>15198</v>
      </c>
      <c r="Y1760" s="8" t="s">
        <v>15163</v>
      </c>
      <c r="Z1760" s="8" t="s">
        <v>15163</v>
      </c>
      <c r="AA1760" s="7" t="n">
        <v>849</v>
      </c>
      <c r="AB1760" s="7" t="n">
        <v>766</v>
      </c>
      <c r="AC1760" s="7" t="n">
        <v>773</v>
      </c>
      <c r="AD1760" s="7" t="n">
        <v>7</v>
      </c>
      <c r="AE1760" s="7" t="n">
        <v>7</v>
      </c>
      <c r="AF1760" s="7" t="n">
        <v>38</v>
      </c>
      <c r="AG1760" s="7" t="n">
        <v>38</v>
      </c>
      <c r="AH1760" s="7" t="n">
        <v>14</v>
      </c>
      <c r="AI1760" s="7" t="n">
        <v>14</v>
      </c>
      <c r="AJ1760" s="7" t="n">
        <v>10</v>
      </c>
      <c r="AK1760" s="7" t="n">
        <v>10</v>
      </c>
      <c r="AL1760" s="7" t="n">
        <v>21</v>
      </c>
      <c r="AM1760" s="7" t="n">
        <v>21</v>
      </c>
      <c r="AN1760" s="7" t="n">
        <v>5</v>
      </c>
      <c r="AO1760" s="7" t="n">
        <v>5</v>
      </c>
      <c r="AP1760" s="7" t="n">
        <v>0</v>
      </c>
      <c r="AQ1760" s="7" t="n">
        <v>0</v>
      </c>
      <c r="AR1760" s="6" t="s">
        <v>63</v>
      </c>
      <c r="AS1760" s="6" t="s">
        <v>57</v>
      </c>
      <c r="AT1760" s="9" t="str">
        <f aca="false">HYPERLINK("http://catalog.hathitrust.org/Record/001386884","HathiTrust Record")</f>
        <v>HathiTrust Record</v>
      </c>
      <c r="AU1760" s="9" t="str">
        <f aca="false">HYPERLINK("https://creighton-primo.hosted.exlibrisgroup.com/primo-explore/search?tab=default_tab&amp;search_scope=EVERYTHING&amp;vid=01CRU&amp;lang=en_US&amp;offset=0&amp;query=any,contains,991002574259702656","Catalog Record")</f>
        <v>Catalog Record</v>
      </c>
      <c r="AV1760" s="9" t="str">
        <f aca="false">HYPERLINK("http://www.worldcat.org/oclc/374502","WorldCat Record")</f>
        <v>WorldCat Record</v>
      </c>
      <c r="AW1760" s="6" t="s">
        <v>15199</v>
      </c>
      <c r="AX1760" s="6" t="s">
        <v>15200</v>
      </c>
      <c r="AY1760" s="6" t="s">
        <v>15201</v>
      </c>
      <c r="AZ1760" s="6" t="s">
        <v>15201</v>
      </c>
      <c r="BA1760" s="6" t="s">
        <v>15202</v>
      </c>
      <c r="BB1760" s="28"/>
      <c r="BC1760" s="6" t="s">
        <v>15203</v>
      </c>
      <c r="BE1760" s="15" t="s">
        <v>2145</v>
      </c>
      <c r="BF1760" s="6" t="s">
        <v>15204</v>
      </c>
    </row>
    <row r="1761" customFormat="false" ht="94" hidden="false" customHeight="false" outlineLevel="0" collapsed="false">
      <c r="A1761" s="26" t="s">
        <v>63</v>
      </c>
      <c r="B1761" s="27" t="s">
        <v>2129</v>
      </c>
      <c r="C1761" s="27" t="s">
        <v>2130</v>
      </c>
      <c r="D1761" s="27" t="s">
        <v>15205</v>
      </c>
      <c r="E1761" s="27" t="s">
        <v>15206</v>
      </c>
      <c r="F1761" s="27" t="s">
        <v>15207</v>
      </c>
      <c r="G1761" s="28"/>
      <c r="H1761" s="6" t="s">
        <v>63</v>
      </c>
      <c r="I1761" s="6" t="s">
        <v>62</v>
      </c>
      <c r="J1761" s="6" t="s">
        <v>63</v>
      </c>
      <c r="K1761" s="6" t="s">
        <v>63</v>
      </c>
      <c r="L1761" s="6" t="s">
        <v>64</v>
      </c>
      <c r="M1761" s="27" t="s">
        <v>15208</v>
      </c>
      <c r="N1761" s="27" t="s">
        <v>15209</v>
      </c>
      <c r="O1761" s="6" t="s">
        <v>7428</v>
      </c>
      <c r="P1761" s="28"/>
      <c r="Q1761" s="6" t="s">
        <v>67</v>
      </c>
      <c r="R1761" s="6" t="s">
        <v>802</v>
      </c>
      <c r="S1761" s="28"/>
      <c r="T1761" s="6" t="s">
        <v>6138</v>
      </c>
      <c r="U1761" s="7" t="n">
        <v>1</v>
      </c>
      <c r="V1761" s="7" t="n">
        <v>1</v>
      </c>
      <c r="W1761" s="8" t="s">
        <v>8885</v>
      </c>
      <c r="X1761" s="8" t="s">
        <v>8885</v>
      </c>
      <c r="Y1761" s="8" t="s">
        <v>3824</v>
      </c>
      <c r="Z1761" s="8" t="s">
        <v>3824</v>
      </c>
      <c r="AA1761" s="7" t="n">
        <v>355</v>
      </c>
      <c r="AB1761" s="7" t="n">
        <v>256</v>
      </c>
      <c r="AC1761" s="7" t="n">
        <v>264</v>
      </c>
      <c r="AD1761" s="7" t="n">
        <v>2</v>
      </c>
      <c r="AE1761" s="7" t="n">
        <v>2</v>
      </c>
      <c r="AF1761" s="7" t="n">
        <v>10</v>
      </c>
      <c r="AG1761" s="7" t="n">
        <v>11</v>
      </c>
      <c r="AH1761" s="7" t="n">
        <v>0</v>
      </c>
      <c r="AI1761" s="7" t="n">
        <v>1</v>
      </c>
      <c r="AJ1761" s="7" t="n">
        <v>4</v>
      </c>
      <c r="AK1761" s="7" t="n">
        <v>4</v>
      </c>
      <c r="AL1761" s="7" t="n">
        <v>8</v>
      </c>
      <c r="AM1761" s="7" t="n">
        <v>9</v>
      </c>
      <c r="AN1761" s="7" t="n">
        <v>1</v>
      </c>
      <c r="AO1761" s="7" t="n">
        <v>1</v>
      </c>
      <c r="AP1761" s="7" t="n">
        <v>0</v>
      </c>
      <c r="AQ1761" s="7" t="n">
        <v>0</v>
      </c>
      <c r="AR1761" s="6" t="s">
        <v>63</v>
      </c>
      <c r="AS1761" s="6" t="s">
        <v>57</v>
      </c>
      <c r="AT1761" s="9" t="str">
        <f aca="false">HYPERLINK("http://catalog.hathitrust.org/Record/000086718","HathiTrust Record")</f>
        <v>HathiTrust Record</v>
      </c>
      <c r="AU1761" s="9" t="str">
        <f aca="false">HYPERLINK("https://creighton-primo.hosted.exlibrisgroup.com/primo-explore/search?tab=default_tab&amp;search_scope=EVERYTHING&amp;vid=01CRU&amp;lang=en_US&amp;offset=0&amp;query=any,contains,991004177729702656","Catalog Record")</f>
        <v>Catalog Record</v>
      </c>
      <c r="AV1761" s="9" t="str">
        <f aca="false">HYPERLINK("http://www.worldcat.org/oclc/2597826","WorldCat Record")</f>
        <v>WorldCat Record</v>
      </c>
      <c r="AW1761" s="6" t="s">
        <v>15210</v>
      </c>
      <c r="AX1761" s="6" t="s">
        <v>15211</v>
      </c>
      <c r="AY1761" s="6" t="s">
        <v>15212</v>
      </c>
      <c r="AZ1761" s="6" t="s">
        <v>15212</v>
      </c>
      <c r="BA1761" s="6" t="s">
        <v>15213</v>
      </c>
      <c r="BB1761" s="6" t="s">
        <v>15214</v>
      </c>
      <c r="BC1761" s="6" t="s">
        <v>15215</v>
      </c>
      <c r="BE1761" s="15" t="s">
        <v>2145</v>
      </c>
      <c r="BF1761" s="6" t="s">
        <v>15216</v>
      </c>
    </row>
    <row r="1762" customFormat="false" ht="94" hidden="false" customHeight="false" outlineLevel="0" collapsed="false">
      <c r="A1762" s="26" t="s">
        <v>63</v>
      </c>
      <c r="B1762" s="27" t="s">
        <v>2129</v>
      </c>
      <c r="C1762" s="27" t="s">
        <v>2130</v>
      </c>
      <c r="D1762" s="27" t="s">
        <v>15217</v>
      </c>
      <c r="E1762" s="27" t="s">
        <v>15218</v>
      </c>
      <c r="F1762" s="27" t="s">
        <v>15219</v>
      </c>
      <c r="G1762" s="28"/>
      <c r="H1762" s="6" t="s">
        <v>63</v>
      </c>
      <c r="I1762" s="6" t="s">
        <v>62</v>
      </c>
      <c r="J1762" s="6" t="s">
        <v>63</v>
      </c>
      <c r="K1762" s="6" t="s">
        <v>63</v>
      </c>
      <c r="L1762" s="6" t="s">
        <v>64</v>
      </c>
      <c r="M1762" s="27" t="s">
        <v>15220</v>
      </c>
      <c r="N1762" s="27" t="s">
        <v>15221</v>
      </c>
      <c r="O1762" s="6" t="s">
        <v>2811</v>
      </c>
      <c r="P1762" s="28"/>
      <c r="Q1762" s="6" t="s">
        <v>67</v>
      </c>
      <c r="R1762" s="6" t="s">
        <v>401</v>
      </c>
      <c r="S1762" s="28"/>
      <c r="T1762" s="6" t="s">
        <v>6138</v>
      </c>
      <c r="U1762" s="7" t="n">
        <v>3</v>
      </c>
      <c r="V1762" s="7" t="n">
        <v>3</v>
      </c>
      <c r="W1762" s="8" t="s">
        <v>15222</v>
      </c>
      <c r="X1762" s="8" t="s">
        <v>15222</v>
      </c>
      <c r="Y1762" s="8" t="s">
        <v>15163</v>
      </c>
      <c r="Z1762" s="8" t="s">
        <v>15163</v>
      </c>
      <c r="AA1762" s="7" t="n">
        <v>877</v>
      </c>
      <c r="AB1762" s="7" t="n">
        <v>788</v>
      </c>
      <c r="AC1762" s="7" t="n">
        <v>951</v>
      </c>
      <c r="AD1762" s="7" t="n">
        <v>6</v>
      </c>
      <c r="AE1762" s="7" t="n">
        <v>6</v>
      </c>
      <c r="AF1762" s="7" t="n">
        <v>36</v>
      </c>
      <c r="AG1762" s="7" t="n">
        <v>42</v>
      </c>
      <c r="AH1762" s="7" t="n">
        <v>12</v>
      </c>
      <c r="AI1762" s="7" t="n">
        <v>18</v>
      </c>
      <c r="AJ1762" s="7" t="n">
        <v>8</v>
      </c>
      <c r="AK1762" s="7" t="n">
        <v>9</v>
      </c>
      <c r="AL1762" s="7" t="n">
        <v>21</v>
      </c>
      <c r="AM1762" s="7" t="n">
        <v>23</v>
      </c>
      <c r="AN1762" s="7" t="n">
        <v>4</v>
      </c>
      <c r="AO1762" s="7" t="n">
        <v>4</v>
      </c>
      <c r="AP1762" s="7" t="n">
        <v>0</v>
      </c>
      <c r="AQ1762" s="7" t="n">
        <v>0</v>
      </c>
      <c r="AR1762" s="6" t="s">
        <v>63</v>
      </c>
      <c r="AS1762" s="6" t="s">
        <v>57</v>
      </c>
      <c r="AT1762" s="9" t="str">
        <f aca="false">HYPERLINK("http://catalog.hathitrust.org/Record/000003730","HathiTrust Record")</f>
        <v>HathiTrust Record</v>
      </c>
      <c r="AU1762" s="9" t="str">
        <f aca="false">HYPERLINK("https://creighton-primo.hosted.exlibrisgroup.com/primo-explore/search?tab=default_tab&amp;search_scope=EVERYTHING&amp;vid=01CRU&amp;lang=en_US&amp;offset=0&amp;query=any,contains,991002005419702656","Catalog Record")</f>
        <v>Catalog Record</v>
      </c>
      <c r="AV1762" s="9" t="str">
        <f aca="false">HYPERLINK("http://www.worldcat.org/oclc/258004","WorldCat Record")</f>
        <v>WorldCat Record</v>
      </c>
      <c r="AW1762" s="6" t="s">
        <v>15223</v>
      </c>
      <c r="AX1762" s="6" t="s">
        <v>15224</v>
      </c>
      <c r="AY1762" s="6" t="s">
        <v>15225</v>
      </c>
      <c r="AZ1762" s="6" t="s">
        <v>15225</v>
      </c>
      <c r="BA1762" s="6" t="s">
        <v>15226</v>
      </c>
      <c r="BB1762" s="6" t="s">
        <v>15227</v>
      </c>
      <c r="BC1762" s="6" t="s">
        <v>15228</v>
      </c>
      <c r="BE1762" s="15" t="s">
        <v>2145</v>
      </c>
      <c r="BF1762" s="6" t="s">
        <v>15229</v>
      </c>
    </row>
    <row r="1763" customFormat="false" ht="82.5" hidden="false" customHeight="false" outlineLevel="0" collapsed="false">
      <c r="A1763" s="26" t="s">
        <v>63</v>
      </c>
      <c r="B1763" s="27" t="s">
        <v>2129</v>
      </c>
      <c r="C1763" s="27" t="s">
        <v>2130</v>
      </c>
      <c r="D1763" s="27" t="s">
        <v>15230</v>
      </c>
      <c r="E1763" s="27" t="s">
        <v>15231</v>
      </c>
      <c r="F1763" s="27" t="s">
        <v>15232</v>
      </c>
      <c r="G1763" s="28"/>
      <c r="H1763" s="6" t="s">
        <v>63</v>
      </c>
      <c r="I1763" s="6" t="s">
        <v>62</v>
      </c>
      <c r="J1763" s="6" t="s">
        <v>63</v>
      </c>
      <c r="K1763" s="6" t="s">
        <v>63</v>
      </c>
      <c r="L1763" s="6" t="s">
        <v>64</v>
      </c>
      <c r="M1763" s="27" t="s">
        <v>15233</v>
      </c>
      <c r="N1763" s="27" t="s">
        <v>15234</v>
      </c>
      <c r="O1763" s="6" t="s">
        <v>7428</v>
      </c>
      <c r="P1763" s="28"/>
      <c r="Q1763" s="6" t="s">
        <v>67</v>
      </c>
      <c r="R1763" s="6" t="s">
        <v>222</v>
      </c>
      <c r="S1763" s="27" t="s">
        <v>15235</v>
      </c>
      <c r="T1763" s="6" t="s">
        <v>6138</v>
      </c>
      <c r="U1763" s="7" t="n">
        <v>1</v>
      </c>
      <c r="V1763" s="7" t="n">
        <v>1</v>
      </c>
      <c r="W1763" s="8" t="s">
        <v>169</v>
      </c>
      <c r="X1763" s="8" t="s">
        <v>169</v>
      </c>
      <c r="Y1763" s="8" t="s">
        <v>15163</v>
      </c>
      <c r="Z1763" s="8" t="s">
        <v>15163</v>
      </c>
      <c r="AA1763" s="7" t="n">
        <v>919</v>
      </c>
      <c r="AB1763" s="7" t="n">
        <v>829</v>
      </c>
      <c r="AC1763" s="7" t="n">
        <v>968</v>
      </c>
      <c r="AD1763" s="7" t="n">
        <v>9</v>
      </c>
      <c r="AE1763" s="7" t="n">
        <v>11</v>
      </c>
      <c r="AF1763" s="7" t="n">
        <v>28</v>
      </c>
      <c r="AG1763" s="7" t="n">
        <v>34</v>
      </c>
      <c r="AH1763" s="7" t="n">
        <v>11</v>
      </c>
      <c r="AI1763" s="7" t="n">
        <v>14</v>
      </c>
      <c r="AJ1763" s="7" t="n">
        <v>8</v>
      </c>
      <c r="AK1763" s="7" t="n">
        <v>8</v>
      </c>
      <c r="AL1763" s="7" t="n">
        <v>15</v>
      </c>
      <c r="AM1763" s="7" t="n">
        <v>16</v>
      </c>
      <c r="AN1763" s="7" t="n">
        <v>5</v>
      </c>
      <c r="AO1763" s="7" t="n">
        <v>7</v>
      </c>
      <c r="AP1763" s="7" t="n">
        <v>0</v>
      </c>
      <c r="AQ1763" s="7" t="n">
        <v>0</v>
      </c>
      <c r="AR1763" s="6" t="s">
        <v>63</v>
      </c>
      <c r="AS1763" s="6" t="s">
        <v>63</v>
      </c>
      <c r="AT1763" s="28"/>
      <c r="AU1763" s="9" t="str">
        <f aca="false">HYPERLINK("https://creighton-primo.hosted.exlibrisgroup.com/primo-explore/search?tab=default_tab&amp;search_scope=EVERYTHING&amp;vid=01CRU&amp;lang=en_US&amp;offset=0&amp;query=any,contains,991004009069702656","Catalog Record")</f>
        <v>Catalog Record</v>
      </c>
      <c r="AV1763" s="9" t="str">
        <f aca="false">HYPERLINK("http://www.worldcat.org/oclc/2089598","WorldCat Record")</f>
        <v>WorldCat Record</v>
      </c>
      <c r="AW1763" s="6" t="s">
        <v>15236</v>
      </c>
      <c r="AX1763" s="6" t="s">
        <v>15237</v>
      </c>
      <c r="AY1763" s="6" t="s">
        <v>15238</v>
      </c>
      <c r="AZ1763" s="6" t="s">
        <v>15238</v>
      </c>
      <c r="BA1763" s="6" t="s">
        <v>15239</v>
      </c>
      <c r="BB1763" s="6" t="s">
        <v>15240</v>
      </c>
      <c r="BC1763" s="6" t="s">
        <v>15241</v>
      </c>
      <c r="BE1763" s="15" t="s">
        <v>2145</v>
      </c>
      <c r="BF1763" s="6" t="s">
        <v>15242</v>
      </c>
    </row>
    <row r="1764" customFormat="false" ht="127.85" hidden="false" customHeight="false" outlineLevel="0" collapsed="false">
      <c r="A1764" s="26" t="s">
        <v>63</v>
      </c>
      <c r="B1764" s="27" t="s">
        <v>2129</v>
      </c>
      <c r="C1764" s="27" t="s">
        <v>2130</v>
      </c>
      <c r="D1764" s="27" t="s">
        <v>15243</v>
      </c>
      <c r="E1764" s="27" t="s">
        <v>15244</v>
      </c>
      <c r="F1764" s="27" t="s">
        <v>15245</v>
      </c>
      <c r="G1764" s="28"/>
      <c r="H1764" s="6" t="s">
        <v>63</v>
      </c>
      <c r="I1764" s="6" t="s">
        <v>62</v>
      </c>
      <c r="J1764" s="6" t="s">
        <v>63</v>
      </c>
      <c r="K1764" s="6" t="s">
        <v>63</v>
      </c>
      <c r="L1764" s="6" t="s">
        <v>64</v>
      </c>
      <c r="M1764" s="27" t="s">
        <v>15246</v>
      </c>
      <c r="N1764" s="27" t="s">
        <v>15247</v>
      </c>
      <c r="O1764" s="6" t="s">
        <v>137</v>
      </c>
      <c r="P1764" s="28"/>
      <c r="Q1764" s="6" t="s">
        <v>67</v>
      </c>
      <c r="R1764" s="6" t="s">
        <v>68</v>
      </c>
      <c r="S1764" s="27" t="s">
        <v>15248</v>
      </c>
      <c r="T1764" s="6" t="s">
        <v>6138</v>
      </c>
      <c r="U1764" s="7" t="n">
        <v>1</v>
      </c>
      <c r="V1764" s="7" t="n">
        <v>1</v>
      </c>
      <c r="W1764" s="8" t="s">
        <v>10068</v>
      </c>
      <c r="X1764" s="8" t="s">
        <v>10068</v>
      </c>
      <c r="Y1764" s="8" t="s">
        <v>8135</v>
      </c>
      <c r="Z1764" s="8" t="s">
        <v>8135</v>
      </c>
      <c r="AA1764" s="7" t="n">
        <v>289</v>
      </c>
      <c r="AB1764" s="7" t="n">
        <v>238</v>
      </c>
      <c r="AC1764" s="7" t="n">
        <v>1017</v>
      </c>
      <c r="AD1764" s="7" t="n">
        <v>2</v>
      </c>
      <c r="AE1764" s="7" t="n">
        <v>6</v>
      </c>
      <c r="AF1764" s="7" t="n">
        <v>18</v>
      </c>
      <c r="AG1764" s="7" t="n">
        <v>34</v>
      </c>
      <c r="AH1764" s="7" t="n">
        <v>5</v>
      </c>
      <c r="AI1764" s="7" t="n">
        <v>14</v>
      </c>
      <c r="AJ1764" s="7" t="n">
        <v>4</v>
      </c>
      <c r="AK1764" s="7" t="n">
        <v>8</v>
      </c>
      <c r="AL1764" s="7" t="n">
        <v>13</v>
      </c>
      <c r="AM1764" s="7" t="n">
        <v>16</v>
      </c>
      <c r="AN1764" s="7" t="n">
        <v>1</v>
      </c>
      <c r="AO1764" s="7" t="n">
        <v>5</v>
      </c>
      <c r="AP1764" s="7" t="n">
        <v>0</v>
      </c>
      <c r="AQ1764" s="7" t="n">
        <v>0</v>
      </c>
      <c r="AR1764" s="6" t="s">
        <v>63</v>
      </c>
      <c r="AS1764" s="6" t="s">
        <v>57</v>
      </c>
      <c r="AT1764" s="9" t="str">
        <f aca="false">HYPERLINK("http://catalog.hathitrust.org/Record/003159286","HathiTrust Record")</f>
        <v>HathiTrust Record</v>
      </c>
      <c r="AU1764" s="9" t="str">
        <f aca="false">HYPERLINK("https://creighton-primo.hosted.exlibrisgroup.com/primo-explore/search?tab=default_tab&amp;search_scope=EVERYTHING&amp;vid=01CRU&amp;lang=en_US&amp;offset=0&amp;query=any,contains,991003731129702656","Catalog Record")</f>
        <v>Catalog Record</v>
      </c>
      <c r="AV1764" s="9" t="str">
        <f aca="false">HYPERLINK("http://www.worldcat.org/oclc/35990197","WorldCat Record")</f>
        <v>WorldCat Record</v>
      </c>
      <c r="AW1764" s="6" t="s">
        <v>15249</v>
      </c>
      <c r="AX1764" s="6" t="s">
        <v>15250</v>
      </c>
      <c r="AY1764" s="6" t="s">
        <v>15251</v>
      </c>
      <c r="AZ1764" s="6" t="s">
        <v>15251</v>
      </c>
      <c r="BA1764" s="6" t="s">
        <v>15252</v>
      </c>
      <c r="BB1764" s="6" t="s">
        <v>15253</v>
      </c>
      <c r="BC1764" s="6" t="s">
        <v>15254</v>
      </c>
      <c r="BE1764" s="15" t="s">
        <v>2145</v>
      </c>
      <c r="BF1764" s="6" t="s">
        <v>15255</v>
      </c>
    </row>
    <row r="1765" customFormat="false" ht="94" hidden="false" customHeight="false" outlineLevel="0" collapsed="false">
      <c r="A1765" s="26" t="s">
        <v>63</v>
      </c>
      <c r="B1765" s="27" t="s">
        <v>2129</v>
      </c>
      <c r="C1765" s="27" t="s">
        <v>2130</v>
      </c>
      <c r="D1765" s="27" t="s">
        <v>15256</v>
      </c>
      <c r="E1765" s="27" t="s">
        <v>15257</v>
      </c>
      <c r="F1765" s="27" t="s">
        <v>15258</v>
      </c>
      <c r="G1765" s="28"/>
      <c r="H1765" s="6" t="s">
        <v>63</v>
      </c>
      <c r="I1765" s="6" t="s">
        <v>62</v>
      </c>
      <c r="J1765" s="6" t="s">
        <v>63</v>
      </c>
      <c r="K1765" s="6" t="s">
        <v>63</v>
      </c>
      <c r="L1765" s="6" t="s">
        <v>64</v>
      </c>
      <c r="M1765" s="27" t="s">
        <v>15259</v>
      </c>
      <c r="N1765" s="27" t="s">
        <v>15260</v>
      </c>
      <c r="O1765" s="6" t="s">
        <v>195</v>
      </c>
      <c r="P1765" s="28"/>
      <c r="Q1765" s="6" t="s">
        <v>67</v>
      </c>
      <c r="R1765" s="6" t="s">
        <v>123</v>
      </c>
      <c r="S1765" s="28"/>
      <c r="T1765" s="6" t="s">
        <v>6138</v>
      </c>
      <c r="U1765" s="7" t="n">
        <v>2</v>
      </c>
      <c r="V1765" s="7" t="n">
        <v>2</v>
      </c>
      <c r="W1765" s="8" t="s">
        <v>169</v>
      </c>
      <c r="X1765" s="8" t="s">
        <v>169</v>
      </c>
      <c r="Y1765" s="8" t="s">
        <v>15163</v>
      </c>
      <c r="Z1765" s="8" t="s">
        <v>15163</v>
      </c>
      <c r="AA1765" s="7" t="n">
        <v>312</v>
      </c>
      <c r="AB1765" s="7" t="n">
        <v>235</v>
      </c>
      <c r="AC1765" s="7" t="n">
        <v>563</v>
      </c>
      <c r="AD1765" s="7" t="n">
        <v>4</v>
      </c>
      <c r="AE1765" s="7" t="n">
        <v>4</v>
      </c>
      <c r="AF1765" s="7" t="n">
        <v>13</v>
      </c>
      <c r="AG1765" s="7" t="n">
        <v>29</v>
      </c>
      <c r="AH1765" s="7" t="n">
        <v>6</v>
      </c>
      <c r="AI1765" s="7" t="n">
        <v>11</v>
      </c>
      <c r="AJ1765" s="7" t="n">
        <v>3</v>
      </c>
      <c r="AK1765" s="7" t="n">
        <v>6</v>
      </c>
      <c r="AL1765" s="7" t="n">
        <v>4</v>
      </c>
      <c r="AM1765" s="7" t="n">
        <v>16</v>
      </c>
      <c r="AN1765" s="7" t="n">
        <v>2</v>
      </c>
      <c r="AO1765" s="7" t="n">
        <v>2</v>
      </c>
      <c r="AP1765" s="7" t="n">
        <v>0</v>
      </c>
      <c r="AQ1765" s="7" t="n">
        <v>0</v>
      </c>
      <c r="AR1765" s="6" t="s">
        <v>63</v>
      </c>
      <c r="AS1765" s="6" t="s">
        <v>57</v>
      </c>
      <c r="AT1765" s="9" t="str">
        <f aca="false">HYPERLINK("http://catalog.hathitrust.org/Record/001382633","HathiTrust Record")</f>
        <v>HathiTrust Record</v>
      </c>
      <c r="AU1765" s="9" t="str">
        <f aca="false">HYPERLINK("https://creighton-primo.hosted.exlibrisgroup.com/primo-explore/search?tab=default_tab&amp;search_scope=EVERYTHING&amp;vid=01CRU&amp;lang=en_US&amp;offset=0&amp;query=any,contains,991003782489702656","Catalog Record")</f>
        <v>Catalog Record</v>
      </c>
      <c r="AV1765" s="9" t="str">
        <f aca="false">HYPERLINK("http://www.worldcat.org/oclc/1496477","WorldCat Record")</f>
        <v>WorldCat Record</v>
      </c>
      <c r="AW1765" s="6" t="s">
        <v>15261</v>
      </c>
      <c r="AX1765" s="6" t="s">
        <v>15262</v>
      </c>
      <c r="AY1765" s="6" t="s">
        <v>15263</v>
      </c>
      <c r="AZ1765" s="6" t="s">
        <v>15263</v>
      </c>
      <c r="BA1765" s="6" t="s">
        <v>15264</v>
      </c>
      <c r="BB1765" s="28"/>
      <c r="BC1765" s="6" t="s">
        <v>15265</v>
      </c>
      <c r="BE1765" s="15" t="s">
        <v>2145</v>
      </c>
      <c r="BF1765" s="6" t="s">
        <v>15266</v>
      </c>
    </row>
    <row r="1766" customFormat="false" ht="163" hidden="false" customHeight="false" outlineLevel="0" collapsed="false">
      <c r="A1766" s="26" t="s">
        <v>63</v>
      </c>
      <c r="B1766" s="27" t="s">
        <v>2129</v>
      </c>
      <c r="C1766" s="27" t="s">
        <v>2130</v>
      </c>
      <c r="D1766" s="27" t="s">
        <v>15267</v>
      </c>
      <c r="E1766" s="27" t="s">
        <v>15268</v>
      </c>
      <c r="F1766" s="27" t="s">
        <v>15269</v>
      </c>
      <c r="G1766" s="28"/>
      <c r="H1766" s="6" t="s">
        <v>63</v>
      </c>
      <c r="I1766" s="6" t="s">
        <v>62</v>
      </c>
      <c r="J1766" s="6" t="s">
        <v>63</v>
      </c>
      <c r="K1766" s="6" t="s">
        <v>63</v>
      </c>
      <c r="L1766" s="6" t="s">
        <v>64</v>
      </c>
      <c r="M1766" s="27" t="s">
        <v>15270</v>
      </c>
      <c r="N1766" s="27" t="s">
        <v>15271</v>
      </c>
      <c r="O1766" s="6" t="s">
        <v>2411</v>
      </c>
      <c r="P1766" s="28"/>
      <c r="Q1766" s="6" t="s">
        <v>67</v>
      </c>
      <c r="R1766" s="6" t="s">
        <v>1108</v>
      </c>
      <c r="S1766" s="28"/>
      <c r="T1766" s="6" t="s">
        <v>6138</v>
      </c>
      <c r="U1766" s="7" t="n">
        <v>4</v>
      </c>
      <c r="V1766" s="7" t="n">
        <v>4</v>
      </c>
      <c r="W1766" s="8" t="s">
        <v>15272</v>
      </c>
      <c r="X1766" s="8" t="s">
        <v>15272</v>
      </c>
      <c r="Y1766" s="8" t="s">
        <v>15273</v>
      </c>
      <c r="Z1766" s="8" t="s">
        <v>15273</v>
      </c>
      <c r="AA1766" s="7" t="n">
        <v>17</v>
      </c>
      <c r="AB1766" s="7" t="n">
        <v>12</v>
      </c>
      <c r="AC1766" s="7" t="n">
        <v>545</v>
      </c>
      <c r="AD1766" s="7" t="n">
        <v>1</v>
      </c>
      <c r="AE1766" s="7" t="n">
        <v>8</v>
      </c>
      <c r="AF1766" s="7" t="n">
        <v>1</v>
      </c>
      <c r="AG1766" s="7" t="n">
        <v>38</v>
      </c>
      <c r="AH1766" s="7" t="n">
        <v>0</v>
      </c>
      <c r="AI1766" s="7" t="n">
        <v>14</v>
      </c>
      <c r="AJ1766" s="7" t="n">
        <v>0</v>
      </c>
      <c r="AK1766" s="7" t="n">
        <v>9</v>
      </c>
      <c r="AL1766" s="7" t="n">
        <v>1</v>
      </c>
      <c r="AM1766" s="7" t="n">
        <v>21</v>
      </c>
      <c r="AN1766" s="7" t="n">
        <v>0</v>
      </c>
      <c r="AO1766" s="7" t="n">
        <v>6</v>
      </c>
      <c r="AP1766" s="7" t="n">
        <v>0</v>
      </c>
      <c r="AQ1766" s="7" t="n">
        <v>0</v>
      </c>
      <c r="AR1766" s="6" t="s">
        <v>63</v>
      </c>
      <c r="AS1766" s="6" t="s">
        <v>63</v>
      </c>
      <c r="AT1766" s="28"/>
      <c r="AU1766" s="9" t="str">
        <f aca="false">HYPERLINK("https://creighton-primo.hosted.exlibrisgroup.com/primo-explore/search?tab=default_tab&amp;search_scope=EVERYTHING&amp;vid=01CRU&amp;lang=en_US&amp;offset=0&amp;query=any,contains,991001836139702656","Catalog Record")</f>
        <v>Catalog Record</v>
      </c>
      <c r="AV1766" s="9" t="str">
        <f aca="false">HYPERLINK("http://www.worldcat.org/oclc/23063225","WorldCat Record")</f>
        <v>WorldCat Record</v>
      </c>
      <c r="AW1766" s="6" t="s">
        <v>15274</v>
      </c>
      <c r="AX1766" s="6" t="s">
        <v>15275</v>
      </c>
      <c r="AY1766" s="6" t="s">
        <v>15276</v>
      </c>
      <c r="AZ1766" s="6" t="s">
        <v>15276</v>
      </c>
      <c r="BA1766" s="6" t="s">
        <v>15277</v>
      </c>
      <c r="BB1766" s="6" t="s">
        <v>15278</v>
      </c>
      <c r="BC1766" s="6" t="s">
        <v>15279</v>
      </c>
      <c r="BE1766" s="15" t="s">
        <v>2145</v>
      </c>
      <c r="BF1766" s="6" t="s">
        <v>15280</v>
      </c>
    </row>
    <row r="1767" customFormat="false" ht="82.5" hidden="false" customHeight="false" outlineLevel="0" collapsed="false">
      <c r="A1767" s="26" t="s">
        <v>63</v>
      </c>
      <c r="B1767" s="27" t="s">
        <v>2129</v>
      </c>
      <c r="C1767" s="27" t="s">
        <v>2130</v>
      </c>
      <c r="D1767" s="27" t="s">
        <v>15281</v>
      </c>
      <c r="E1767" s="27" t="s">
        <v>15282</v>
      </c>
      <c r="F1767" s="27" t="s">
        <v>15283</v>
      </c>
      <c r="G1767" s="28"/>
      <c r="H1767" s="6" t="s">
        <v>63</v>
      </c>
      <c r="I1767" s="6" t="s">
        <v>62</v>
      </c>
      <c r="J1767" s="6" t="s">
        <v>63</v>
      </c>
      <c r="K1767" s="6" t="s">
        <v>63</v>
      </c>
      <c r="L1767" s="6" t="s">
        <v>64</v>
      </c>
      <c r="M1767" s="27" t="s">
        <v>6242</v>
      </c>
      <c r="N1767" s="27" t="s">
        <v>15284</v>
      </c>
      <c r="O1767" s="6" t="s">
        <v>2623</v>
      </c>
      <c r="P1767" s="28"/>
      <c r="Q1767" s="6" t="s">
        <v>67</v>
      </c>
      <c r="R1767" s="6" t="s">
        <v>272</v>
      </c>
      <c r="S1767" s="28"/>
      <c r="T1767" s="6" t="s">
        <v>6138</v>
      </c>
      <c r="U1767" s="7" t="n">
        <v>7</v>
      </c>
      <c r="V1767" s="7" t="n">
        <v>7</v>
      </c>
      <c r="W1767" s="8" t="s">
        <v>4694</v>
      </c>
      <c r="X1767" s="8" t="s">
        <v>4694</v>
      </c>
      <c r="Y1767" s="8" t="s">
        <v>15285</v>
      </c>
      <c r="Z1767" s="8" t="s">
        <v>15285</v>
      </c>
      <c r="AA1767" s="7" t="n">
        <v>819</v>
      </c>
      <c r="AB1767" s="7" t="n">
        <v>679</v>
      </c>
      <c r="AC1767" s="7" t="n">
        <v>1152</v>
      </c>
      <c r="AD1767" s="7" t="n">
        <v>6</v>
      </c>
      <c r="AE1767" s="7" t="n">
        <v>30</v>
      </c>
      <c r="AF1767" s="7" t="n">
        <v>40</v>
      </c>
      <c r="AG1767" s="7" t="n">
        <v>57</v>
      </c>
      <c r="AH1767" s="7" t="n">
        <v>15</v>
      </c>
      <c r="AI1767" s="7" t="n">
        <v>21</v>
      </c>
      <c r="AJ1767" s="7" t="n">
        <v>9</v>
      </c>
      <c r="AK1767" s="7" t="n">
        <v>11</v>
      </c>
      <c r="AL1767" s="7" t="n">
        <v>23</v>
      </c>
      <c r="AM1767" s="7" t="n">
        <v>24</v>
      </c>
      <c r="AN1767" s="7" t="n">
        <v>4</v>
      </c>
      <c r="AO1767" s="7" t="n">
        <v>14</v>
      </c>
      <c r="AP1767" s="7" t="n">
        <v>0</v>
      </c>
      <c r="AQ1767" s="7" t="n">
        <v>0</v>
      </c>
      <c r="AR1767" s="6" t="s">
        <v>63</v>
      </c>
      <c r="AS1767" s="6" t="s">
        <v>63</v>
      </c>
      <c r="AT1767" s="28"/>
      <c r="AU1767" s="9" t="str">
        <f aca="false">HYPERLINK("https://creighton-primo.hosted.exlibrisgroup.com/primo-explore/search?tab=default_tab&amp;search_scope=EVERYTHING&amp;vid=01CRU&amp;lang=en_US&amp;offset=0&amp;query=any,contains,991004991889702656","Catalog Record")</f>
        <v>Catalog Record</v>
      </c>
      <c r="AV1767" s="9" t="str">
        <f aca="false">HYPERLINK("http://www.worldcat.org/oclc/6487553","WorldCat Record")</f>
        <v>WorldCat Record</v>
      </c>
      <c r="AW1767" s="6" t="s">
        <v>15286</v>
      </c>
      <c r="AX1767" s="6" t="s">
        <v>15287</v>
      </c>
      <c r="AY1767" s="6" t="s">
        <v>15288</v>
      </c>
      <c r="AZ1767" s="6" t="s">
        <v>15288</v>
      </c>
      <c r="BA1767" s="6" t="s">
        <v>15289</v>
      </c>
      <c r="BB1767" s="6" t="s">
        <v>15290</v>
      </c>
      <c r="BC1767" s="6" t="s">
        <v>15291</v>
      </c>
      <c r="BE1767" s="15" t="s">
        <v>2145</v>
      </c>
      <c r="BF1767" s="6" t="s">
        <v>15292</v>
      </c>
    </row>
    <row r="1768" customFormat="false" ht="128.5" hidden="false" customHeight="false" outlineLevel="0" collapsed="false">
      <c r="A1768" s="26" t="s">
        <v>63</v>
      </c>
      <c r="B1768" s="27" t="s">
        <v>2129</v>
      </c>
      <c r="C1768" s="27" t="s">
        <v>2130</v>
      </c>
      <c r="D1768" s="27" t="s">
        <v>15293</v>
      </c>
      <c r="E1768" s="27" t="s">
        <v>15294</v>
      </c>
      <c r="F1768" s="27" t="s">
        <v>15295</v>
      </c>
      <c r="G1768" s="28"/>
      <c r="H1768" s="6" t="s">
        <v>63</v>
      </c>
      <c r="I1768" s="6" t="s">
        <v>62</v>
      </c>
      <c r="J1768" s="6" t="s">
        <v>63</v>
      </c>
      <c r="K1768" s="6" t="s">
        <v>63</v>
      </c>
      <c r="L1768" s="6" t="s">
        <v>64</v>
      </c>
      <c r="M1768" s="27" t="s">
        <v>6242</v>
      </c>
      <c r="N1768" s="27" t="s">
        <v>15296</v>
      </c>
      <c r="O1768" s="6" t="s">
        <v>2893</v>
      </c>
      <c r="P1768" s="28"/>
      <c r="Q1768" s="6" t="s">
        <v>67</v>
      </c>
      <c r="R1768" s="6" t="s">
        <v>1108</v>
      </c>
      <c r="S1768" s="28"/>
      <c r="T1768" s="6" t="s">
        <v>6138</v>
      </c>
      <c r="U1768" s="7" t="n">
        <v>6</v>
      </c>
      <c r="V1768" s="7" t="n">
        <v>6</v>
      </c>
      <c r="W1768" s="8" t="s">
        <v>15297</v>
      </c>
      <c r="X1768" s="8" t="s">
        <v>15297</v>
      </c>
      <c r="Y1768" s="8" t="s">
        <v>15163</v>
      </c>
      <c r="Z1768" s="8" t="s">
        <v>15163</v>
      </c>
      <c r="AA1768" s="7" t="n">
        <v>602</v>
      </c>
      <c r="AB1768" s="7" t="n">
        <v>493</v>
      </c>
      <c r="AC1768" s="7" t="n">
        <v>652</v>
      </c>
      <c r="AD1768" s="7" t="n">
        <v>5</v>
      </c>
      <c r="AE1768" s="7" t="n">
        <v>5</v>
      </c>
      <c r="AF1768" s="7" t="n">
        <v>29</v>
      </c>
      <c r="AG1768" s="7" t="n">
        <v>38</v>
      </c>
      <c r="AH1768" s="7" t="n">
        <v>7</v>
      </c>
      <c r="AI1768" s="7" t="n">
        <v>13</v>
      </c>
      <c r="AJ1768" s="7" t="n">
        <v>7</v>
      </c>
      <c r="AK1768" s="7" t="n">
        <v>10</v>
      </c>
      <c r="AL1768" s="7" t="n">
        <v>18</v>
      </c>
      <c r="AM1768" s="7" t="n">
        <v>22</v>
      </c>
      <c r="AN1768" s="7" t="n">
        <v>3</v>
      </c>
      <c r="AO1768" s="7" t="n">
        <v>3</v>
      </c>
      <c r="AP1768" s="7" t="n">
        <v>0</v>
      </c>
      <c r="AQ1768" s="7" t="n">
        <v>0</v>
      </c>
      <c r="AR1768" s="6" t="s">
        <v>63</v>
      </c>
      <c r="AS1768" s="6" t="s">
        <v>63</v>
      </c>
      <c r="AT1768" s="28"/>
      <c r="AU1768" s="9" t="str">
        <f aca="false">HYPERLINK("https://creighton-primo.hosted.exlibrisgroup.com/primo-explore/search?tab=default_tab&amp;search_scope=EVERYTHING&amp;vid=01CRU&amp;lang=en_US&amp;offset=0&amp;query=any,contains,991003540409702656","Catalog Record")</f>
        <v>Catalog Record</v>
      </c>
      <c r="AV1768" s="9" t="str">
        <f aca="false">HYPERLINK("http://www.worldcat.org/oclc/1104386","WorldCat Record")</f>
        <v>WorldCat Record</v>
      </c>
      <c r="AW1768" s="6" t="s">
        <v>15298</v>
      </c>
      <c r="AX1768" s="6" t="s">
        <v>15299</v>
      </c>
      <c r="AY1768" s="6" t="s">
        <v>15300</v>
      </c>
      <c r="AZ1768" s="6" t="s">
        <v>15300</v>
      </c>
      <c r="BA1768" s="6" t="s">
        <v>15301</v>
      </c>
      <c r="BB1768" s="6" t="s">
        <v>15302</v>
      </c>
      <c r="BC1768" s="6" t="s">
        <v>15303</v>
      </c>
      <c r="BE1768" s="15" t="s">
        <v>2145</v>
      </c>
      <c r="BF1768" s="6" t="s">
        <v>15304</v>
      </c>
    </row>
    <row r="1769" customFormat="false" ht="255" hidden="false" customHeight="false" outlineLevel="0" collapsed="false">
      <c r="A1769" s="26" t="s">
        <v>63</v>
      </c>
      <c r="B1769" s="27" t="s">
        <v>2129</v>
      </c>
      <c r="C1769" s="27" t="s">
        <v>2130</v>
      </c>
      <c r="D1769" s="27" t="s">
        <v>15305</v>
      </c>
      <c r="E1769" s="27" t="s">
        <v>15306</v>
      </c>
      <c r="F1769" s="27" t="s">
        <v>15307</v>
      </c>
      <c r="G1769" s="28"/>
      <c r="H1769" s="6" t="s">
        <v>63</v>
      </c>
      <c r="I1769" s="6" t="s">
        <v>62</v>
      </c>
      <c r="J1769" s="6" t="s">
        <v>63</v>
      </c>
      <c r="K1769" s="6" t="s">
        <v>63</v>
      </c>
      <c r="L1769" s="6" t="s">
        <v>64</v>
      </c>
      <c r="M1769" s="27" t="s">
        <v>14999</v>
      </c>
      <c r="N1769" s="27" t="s">
        <v>15308</v>
      </c>
      <c r="O1769" s="6" t="s">
        <v>180</v>
      </c>
      <c r="P1769" s="28"/>
      <c r="Q1769" s="6" t="s">
        <v>4945</v>
      </c>
      <c r="R1769" s="6" t="s">
        <v>1086</v>
      </c>
      <c r="S1769" s="28"/>
      <c r="T1769" s="6" t="s">
        <v>6138</v>
      </c>
      <c r="U1769" s="7" t="n">
        <v>5</v>
      </c>
      <c r="V1769" s="7" t="n">
        <v>5</v>
      </c>
      <c r="W1769" s="8" t="s">
        <v>6038</v>
      </c>
      <c r="X1769" s="8" t="s">
        <v>6038</v>
      </c>
      <c r="Y1769" s="8" t="s">
        <v>2868</v>
      </c>
      <c r="Z1769" s="8" t="s">
        <v>2868</v>
      </c>
      <c r="AA1769" s="7" t="n">
        <v>51</v>
      </c>
      <c r="AB1769" s="7" t="n">
        <v>42</v>
      </c>
      <c r="AC1769" s="7" t="n">
        <v>84</v>
      </c>
      <c r="AD1769" s="7" t="n">
        <v>1</v>
      </c>
      <c r="AE1769" s="7" t="n">
        <v>1</v>
      </c>
      <c r="AF1769" s="7" t="n">
        <v>14</v>
      </c>
      <c r="AG1769" s="7" t="n">
        <v>17</v>
      </c>
      <c r="AH1769" s="7" t="n">
        <v>4</v>
      </c>
      <c r="AI1769" s="7" t="n">
        <v>5</v>
      </c>
      <c r="AJ1769" s="7" t="n">
        <v>3</v>
      </c>
      <c r="AK1769" s="7" t="n">
        <v>6</v>
      </c>
      <c r="AL1769" s="7" t="n">
        <v>12</v>
      </c>
      <c r="AM1769" s="7" t="n">
        <v>12</v>
      </c>
      <c r="AN1769" s="7" t="n">
        <v>0</v>
      </c>
      <c r="AO1769" s="7" t="n">
        <v>0</v>
      </c>
      <c r="AP1769" s="7" t="n">
        <v>0</v>
      </c>
      <c r="AQ1769" s="7" t="n">
        <v>0</v>
      </c>
      <c r="AR1769" s="6" t="s">
        <v>63</v>
      </c>
      <c r="AS1769" s="6" t="s">
        <v>63</v>
      </c>
      <c r="AT1769" s="28"/>
      <c r="AU1769" s="9" t="str">
        <f aca="false">HYPERLINK("https://creighton-primo.hosted.exlibrisgroup.com/primo-explore/search?tab=default_tab&amp;search_scope=EVERYTHING&amp;vid=01CRU&amp;lang=en_US&amp;offset=0&amp;query=any,contains,991005369619702656","Catalog Record")</f>
        <v>Catalog Record</v>
      </c>
      <c r="AV1769" s="9" t="str">
        <f aca="false">HYPERLINK("http://www.worldcat.org/oclc/2344618","WorldCat Record")</f>
        <v>WorldCat Record</v>
      </c>
      <c r="AW1769" s="6" t="s">
        <v>15309</v>
      </c>
      <c r="AX1769" s="6" t="s">
        <v>15310</v>
      </c>
      <c r="AY1769" s="6" t="s">
        <v>15311</v>
      </c>
      <c r="AZ1769" s="6" t="s">
        <v>15311</v>
      </c>
      <c r="BA1769" s="6" t="s">
        <v>15312</v>
      </c>
      <c r="BB1769" s="28"/>
      <c r="BC1769" s="6" t="s">
        <v>15313</v>
      </c>
      <c r="BE1769" s="15" t="s">
        <v>2145</v>
      </c>
      <c r="BF1769" s="6" t="s">
        <v>15314</v>
      </c>
    </row>
    <row r="1770" customFormat="false" ht="163" hidden="false" customHeight="false" outlineLevel="0" collapsed="false">
      <c r="A1770" s="26" t="s">
        <v>63</v>
      </c>
      <c r="B1770" s="27" t="s">
        <v>2129</v>
      </c>
      <c r="C1770" s="27" t="s">
        <v>2130</v>
      </c>
      <c r="D1770" s="27" t="s">
        <v>15315</v>
      </c>
      <c r="E1770" s="27" t="s">
        <v>15316</v>
      </c>
      <c r="F1770" s="27" t="s">
        <v>15317</v>
      </c>
      <c r="G1770" s="28"/>
      <c r="H1770" s="6" t="s">
        <v>63</v>
      </c>
      <c r="I1770" s="6" t="s">
        <v>62</v>
      </c>
      <c r="J1770" s="6" t="s">
        <v>63</v>
      </c>
      <c r="K1770" s="6" t="s">
        <v>63</v>
      </c>
      <c r="L1770" s="6" t="s">
        <v>64</v>
      </c>
      <c r="M1770" s="27" t="s">
        <v>15318</v>
      </c>
      <c r="N1770" s="27" t="s">
        <v>15319</v>
      </c>
      <c r="O1770" s="6" t="s">
        <v>264</v>
      </c>
      <c r="P1770" s="27" t="s">
        <v>255</v>
      </c>
      <c r="Q1770" s="6" t="s">
        <v>67</v>
      </c>
      <c r="R1770" s="6" t="s">
        <v>14839</v>
      </c>
      <c r="S1770" s="28"/>
      <c r="T1770" s="6" t="s">
        <v>6138</v>
      </c>
      <c r="U1770" s="7" t="n">
        <v>2</v>
      </c>
      <c r="V1770" s="7" t="n">
        <v>2</v>
      </c>
      <c r="W1770" s="8" t="s">
        <v>15320</v>
      </c>
      <c r="X1770" s="8" t="s">
        <v>15320</v>
      </c>
      <c r="Y1770" s="8" t="s">
        <v>15321</v>
      </c>
      <c r="Z1770" s="8" t="s">
        <v>15321</v>
      </c>
      <c r="AA1770" s="7" t="n">
        <v>620</v>
      </c>
      <c r="AB1770" s="7" t="n">
        <v>554</v>
      </c>
      <c r="AC1770" s="7" t="n">
        <v>556</v>
      </c>
      <c r="AD1770" s="7" t="n">
        <v>3</v>
      </c>
      <c r="AE1770" s="7" t="n">
        <v>3</v>
      </c>
      <c r="AF1770" s="7" t="n">
        <v>28</v>
      </c>
      <c r="AG1770" s="7" t="n">
        <v>28</v>
      </c>
      <c r="AH1770" s="7" t="n">
        <v>7</v>
      </c>
      <c r="AI1770" s="7" t="n">
        <v>7</v>
      </c>
      <c r="AJ1770" s="7" t="n">
        <v>9</v>
      </c>
      <c r="AK1770" s="7" t="n">
        <v>9</v>
      </c>
      <c r="AL1770" s="7" t="n">
        <v>19</v>
      </c>
      <c r="AM1770" s="7" t="n">
        <v>19</v>
      </c>
      <c r="AN1770" s="7" t="n">
        <v>2</v>
      </c>
      <c r="AO1770" s="7" t="n">
        <v>2</v>
      </c>
      <c r="AP1770" s="7" t="n">
        <v>0</v>
      </c>
      <c r="AQ1770" s="7" t="n">
        <v>0</v>
      </c>
      <c r="AR1770" s="6" t="s">
        <v>63</v>
      </c>
      <c r="AS1770" s="6" t="s">
        <v>63</v>
      </c>
      <c r="AT1770" s="28"/>
      <c r="AU1770" s="9" t="str">
        <f aca="false">HYPERLINK("https://creighton-primo.hosted.exlibrisgroup.com/primo-explore/search?tab=default_tab&amp;search_scope=EVERYTHING&amp;vid=01CRU&amp;lang=en_US&amp;offset=0&amp;query=any,contains,991000547189702656","Catalog Record")</f>
        <v>Catalog Record</v>
      </c>
      <c r="AV1770" s="9" t="str">
        <f aca="false">HYPERLINK("http://www.worldcat.org/oclc/91720","WorldCat Record")</f>
        <v>WorldCat Record</v>
      </c>
      <c r="AW1770" s="6" t="s">
        <v>15322</v>
      </c>
      <c r="AX1770" s="6" t="s">
        <v>15323</v>
      </c>
      <c r="AY1770" s="6" t="s">
        <v>15324</v>
      </c>
      <c r="AZ1770" s="6" t="s">
        <v>15324</v>
      </c>
      <c r="BA1770" s="6" t="s">
        <v>15325</v>
      </c>
      <c r="BB1770" s="6" t="s">
        <v>15326</v>
      </c>
      <c r="BC1770" s="6" t="s">
        <v>15327</v>
      </c>
      <c r="BE1770" s="15" t="s">
        <v>2145</v>
      </c>
      <c r="BF1770" s="6" t="s">
        <v>15328</v>
      </c>
    </row>
    <row r="1771" customFormat="false" ht="82.5" hidden="false" customHeight="false" outlineLevel="0" collapsed="false">
      <c r="A1771" s="26" t="s">
        <v>63</v>
      </c>
      <c r="B1771" s="27" t="s">
        <v>2129</v>
      </c>
      <c r="C1771" s="27" t="s">
        <v>2130</v>
      </c>
      <c r="D1771" s="27" t="s">
        <v>15329</v>
      </c>
      <c r="E1771" s="27" t="s">
        <v>15330</v>
      </c>
      <c r="F1771" s="27" t="s">
        <v>15331</v>
      </c>
      <c r="G1771" s="28"/>
      <c r="H1771" s="6" t="s">
        <v>63</v>
      </c>
      <c r="I1771" s="6" t="s">
        <v>62</v>
      </c>
      <c r="J1771" s="6" t="s">
        <v>63</v>
      </c>
      <c r="K1771" s="6" t="s">
        <v>63</v>
      </c>
      <c r="L1771" s="6" t="s">
        <v>64</v>
      </c>
      <c r="M1771" s="27" t="s">
        <v>15332</v>
      </c>
      <c r="N1771" s="27" t="s">
        <v>15333</v>
      </c>
      <c r="O1771" s="6" t="s">
        <v>2343</v>
      </c>
      <c r="P1771" s="28"/>
      <c r="Q1771" s="6" t="s">
        <v>67</v>
      </c>
      <c r="R1771" s="6" t="s">
        <v>222</v>
      </c>
      <c r="S1771" s="27" t="s">
        <v>15334</v>
      </c>
      <c r="T1771" s="6" t="s">
        <v>6138</v>
      </c>
      <c r="U1771" s="7" t="n">
        <v>2</v>
      </c>
      <c r="V1771" s="7" t="n">
        <v>2</v>
      </c>
      <c r="W1771" s="8" t="s">
        <v>15335</v>
      </c>
      <c r="X1771" s="8" t="s">
        <v>15335</v>
      </c>
      <c r="Y1771" s="8" t="s">
        <v>15321</v>
      </c>
      <c r="Z1771" s="8" t="s">
        <v>15321</v>
      </c>
      <c r="AA1771" s="7" t="n">
        <v>588</v>
      </c>
      <c r="AB1771" s="7" t="n">
        <v>532</v>
      </c>
      <c r="AC1771" s="7" t="n">
        <v>545</v>
      </c>
      <c r="AD1771" s="7" t="n">
        <v>5</v>
      </c>
      <c r="AE1771" s="7" t="n">
        <v>5</v>
      </c>
      <c r="AF1771" s="7" t="n">
        <v>23</v>
      </c>
      <c r="AG1771" s="7" t="n">
        <v>24</v>
      </c>
      <c r="AH1771" s="7" t="n">
        <v>9</v>
      </c>
      <c r="AI1771" s="7" t="n">
        <v>9</v>
      </c>
      <c r="AJ1771" s="7" t="n">
        <v>5</v>
      </c>
      <c r="AK1771" s="7" t="n">
        <v>6</v>
      </c>
      <c r="AL1771" s="7" t="n">
        <v>13</v>
      </c>
      <c r="AM1771" s="7" t="n">
        <v>14</v>
      </c>
      <c r="AN1771" s="7" t="n">
        <v>3</v>
      </c>
      <c r="AO1771" s="7" t="n">
        <v>3</v>
      </c>
      <c r="AP1771" s="7" t="n">
        <v>0</v>
      </c>
      <c r="AQ1771" s="7" t="n">
        <v>0</v>
      </c>
      <c r="AR1771" s="6" t="s">
        <v>63</v>
      </c>
      <c r="AS1771" s="6" t="s">
        <v>57</v>
      </c>
      <c r="AT1771" s="9" t="str">
        <f aca="false">HYPERLINK("http://catalog.hathitrust.org/Record/000262474","HathiTrust Record")</f>
        <v>HathiTrust Record</v>
      </c>
      <c r="AU1771" s="9" t="str">
        <f aca="false">HYPERLINK("https://creighton-primo.hosted.exlibrisgroup.com/primo-explore/search?tab=default_tab&amp;search_scope=EVERYTHING&amp;vid=01CRU&amp;lang=en_US&amp;offset=0&amp;query=any,contains,991005124849702656","Catalog Record")</f>
        <v>Catalog Record</v>
      </c>
      <c r="AV1771" s="9" t="str">
        <f aca="false">HYPERLINK("http://www.worldcat.org/oclc/7552730","WorldCat Record")</f>
        <v>WorldCat Record</v>
      </c>
      <c r="AW1771" s="6" t="s">
        <v>15336</v>
      </c>
      <c r="AX1771" s="6" t="s">
        <v>15337</v>
      </c>
      <c r="AY1771" s="6" t="s">
        <v>15338</v>
      </c>
      <c r="AZ1771" s="6" t="s">
        <v>15338</v>
      </c>
      <c r="BA1771" s="6" t="s">
        <v>15339</v>
      </c>
      <c r="BB1771" s="6" t="s">
        <v>15340</v>
      </c>
      <c r="BC1771" s="6" t="s">
        <v>15341</v>
      </c>
      <c r="BE1771" s="15" t="s">
        <v>2145</v>
      </c>
      <c r="BF1771" s="6" t="s">
        <v>15342</v>
      </c>
    </row>
    <row r="1772" customFormat="false" ht="174.5" hidden="false" customHeight="false" outlineLevel="0" collapsed="false">
      <c r="A1772" s="26" t="s">
        <v>63</v>
      </c>
      <c r="B1772" s="27" t="s">
        <v>2129</v>
      </c>
      <c r="C1772" s="27" t="s">
        <v>2130</v>
      </c>
      <c r="D1772" s="27" t="s">
        <v>15343</v>
      </c>
      <c r="E1772" s="27" t="s">
        <v>15344</v>
      </c>
      <c r="F1772" s="27" t="s">
        <v>15345</v>
      </c>
      <c r="G1772" s="28"/>
      <c r="H1772" s="6" t="s">
        <v>63</v>
      </c>
      <c r="I1772" s="6" t="s">
        <v>62</v>
      </c>
      <c r="J1772" s="6" t="s">
        <v>63</v>
      </c>
      <c r="K1772" s="6" t="s">
        <v>63</v>
      </c>
      <c r="L1772" s="6" t="s">
        <v>64</v>
      </c>
      <c r="M1772" s="27" t="s">
        <v>15346</v>
      </c>
      <c r="N1772" s="27" t="s">
        <v>15347</v>
      </c>
      <c r="O1772" s="6" t="s">
        <v>3340</v>
      </c>
      <c r="P1772" s="28"/>
      <c r="Q1772" s="6" t="s">
        <v>6285</v>
      </c>
      <c r="R1772" s="6" t="s">
        <v>4946</v>
      </c>
      <c r="S1772" s="27" t="s">
        <v>15348</v>
      </c>
      <c r="T1772" s="6" t="s">
        <v>6138</v>
      </c>
      <c r="U1772" s="7" t="n">
        <v>0</v>
      </c>
      <c r="V1772" s="7" t="n">
        <v>0</v>
      </c>
      <c r="W1772" s="8" t="s">
        <v>15349</v>
      </c>
      <c r="X1772" s="8" t="s">
        <v>15349</v>
      </c>
      <c r="Y1772" s="8" t="s">
        <v>15321</v>
      </c>
      <c r="Z1772" s="8" t="s">
        <v>15321</v>
      </c>
      <c r="AA1772" s="7" t="n">
        <v>135</v>
      </c>
      <c r="AB1772" s="7" t="n">
        <v>102</v>
      </c>
      <c r="AC1772" s="7" t="n">
        <v>104</v>
      </c>
      <c r="AD1772" s="7" t="n">
        <v>1</v>
      </c>
      <c r="AE1772" s="7" t="n">
        <v>1</v>
      </c>
      <c r="AF1772" s="7" t="n">
        <v>9</v>
      </c>
      <c r="AG1772" s="7" t="n">
        <v>9</v>
      </c>
      <c r="AH1772" s="7" t="n">
        <v>0</v>
      </c>
      <c r="AI1772" s="7" t="n">
        <v>0</v>
      </c>
      <c r="AJ1772" s="7" t="n">
        <v>3</v>
      </c>
      <c r="AK1772" s="7" t="n">
        <v>3</v>
      </c>
      <c r="AL1772" s="7" t="n">
        <v>8</v>
      </c>
      <c r="AM1772" s="7" t="n">
        <v>8</v>
      </c>
      <c r="AN1772" s="7" t="n">
        <v>0</v>
      </c>
      <c r="AO1772" s="7" t="n">
        <v>0</v>
      </c>
      <c r="AP1772" s="7" t="n">
        <v>0</v>
      </c>
      <c r="AQ1772" s="7" t="n">
        <v>0</v>
      </c>
      <c r="AR1772" s="6" t="s">
        <v>63</v>
      </c>
      <c r="AS1772" s="6" t="s">
        <v>57</v>
      </c>
      <c r="AT1772" s="9" t="str">
        <f aca="false">HYPERLINK("http://catalog.hathitrust.org/Record/000178289","HathiTrust Record")</f>
        <v>HathiTrust Record</v>
      </c>
      <c r="AU1772" s="9" t="str">
        <f aca="false">HYPERLINK("https://creighton-primo.hosted.exlibrisgroup.com/primo-explore/search?tab=default_tab&amp;search_scope=EVERYTHING&amp;vid=01CRU&amp;lang=en_US&amp;offset=0&amp;query=any,contains,991004578069702656","Catalog Record")</f>
        <v>Catalog Record</v>
      </c>
      <c r="AV1772" s="9" t="str">
        <f aca="false">HYPERLINK("http://www.worldcat.org/oclc/4053971","WorldCat Record")</f>
        <v>WorldCat Record</v>
      </c>
      <c r="AW1772" s="6" t="s">
        <v>15350</v>
      </c>
      <c r="AX1772" s="6" t="s">
        <v>15351</v>
      </c>
      <c r="AY1772" s="6" t="s">
        <v>15352</v>
      </c>
      <c r="AZ1772" s="6" t="s">
        <v>15352</v>
      </c>
      <c r="BA1772" s="6" t="s">
        <v>15353</v>
      </c>
      <c r="BB1772" s="6" t="s">
        <v>15354</v>
      </c>
      <c r="BC1772" s="6" t="s">
        <v>15355</v>
      </c>
      <c r="BE1772" s="15" t="s">
        <v>2145</v>
      </c>
      <c r="BF1772" s="6" t="s">
        <v>15356</v>
      </c>
    </row>
    <row r="1773" customFormat="false" ht="197.5" hidden="false" customHeight="false" outlineLevel="0" collapsed="false">
      <c r="A1773" s="26" t="s">
        <v>63</v>
      </c>
      <c r="B1773" s="27" t="s">
        <v>2129</v>
      </c>
      <c r="C1773" s="27" t="s">
        <v>2130</v>
      </c>
      <c r="D1773" s="27" t="s">
        <v>15357</v>
      </c>
      <c r="E1773" s="27" t="s">
        <v>15358</v>
      </c>
      <c r="F1773" s="27" t="s">
        <v>15359</v>
      </c>
      <c r="G1773" s="28"/>
      <c r="H1773" s="6" t="s">
        <v>63</v>
      </c>
      <c r="I1773" s="6" t="s">
        <v>62</v>
      </c>
      <c r="J1773" s="6" t="s">
        <v>63</v>
      </c>
      <c r="K1773" s="6" t="s">
        <v>63</v>
      </c>
      <c r="L1773" s="6" t="s">
        <v>64</v>
      </c>
      <c r="M1773" s="27" t="s">
        <v>15360</v>
      </c>
      <c r="N1773" s="27" t="s">
        <v>2770</v>
      </c>
      <c r="O1773" s="6" t="s">
        <v>2721</v>
      </c>
      <c r="P1773" s="28"/>
      <c r="Q1773" s="6" t="s">
        <v>67</v>
      </c>
      <c r="R1773" s="6" t="s">
        <v>181</v>
      </c>
      <c r="S1773" s="27" t="s">
        <v>15361</v>
      </c>
      <c r="T1773" s="6" t="s">
        <v>6138</v>
      </c>
      <c r="U1773" s="7" t="n">
        <v>1</v>
      </c>
      <c r="V1773" s="7" t="n">
        <v>1</v>
      </c>
      <c r="W1773" s="8" t="s">
        <v>4264</v>
      </c>
      <c r="X1773" s="8" t="s">
        <v>4264</v>
      </c>
      <c r="Y1773" s="8" t="s">
        <v>2772</v>
      </c>
      <c r="Z1773" s="8" t="s">
        <v>2772</v>
      </c>
      <c r="AA1773" s="7" t="n">
        <v>325</v>
      </c>
      <c r="AB1773" s="7" t="n">
        <v>262</v>
      </c>
      <c r="AC1773" s="7" t="n">
        <v>263</v>
      </c>
      <c r="AD1773" s="7" t="n">
        <v>1</v>
      </c>
      <c r="AE1773" s="7" t="n">
        <v>1</v>
      </c>
      <c r="AF1773" s="7" t="n">
        <v>28</v>
      </c>
      <c r="AG1773" s="7" t="n">
        <v>28</v>
      </c>
      <c r="AH1773" s="7" t="n">
        <v>10</v>
      </c>
      <c r="AI1773" s="7" t="n">
        <v>10</v>
      </c>
      <c r="AJ1773" s="7" t="n">
        <v>8</v>
      </c>
      <c r="AK1773" s="7" t="n">
        <v>8</v>
      </c>
      <c r="AL1773" s="7" t="n">
        <v>18</v>
      </c>
      <c r="AM1773" s="7" t="n">
        <v>18</v>
      </c>
      <c r="AN1773" s="7" t="n">
        <v>0</v>
      </c>
      <c r="AO1773" s="7" t="n">
        <v>0</v>
      </c>
      <c r="AP1773" s="7" t="n">
        <v>1</v>
      </c>
      <c r="AQ1773" s="7" t="n">
        <v>1</v>
      </c>
      <c r="AR1773" s="6" t="s">
        <v>63</v>
      </c>
      <c r="AS1773" s="6" t="s">
        <v>63</v>
      </c>
      <c r="AT1773" s="28"/>
      <c r="AU1773" s="9" t="str">
        <f aca="false">HYPERLINK("https://creighton-primo.hosted.exlibrisgroup.com/primo-explore/search?tab=default_tab&amp;search_scope=EVERYTHING&amp;vid=01CRU&amp;lang=en_US&amp;offset=0&amp;query=any,contains,991002338349702656","Catalog Record")</f>
        <v>Catalog Record</v>
      </c>
      <c r="AV1773" s="9" t="str">
        <f aca="false">HYPERLINK("http://www.worldcat.org/oclc/30437461","WorldCat Record")</f>
        <v>WorldCat Record</v>
      </c>
      <c r="AW1773" s="6" t="s">
        <v>15362</v>
      </c>
      <c r="AX1773" s="6" t="s">
        <v>15363</v>
      </c>
      <c r="AY1773" s="6" t="s">
        <v>15364</v>
      </c>
      <c r="AZ1773" s="6" t="s">
        <v>15364</v>
      </c>
      <c r="BA1773" s="6" t="s">
        <v>15365</v>
      </c>
      <c r="BB1773" s="6" t="s">
        <v>15366</v>
      </c>
      <c r="BC1773" s="6" t="s">
        <v>15367</v>
      </c>
      <c r="BE1773" s="15" t="s">
        <v>2145</v>
      </c>
      <c r="BF1773" s="6" t="s">
        <v>15368</v>
      </c>
    </row>
    <row r="1774" customFormat="false" ht="105.5" hidden="false" customHeight="false" outlineLevel="0" collapsed="false">
      <c r="A1774" s="26" t="s">
        <v>63</v>
      </c>
      <c r="B1774" s="27" t="s">
        <v>2129</v>
      </c>
      <c r="C1774" s="27" t="s">
        <v>2130</v>
      </c>
      <c r="D1774" s="27" t="s">
        <v>15369</v>
      </c>
      <c r="E1774" s="27" t="s">
        <v>15370</v>
      </c>
      <c r="F1774" s="27" t="s">
        <v>15371</v>
      </c>
      <c r="G1774" s="28"/>
      <c r="H1774" s="6" t="s">
        <v>63</v>
      </c>
      <c r="I1774" s="6" t="s">
        <v>62</v>
      </c>
      <c r="J1774" s="6" t="s">
        <v>63</v>
      </c>
      <c r="K1774" s="6" t="s">
        <v>63</v>
      </c>
      <c r="L1774" s="6" t="s">
        <v>64</v>
      </c>
      <c r="M1774" s="27" t="s">
        <v>5141</v>
      </c>
      <c r="N1774" s="27" t="s">
        <v>15372</v>
      </c>
      <c r="O1774" s="6" t="s">
        <v>2329</v>
      </c>
      <c r="P1774" s="28"/>
      <c r="Q1774" s="6" t="s">
        <v>67</v>
      </c>
      <c r="R1774" s="6" t="s">
        <v>272</v>
      </c>
      <c r="S1774" s="28"/>
      <c r="T1774" s="6" t="s">
        <v>6138</v>
      </c>
      <c r="U1774" s="7" t="n">
        <v>2</v>
      </c>
      <c r="V1774" s="7" t="n">
        <v>2</v>
      </c>
      <c r="W1774" s="8" t="s">
        <v>15373</v>
      </c>
      <c r="X1774" s="8" t="s">
        <v>15373</v>
      </c>
      <c r="Y1774" s="8" t="s">
        <v>15321</v>
      </c>
      <c r="Z1774" s="8" t="s">
        <v>15321</v>
      </c>
      <c r="AA1774" s="7" t="n">
        <v>711</v>
      </c>
      <c r="AB1774" s="7" t="n">
        <v>621</v>
      </c>
      <c r="AC1774" s="7" t="n">
        <v>694</v>
      </c>
      <c r="AD1774" s="7" t="n">
        <v>8</v>
      </c>
      <c r="AE1774" s="7" t="n">
        <v>8</v>
      </c>
      <c r="AF1774" s="7" t="n">
        <v>33</v>
      </c>
      <c r="AG1774" s="7" t="n">
        <v>34</v>
      </c>
      <c r="AH1774" s="7" t="n">
        <v>11</v>
      </c>
      <c r="AI1774" s="7" t="n">
        <v>11</v>
      </c>
      <c r="AJ1774" s="7" t="n">
        <v>6</v>
      </c>
      <c r="AK1774" s="7" t="n">
        <v>6</v>
      </c>
      <c r="AL1774" s="7" t="n">
        <v>18</v>
      </c>
      <c r="AM1774" s="7" t="n">
        <v>19</v>
      </c>
      <c r="AN1774" s="7" t="n">
        <v>6</v>
      </c>
      <c r="AO1774" s="7" t="n">
        <v>6</v>
      </c>
      <c r="AP1774" s="7" t="n">
        <v>0</v>
      </c>
      <c r="AQ1774" s="7" t="n">
        <v>0</v>
      </c>
      <c r="AR1774" s="6" t="s">
        <v>63</v>
      </c>
      <c r="AS1774" s="6" t="s">
        <v>57</v>
      </c>
      <c r="AT1774" s="9" t="str">
        <f aca="false">HYPERLINK("http://catalog.hathitrust.org/Record/001056239","HathiTrust Record")</f>
        <v>HathiTrust Record</v>
      </c>
      <c r="AU1774" s="9" t="str">
        <f aca="false">HYPERLINK("https://creighton-primo.hosted.exlibrisgroup.com/primo-explore/search?tab=default_tab&amp;search_scope=EVERYTHING&amp;vid=01CRU&amp;lang=en_US&amp;offset=0&amp;query=any,contains,991003253279702656","Catalog Record")</f>
        <v>Catalog Record</v>
      </c>
      <c r="AV1774" s="9" t="str">
        <f aca="false">HYPERLINK("http://www.worldcat.org/oclc/777864","WorldCat Record")</f>
        <v>WorldCat Record</v>
      </c>
      <c r="AW1774" s="6" t="s">
        <v>15374</v>
      </c>
      <c r="AX1774" s="6" t="s">
        <v>15375</v>
      </c>
      <c r="AY1774" s="6" t="s">
        <v>15376</v>
      </c>
      <c r="AZ1774" s="6" t="s">
        <v>15376</v>
      </c>
      <c r="BA1774" s="6" t="s">
        <v>15377</v>
      </c>
      <c r="BB1774" s="28"/>
      <c r="BC1774" s="6" t="s">
        <v>15378</v>
      </c>
      <c r="BE1774" s="15" t="s">
        <v>2145</v>
      </c>
      <c r="BF1774" s="6" t="s">
        <v>15379</v>
      </c>
    </row>
    <row r="1775" customFormat="false" ht="82.5" hidden="false" customHeight="false" outlineLevel="0" collapsed="false">
      <c r="A1775" s="26" t="s">
        <v>63</v>
      </c>
      <c r="B1775" s="27" t="s">
        <v>2129</v>
      </c>
      <c r="C1775" s="27" t="s">
        <v>2130</v>
      </c>
      <c r="D1775" s="27" t="s">
        <v>15380</v>
      </c>
      <c r="E1775" s="27" t="s">
        <v>15381</v>
      </c>
      <c r="F1775" s="27" t="s">
        <v>15382</v>
      </c>
      <c r="G1775" s="28"/>
      <c r="H1775" s="6" t="s">
        <v>63</v>
      </c>
      <c r="I1775" s="6" t="s">
        <v>62</v>
      </c>
      <c r="J1775" s="6" t="s">
        <v>63</v>
      </c>
      <c r="K1775" s="6" t="s">
        <v>63</v>
      </c>
      <c r="L1775" s="6" t="s">
        <v>64</v>
      </c>
      <c r="M1775" s="27" t="s">
        <v>15383</v>
      </c>
      <c r="N1775" s="27" t="s">
        <v>15384</v>
      </c>
      <c r="O1775" s="6" t="s">
        <v>2467</v>
      </c>
      <c r="P1775" s="28"/>
      <c r="Q1775" s="6" t="s">
        <v>67</v>
      </c>
      <c r="R1775" s="6" t="s">
        <v>4707</v>
      </c>
      <c r="S1775" s="28"/>
      <c r="T1775" s="6" t="s">
        <v>6138</v>
      </c>
      <c r="U1775" s="7" t="n">
        <v>2</v>
      </c>
      <c r="V1775" s="7" t="n">
        <v>2</v>
      </c>
      <c r="W1775" s="8" t="s">
        <v>15385</v>
      </c>
      <c r="X1775" s="8" t="s">
        <v>15385</v>
      </c>
      <c r="Y1775" s="8" t="s">
        <v>15321</v>
      </c>
      <c r="Z1775" s="8" t="s">
        <v>15321</v>
      </c>
      <c r="AA1775" s="7" t="n">
        <v>987</v>
      </c>
      <c r="AB1775" s="7" t="n">
        <v>877</v>
      </c>
      <c r="AC1775" s="7" t="n">
        <v>888</v>
      </c>
      <c r="AD1775" s="7" t="n">
        <v>9</v>
      </c>
      <c r="AE1775" s="7" t="n">
        <v>9</v>
      </c>
      <c r="AF1775" s="7" t="n">
        <v>42</v>
      </c>
      <c r="AG1775" s="7" t="n">
        <v>42</v>
      </c>
      <c r="AH1775" s="7" t="n">
        <v>18</v>
      </c>
      <c r="AI1775" s="7" t="n">
        <v>18</v>
      </c>
      <c r="AJ1775" s="7" t="n">
        <v>8</v>
      </c>
      <c r="AK1775" s="7" t="n">
        <v>8</v>
      </c>
      <c r="AL1775" s="7" t="n">
        <v>20</v>
      </c>
      <c r="AM1775" s="7" t="n">
        <v>20</v>
      </c>
      <c r="AN1775" s="7" t="n">
        <v>7</v>
      </c>
      <c r="AO1775" s="7" t="n">
        <v>7</v>
      </c>
      <c r="AP1775" s="7" t="n">
        <v>0</v>
      </c>
      <c r="AQ1775" s="7" t="n">
        <v>0</v>
      </c>
      <c r="AR1775" s="6" t="s">
        <v>63</v>
      </c>
      <c r="AS1775" s="6" t="s">
        <v>57</v>
      </c>
      <c r="AT1775" s="9" t="str">
        <f aca="false">HYPERLINK("http://catalog.hathitrust.org/Record/001386975","HathiTrust Record")</f>
        <v>HathiTrust Record</v>
      </c>
      <c r="AU1775" s="9" t="str">
        <f aca="false">HYPERLINK("https://creighton-primo.hosted.exlibrisgroup.com/primo-explore/search?tab=default_tab&amp;search_scope=EVERYTHING&amp;vid=01CRU&amp;lang=en_US&amp;offset=0&amp;query=any,contains,991002568899702656","Catalog Record")</f>
        <v>Catalog Record</v>
      </c>
      <c r="AV1775" s="9" t="str">
        <f aca="false">HYPERLINK("http://www.worldcat.org/oclc/373194","WorldCat Record")</f>
        <v>WorldCat Record</v>
      </c>
      <c r="AW1775" s="6" t="s">
        <v>15386</v>
      </c>
      <c r="AX1775" s="6" t="s">
        <v>15387</v>
      </c>
      <c r="AY1775" s="6" t="s">
        <v>15388</v>
      </c>
      <c r="AZ1775" s="6" t="s">
        <v>15388</v>
      </c>
      <c r="BA1775" s="6" t="s">
        <v>15389</v>
      </c>
      <c r="BB1775" s="28"/>
      <c r="BC1775" s="6" t="s">
        <v>15390</v>
      </c>
      <c r="BE1775" s="15" t="s">
        <v>2145</v>
      </c>
      <c r="BF1775" s="6" t="s">
        <v>15391</v>
      </c>
    </row>
    <row r="1776" customFormat="false" ht="71" hidden="false" customHeight="false" outlineLevel="0" collapsed="false">
      <c r="A1776" s="26" t="s">
        <v>63</v>
      </c>
      <c r="B1776" s="27" t="s">
        <v>2129</v>
      </c>
      <c r="C1776" s="27" t="s">
        <v>2130</v>
      </c>
      <c r="D1776" s="27" t="s">
        <v>15392</v>
      </c>
      <c r="E1776" s="27" t="s">
        <v>15393</v>
      </c>
      <c r="F1776" s="27" t="s">
        <v>15394</v>
      </c>
      <c r="G1776" s="28"/>
      <c r="H1776" s="6" t="s">
        <v>63</v>
      </c>
      <c r="I1776" s="6" t="s">
        <v>62</v>
      </c>
      <c r="J1776" s="6" t="s">
        <v>63</v>
      </c>
      <c r="K1776" s="6" t="s">
        <v>63</v>
      </c>
      <c r="L1776" s="6" t="s">
        <v>64</v>
      </c>
      <c r="M1776" s="27" t="s">
        <v>15332</v>
      </c>
      <c r="N1776" s="27" t="s">
        <v>15395</v>
      </c>
      <c r="O1776" s="6" t="s">
        <v>2426</v>
      </c>
      <c r="P1776" s="28"/>
      <c r="Q1776" s="6" t="s">
        <v>67</v>
      </c>
      <c r="R1776" s="6" t="s">
        <v>181</v>
      </c>
      <c r="S1776" s="27" t="s">
        <v>15396</v>
      </c>
      <c r="T1776" s="6" t="s">
        <v>6138</v>
      </c>
      <c r="U1776" s="7" t="n">
        <v>1</v>
      </c>
      <c r="V1776" s="7" t="n">
        <v>1</v>
      </c>
      <c r="W1776" s="8" t="s">
        <v>15373</v>
      </c>
      <c r="X1776" s="8" t="s">
        <v>15373</v>
      </c>
      <c r="Y1776" s="8" t="s">
        <v>15321</v>
      </c>
      <c r="Z1776" s="8" t="s">
        <v>15321</v>
      </c>
      <c r="AA1776" s="7" t="n">
        <v>587</v>
      </c>
      <c r="AB1776" s="7" t="n">
        <v>500</v>
      </c>
      <c r="AC1776" s="7" t="n">
        <v>502</v>
      </c>
      <c r="AD1776" s="7" t="n">
        <v>4</v>
      </c>
      <c r="AE1776" s="7" t="n">
        <v>4</v>
      </c>
      <c r="AF1776" s="7" t="n">
        <v>25</v>
      </c>
      <c r="AG1776" s="7" t="n">
        <v>25</v>
      </c>
      <c r="AH1776" s="7" t="n">
        <v>6</v>
      </c>
      <c r="AI1776" s="7" t="n">
        <v>6</v>
      </c>
      <c r="AJ1776" s="7" t="n">
        <v>8</v>
      </c>
      <c r="AK1776" s="7" t="n">
        <v>8</v>
      </c>
      <c r="AL1776" s="7" t="n">
        <v>16</v>
      </c>
      <c r="AM1776" s="7" t="n">
        <v>16</v>
      </c>
      <c r="AN1776" s="7" t="n">
        <v>2</v>
      </c>
      <c r="AO1776" s="7" t="n">
        <v>2</v>
      </c>
      <c r="AP1776" s="7" t="n">
        <v>0</v>
      </c>
      <c r="AQ1776" s="7" t="n">
        <v>0</v>
      </c>
      <c r="AR1776" s="6" t="s">
        <v>63</v>
      </c>
      <c r="AS1776" s="6" t="s">
        <v>63</v>
      </c>
      <c r="AT1776" s="28"/>
      <c r="AU1776" s="9" t="str">
        <f aca="false">HYPERLINK("https://creighton-primo.hosted.exlibrisgroup.com/primo-explore/search?tab=default_tab&amp;search_scope=EVERYTHING&amp;vid=01CRU&amp;lang=en_US&amp;offset=0&amp;query=any,contains,991003305079702656","Catalog Record")</f>
        <v>Catalog Record</v>
      </c>
      <c r="AV1776" s="9" t="str">
        <f aca="false">HYPERLINK("http://www.worldcat.org/oclc/827990","WorldCat Record")</f>
        <v>WorldCat Record</v>
      </c>
      <c r="AW1776" s="6" t="s">
        <v>15397</v>
      </c>
      <c r="AX1776" s="6" t="s">
        <v>15398</v>
      </c>
      <c r="AY1776" s="6" t="s">
        <v>15399</v>
      </c>
      <c r="AZ1776" s="6" t="s">
        <v>15399</v>
      </c>
      <c r="BA1776" s="6" t="s">
        <v>15400</v>
      </c>
      <c r="BB1776" s="6" t="s">
        <v>15401</v>
      </c>
      <c r="BC1776" s="6" t="s">
        <v>15402</v>
      </c>
      <c r="BE1776" s="15" t="s">
        <v>2145</v>
      </c>
      <c r="BF1776" s="6" t="s">
        <v>15403</v>
      </c>
    </row>
    <row r="1777" customFormat="false" ht="174.5" hidden="false" customHeight="false" outlineLevel="0" collapsed="false">
      <c r="A1777" s="26" t="s">
        <v>63</v>
      </c>
      <c r="B1777" s="27" t="s">
        <v>2129</v>
      </c>
      <c r="C1777" s="27" t="s">
        <v>2130</v>
      </c>
      <c r="D1777" s="27" t="s">
        <v>15404</v>
      </c>
      <c r="E1777" s="27" t="s">
        <v>15405</v>
      </c>
      <c r="F1777" s="27" t="s">
        <v>15406</v>
      </c>
      <c r="G1777" s="28"/>
      <c r="H1777" s="6" t="s">
        <v>63</v>
      </c>
      <c r="I1777" s="6" t="s">
        <v>62</v>
      </c>
      <c r="J1777" s="6" t="s">
        <v>63</v>
      </c>
      <c r="K1777" s="6" t="s">
        <v>63</v>
      </c>
      <c r="L1777" s="6" t="s">
        <v>64</v>
      </c>
      <c r="M1777" s="28"/>
      <c r="N1777" s="27" t="s">
        <v>15407</v>
      </c>
      <c r="O1777" s="6" t="s">
        <v>2411</v>
      </c>
      <c r="P1777" s="28"/>
      <c r="Q1777" s="6" t="s">
        <v>67</v>
      </c>
      <c r="R1777" s="6" t="s">
        <v>1059</v>
      </c>
      <c r="S1777" s="27" t="s">
        <v>15408</v>
      </c>
      <c r="T1777" s="6" t="s">
        <v>6138</v>
      </c>
      <c r="U1777" s="7" t="n">
        <v>1</v>
      </c>
      <c r="V1777" s="7" t="n">
        <v>1</v>
      </c>
      <c r="W1777" s="8" t="s">
        <v>15409</v>
      </c>
      <c r="X1777" s="8" t="s">
        <v>15409</v>
      </c>
      <c r="Y1777" s="8" t="s">
        <v>10069</v>
      </c>
      <c r="Z1777" s="8" t="s">
        <v>10069</v>
      </c>
      <c r="AA1777" s="7" t="n">
        <v>407</v>
      </c>
      <c r="AB1777" s="7" t="n">
        <v>312</v>
      </c>
      <c r="AC1777" s="7" t="n">
        <v>315</v>
      </c>
      <c r="AD1777" s="7" t="n">
        <v>4</v>
      </c>
      <c r="AE1777" s="7" t="n">
        <v>4</v>
      </c>
      <c r="AF1777" s="7" t="n">
        <v>18</v>
      </c>
      <c r="AG1777" s="7" t="n">
        <v>18</v>
      </c>
      <c r="AH1777" s="7" t="n">
        <v>5</v>
      </c>
      <c r="AI1777" s="7" t="n">
        <v>5</v>
      </c>
      <c r="AJ1777" s="7" t="n">
        <v>4</v>
      </c>
      <c r="AK1777" s="7" t="n">
        <v>4</v>
      </c>
      <c r="AL1777" s="7" t="n">
        <v>12</v>
      </c>
      <c r="AM1777" s="7" t="n">
        <v>12</v>
      </c>
      <c r="AN1777" s="7" t="n">
        <v>2</v>
      </c>
      <c r="AO1777" s="7" t="n">
        <v>2</v>
      </c>
      <c r="AP1777" s="7" t="n">
        <v>1</v>
      </c>
      <c r="AQ1777" s="7" t="n">
        <v>1</v>
      </c>
      <c r="AR1777" s="6" t="s">
        <v>63</v>
      </c>
      <c r="AS1777" s="6" t="s">
        <v>57</v>
      </c>
      <c r="AT1777" s="9" t="str">
        <f aca="false">HYPERLINK("http://catalog.hathitrust.org/Record/006232735","HathiTrust Record")</f>
        <v>HathiTrust Record</v>
      </c>
      <c r="AU1777" s="9" t="str">
        <f aca="false">HYPERLINK("https://creighton-primo.hosted.exlibrisgroup.com/primo-explore/search?tab=default_tab&amp;search_scope=EVERYTHING&amp;vid=01CRU&amp;lang=en_US&amp;offset=0&amp;query=any,contains,991001599219702656","Catalog Record")</f>
        <v>Catalog Record</v>
      </c>
      <c r="AV1777" s="9" t="str">
        <f aca="false">HYPERLINK("http://www.worldcat.org/oclc/20635918","WorldCat Record")</f>
        <v>WorldCat Record</v>
      </c>
      <c r="AW1777" s="6" t="s">
        <v>15410</v>
      </c>
      <c r="AX1777" s="6" t="s">
        <v>15411</v>
      </c>
      <c r="AY1777" s="6" t="s">
        <v>15412</v>
      </c>
      <c r="AZ1777" s="6" t="s">
        <v>15412</v>
      </c>
      <c r="BA1777" s="6" t="s">
        <v>15413</v>
      </c>
      <c r="BB1777" s="6" t="s">
        <v>15414</v>
      </c>
      <c r="BC1777" s="6" t="s">
        <v>15415</v>
      </c>
      <c r="BE1777" s="15" t="s">
        <v>2145</v>
      </c>
      <c r="BF1777" s="6" t="s">
        <v>15416</v>
      </c>
    </row>
    <row r="1778" customFormat="false" ht="82.5" hidden="false" customHeight="false" outlineLevel="0" collapsed="false">
      <c r="A1778" s="26" t="s">
        <v>63</v>
      </c>
      <c r="B1778" s="27" t="s">
        <v>2129</v>
      </c>
      <c r="C1778" s="27" t="s">
        <v>2130</v>
      </c>
      <c r="D1778" s="27" t="s">
        <v>15417</v>
      </c>
      <c r="E1778" s="27" t="s">
        <v>15418</v>
      </c>
      <c r="F1778" s="27" t="s">
        <v>15419</v>
      </c>
      <c r="G1778" s="28"/>
      <c r="H1778" s="6" t="s">
        <v>63</v>
      </c>
      <c r="I1778" s="6" t="s">
        <v>62</v>
      </c>
      <c r="J1778" s="6" t="s">
        <v>63</v>
      </c>
      <c r="K1778" s="6" t="s">
        <v>57</v>
      </c>
      <c r="L1778" s="6" t="s">
        <v>64</v>
      </c>
      <c r="M1778" s="27" t="s">
        <v>15420</v>
      </c>
      <c r="N1778" s="27" t="s">
        <v>15421</v>
      </c>
      <c r="O1778" s="6" t="s">
        <v>3405</v>
      </c>
      <c r="P1778" s="28"/>
      <c r="Q1778" s="6" t="s">
        <v>67</v>
      </c>
      <c r="R1778" s="6" t="s">
        <v>123</v>
      </c>
      <c r="S1778" s="27" t="s">
        <v>15422</v>
      </c>
      <c r="T1778" s="6" t="s">
        <v>6138</v>
      </c>
      <c r="U1778" s="7" t="n">
        <v>5</v>
      </c>
      <c r="V1778" s="7" t="n">
        <v>5</v>
      </c>
      <c r="W1778" s="8" t="s">
        <v>15423</v>
      </c>
      <c r="X1778" s="8" t="s">
        <v>15423</v>
      </c>
      <c r="Y1778" s="8" t="s">
        <v>2868</v>
      </c>
      <c r="Z1778" s="8" t="s">
        <v>2868</v>
      </c>
      <c r="AA1778" s="7" t="n">
        <v>375</v>
      </c>
      <c r="AB1778" s="7" t="n">
        <v>252</v>
      </c>
      <c r="AC1778" s="7" t="n">
        <v>768</v>
      </c>
      <c r="AD1778" s="7" t="n">
        <v>3</v>
      </c>
      <c r="AE1778" s="7" t="n">
        <v>7</v>
      </c>
      <c r="AF1778" s="7" t="n">
        <v>15</v>
      </c>
      <c r="AG1778" s="7" t="n">
        <v>41</v>
      </c>
      <c r="AH1778" s="7" t="n">
        <v>4</v>
      </c>
      <c r="AI1778" s="7" t="n">
        <v>13</v>
      </c>
      <c r="AJ1778" s="7" t="n">
        <v>3</v>
      </c>
      <c r="AK1778" s="7" t="n">
        <v>10</v>
      </c>
      <c r="AL1778" s="7" t="n">
        <v>9</v>
      </c>
      <c r="AM1778" s="7" t="n">
        <v>22</v>
      </c>
      <c r="AN1778" s="7" t="n">
        <v>2</v>
      </c>
      <c r="AO1778" s="7" t="n">
        <v>5</v>
      </c>
      <c r="AP1778" s="7" t="n">
        <v>0</v>
      </c>
      <c r="AQ1778" s="7" t="n">
        <v>0</v>
      </c>
      <c r="AR1778" s="6" t="s">
        <v>63</v>
      </c>
      <c r="AS1778" s="6" t="s">
        <v>57</v>
      </c>
      <c r="AT1778" s="9" t="str">
        <f aca="false">HYPERLINK("http://catalog.hathitrust.org/Record/001380894","HathiTrust Record")</f>
        <v>HathiTrust Record</v>
      </c>
      <c r="AU1778" s="9" t="str">
        <f aca="false">HYPERLINK("https://creighton-primo.hosted.exlibrisgroup.com/primo-explore/search?tab=default_tab&amp;search_scope=EVERYTHING&amp;vid=01CRU&amp;lang=en_US&amp;offset=0&amp;query=any,contains,991003795439702656","Catalog Record")</f>
        <v>Catalog Record</v>
      </c>
      <c r="AV1778" s="9" t="str">
        <f aca="false">HYPERLINK("http://www.worldcat.org/oclc/1516539","WorldCat Record")</f>
        <v>WorldCat Record</v>
      </c>
      <c r="AW1778" s="6" t="s">
        <v>15424</v>
      </c>
      <c r="AX1778" s="6" t="s">
        <v>15425</v>
      </c>
      <c r="AY1778" s="6" t="s">
        <v>15426</v>
      </c>
      <c r="AZ1778" s="6" t="s">
        <v>15426</v>
      </c>
      <c r="BA1778" s="6" t="s">
        <v>15427</v>
      </c>
      <c r="BB1778" s="28"/>
      <c r="BC1778" s="6" t="s">
        <v>15428</v>
      </c>
      <c r="BE1778" s="15" t="s">
        <v>2145</v>
      </c>
      <c r="BF1778" s="6" t="s">
        <v>15429</v>
      </c>
    </row>
    <row r="1779" customFormat="false" ht="94" hidden="false" customHeight="false" outlineLevel="0" collapsed="false">
      <c r="A1779" s="26" t="s">
        <v>63</v>
      </c>
      <c r="B1779" s="27" t="s">
        <v>2129</v>
      </c>
      <c r="C1779" s="27" t="s">
        <v>2130</v>
      </c>
      <c r="D1779" s="27" t="s">
        <v>15430</v>
      </c>
      <c r="E1779" s="27" t="s">
        <v>15431</v>
      </c>
      <c r="F1779" s="27" t="s">
        <v>15432</v>
      </c>
      <c r="G1779" s="28"/>
      <c r="H1779" s="6" t="s">
        <v>63</v>
      </c>
      <c r="I1779" s="6" t="s">
        <v>62</v>
      </c>
      <c r="J1779" s="6" t="s">
        <v>63</v>
      </c>
      <c r="K1779" s="6" t="s">
        <v>63</v>
      </c>
      <c r="L1779" s="6" t="s">
        <v>64</v>
      </c>
      <c r="M1779" s="27" t="s">
        <v>5607</v>
      </c>
      <c r="N1779" s="27" t="s">
        <v>15433</v>
      </c>
      <c r="O1779" s="6" t="s">
        <v>3094</v>
      </c>
      <c r="P1779" s="28"/>
      <c r="Q1779" s="6" t="s">
        <v>67</v>
      </c>
      <c r="R1779" s="6" t="s">
        <v>68</v>
      </c>
      <c r="S1779" s="28"/>
      <c r="T1779" s="6" t="s">
        <v>6138</v>
      </c>
      <c r="U1779" s="7" t="n">
        <v>6</v>
      </c>
      <c r="V1779" s="7" t="n">
        <v>6</v>
      </c>
      <c r="W1779" s="8" t="s">
        <v>15434</v>
      </c>
      <c r="X1779" s="8" t="s">
        <v>15434</v>
      </c>
      <c r="Y1779" s="8" t="s">
        <v>2868</v>
      </c>
      <c r="Z1779" s="8" t="s">
        <v>2868</v>
      </c>
      <c r="AA1779" s="7" t="n">
        <v>678</v>
      </c>
      <c r="AB1779" s="7" t="n">
        <v>622</v>
      </c>
      <c r="AC1779" s="7" t="n">
        <v>760</v>
      </c>
      <c r="AD1779" s="7" t="n">
        <v>7</v>
      </c>
      <c r="AE1779" s="7" t="n">
        <v>7</v>
      </c>
      <c r="AF1779" s="7" t="n">
        <v>33</v>
      </c>
      <c r="AG1779" s="7" t="n">
        <v>39</v>
      </c>
      <c r="AH1779" s="7" t="n">
        <v>9</v>
      </c>
      <c r="AI1779" s="7" t="n">
        <v>12</v>
      </c>
      <c r="AJ1779" s="7" t="n">
        <v>8</v>
      </c>
      <c r="AK1779" s="7" t="n">
        <v>9</v>
      </c>
      <c r="AL1779" s="7" t="n">
        <v>19</v>
      </c>
      <c r="AM1779" s="7" t="n">
        <v>24</v>
      </c>
      <c r="AN1779" s="7" t="n">
        <v>5</v>
      </c>
      <c r="AO1779" s="7" t="n">
        <v>5</v>
      </c>
      <c r="AP1779" s="7" t="n">
        <v>1</v>
      </c>
      <c r="AQ1779" s="7" t="n">
        <v>1</v>
      </c>
      <c r="AR1779" s="6" t="s">
        <v>63</v>
      </c>
      <c r="AS1779" s="6" t="s">
        <v>57</v>
      </c>
      <c r="AT1779" s="9" t="str">
        <f aca="false">HYPERLINK("http://catalog.hathitrust.org/Record/000005208","HathiTrust Record")</f>
        <v>HathiTrust Record</v>
      </c>
      <c r="AU1779" s="9" t="str">
        <f aca="false">HYPERLINK("https://creighton-primo.hosted.exlibrisgroup.com/primo-explore/search?tab=default_tab&amp;search_scope=EVERYTHING&amp;vid=01CRU&amp;lang=en_US&amp;offset=0&amp;query=any,contains,991002543979702656","Catalog Record")</f>
        <v>Catalog Record</v>
      </c>
      <c r="AV1779" s="9" t="str">
        <f aca="false">HYPERLINK("http://www.worldcat.org/oclc/368400","WorldCat Record")</f>
        <v>WorldCat Record</v>
      </c>
      <c r="AW1779" s="6" t="s">
        <v>15435</v>
      </c>
      <c r="AX1779" s="6" t="s">
        <v>15436</v>
      </c>
      <c r="AY1779" s="6" t="s">
        <v>15437</v>
      </c>
      <c r="AZ1779" s="6" t="s">
        <v>15437</v>
      </c>
      <c r="BA1779" s="6" t="s">
        <v>15438</v>
      </c>
      <c r="BB1779" s="28"/>
      <c r="BC1779" s="6" t="s">
        <v>15439</v>
      </c>
      <c r="BE1779" s="15" t="s">
        <v>2145</v>
      </c>
      <c r="BF1779" s="6" t="s">
        <v>15440</v>
      </c>
    </row>
    <row r="1780" customFormat="false" ht="117" hidden="false" customHeight="false" outlineLevel="0" collapsed="false">
      <c r="A1780" s="26" t="s">
        <v>63</v>
      </c>
      <c r="B1780" s="27" t="s">
        <v>2129</v>
      </c>
      <c r="C1780" s="27" t="s">
        <v>2130</v>
      </c>
      <c r="D1780" s="27" t="s">
        <v>15441</v>
      </c>
      <c r="E1780" s="27" t="s">
        <v>15442</v>
      </c>
      <c r="F1780" s="27" t="s">
        <v>15443</v>
      </c>
      <c r="G1780" s="28"/>
      <c r="H1780" s="6" t="s">
        <v>63</v>
      </c>
      <c r="I1780" s="6" t="s">
        <v>62</v>
      </c>
      <c r="J1780" s="6" t="s">
        <v>63</v>
      </c>
      <c r="K1780" s="6" t="s">
        <v>63</v>
      </c>
      <c r="L1780" s="6" t="s">
        <v>64</v>
      </c>
      <c r="M1780" s="27" t="s">
        <v>15444</v>
      </c>
      <c r="N1780" s="27" t="s">
        <v>15445</v>
      </c>
      <c r="O1780" s="6" t="s">
        <v>208</v>
      </c>
      <c r="P1780" s="28"/>
      <c r="Q1780" s="6" t="s">
        <v>67</v>
      </c>
      <c r="R1780" s="6" t="s">
        <v>384</v>
      </c>
      <c r="S1780" s="28"/>
      <c r="T1780" s="6" t="s">
        <v>6138</v>
      </c>
      <c r="U1780" s="7" t="n">
        <v>2</v>
      </c>
      <c r="V1780" s="7" t="n">
        <v>2</v>
      </c>
      <c r="W1780" s="8" t="s">
        <v>15446</v>
      </c>
      <c r="X1780" s="8" t="s">
        <v>15446</v>
      </c>
      <c r="Y1780" s="8" t="s">
        <v>15447</v>
      </c>
      <c r="Z1780" s="8" t="s">
        <v>15447</v>
      </c>
      <c r="AA1780" s="7" t="n">
        <v>509</v>
      </c>
      <c r="AB1780" s="7" t="n">
        <v>382</v>
      </c>
      <c r="AC1780" s="7" t="n">
        <v>420</v>
      </c>
      <c r="AD1780" s="7" t="n">
        <v>2</v>
      </c>
      <c r="AE1780" s="7" t="n">
        <v>2</v>
      </c>
      <c r="AF1780" s="7" t="n">
        <v>28</v>
      </c>
      <c r="AG1780" s="7" t="n">
        <v>29</v>
      </c>
      <c r="AH1780" s="7" t="n">
        <v>10</v>
      </c>
      <c r="AI1780" s="7" t="n">
        <v>10</v>
      </c>
      <c r="AJ1780" s="7" t="n">
        <v>9</v>
      </c>
      <c r="AK1780" s="7" t="n">
        <v>10</v>
      </c>
      <c r="AL1780" s="7" t="n">
        <v>21</v>
      </c>
      <c r="AM1780" s="7" t="n">
        <v>21</v>
      </c>
      <c r="AN1780" s="7" t="n">
        <v>1</v>
      </c>
      <c r="AO1780" s="7" t="n">
        <v>1</v>
      </c>
      <c r="AP1780" s="7" t="n">
        <v>0</v>
      </c>
      <c r="AQ1780" s="7" t="n">
        <v>0</v>
      </c>
      <c r="AR1780" s="6" t="s">
        <v>63</v>
      </c>
      <c r="AS1780" s="6" t="s">
        <v>57</v>
      </c>
      <c r="AT1780" s="9" t="str">
        <f aca="false">HYPERLINK("http://catalog.hathitrust.org/Record/000885611","HathiTrust Record")</f>
        <v>HathiTrust Record</v>
      </c>
      <c r="AU1780" s="9" t="str">
        <f aca="false">HYPERLINK("https://creighton-primo.hosted.exlibrisgroup.com/primo-explore/search?tab=default_tab&amp;search_scope=EVERYTHING&amp;vid=01CRU&amp;lang=en_US&amp;offset=0&amp;query=any,contains,991001027709702656","Catalog Record")</f>
        <v>Catalog Record</v>
      </c>
      <c r="AV1780" s="9" t="str">
        <f aca="false">HYPERLINK("http://www.worldcat.org/oclc/15488246","WorldCat Record")</f>
        <v>WorldCat Record</v>
      </c>
      <c r="AW1780" s="6" t="s">
        <v>15448</v>
      </c>
      <c r="AX1780" s="6" t="s">
        <v>15449</v>
      </c>
      <c r="AY1780" s="6" t="s">
        <v>15450</v>
      </c>
      <c r="AZ1780" s="6" t="s">
        <v>15450</v>
      </c>
      <c r="BA1780" s="6" t="s">
        <v>15451</v>
      </c>
      <c r="BB1780" s="6" t="s">
        <v>15452</v>
      </c>
      <c r="BC1780" s="6" t="s">
        <v>15453</v>
      </c>
      <c r="BE1780" s="15" t="s">
        <v>2145</v>
      </c>
      <c r="BF1780" s="6" t="s">
        <v>15454</v>
      </c>
    </row>
    <row r="1781" customFormat="false" ht="82.5" hidden="false" customHeight="false" outlineLevel="0" collapsed="false">
      <c r="A1781" s="26" t="s">
        <v>63</v>
      </c>
      <c r="B1781" s="27" t="s">
        <v>2129</v>
      </c>
      <c r="C1781" s="27" t="s">
        <v>2130</v>
      </c>
      <c r="D1781" s="27" t="s">
        <v>15455</v>
      </c>
      <c r="E1781" s="27" t="s">
        <v>15456</v>
      </c>
      <c r="F1781" s="27" t="s">
        <v>15457</v>
      </c>
      <c r="G1781" s="28"/>
      <c r="H1781" s="6" t="s">
        <v>63</v>
      </c>
      <c r="I1781" s="6" t="s">
        <v>62</v>
      </c>
      <c r="J1781" s="6" t="s">
        <v>63</v>
      </c>
      <c r="K1781" s="6" t="s">
        <v>63</v>
      </c>
      <c r="L1781" s="6" t="s">
        <v>64</v>
      </c>
      <c r="M1781" s="27" t="s">
        <v>12351</v>
      </c>
      <c r="N1781" s="27" t="s">
        <v>15458</v>
      </c>
      <c r="O1781" s="6" t="s">
        <v>7200</v>
      </c>
      <c r="P1781" s="28"/>
      <c r="Q1781" s="6" t="s">
        <v>67</v>
      </c>
      <c r="R1781" s="6" t="s">
        <v>123</v>
      </c>
      <c r="S1781" s="27" t="s">
        <v>15459</v>
      </c>
      <c r="T1781" s="6" t="s">
        <v>6138</v>
      </c>
      <c r="U1781" s="7" t="n">
        <v>1</v>
      </c>
      <c r="V1781" s="7" t="n">
        <v>1</v>
      </c>
      <c r="W1781" s="8" t="s">
        <v>5871</v>
      </c>
      <c r="X1781" s="8" t="s">
        <v>5871</v>
      </c>
      <c r="Y1781" s="8" t="s">
        <v>15447</v>
      </c>
      <c r="Z1781" s="8" t="s">
        <v>15447</v>
      </c>
      <c r="AA1781" s="7" t="n">
        <v>120</v>
      </c>
      <c r="AB1781" s="7" t="n">
        <v>110</v>
      </c>
      <c r="AC1781" s="7" t="n">
        <v>749</v>
      </c>
      <c r="AD1781" s="7" t="n">
        <v>2</v>
      </c>
      <c r="AE1781" s="7" t="n">
        <v>7</v>
      </c>
      <c r="AF1781" s="7" t="n">
        <v>10</v>
      </c>
      <c r="AG1781" s="7" t="n">
        <v>34</v>
      </c>
      <c r="AH1781" s="7" t="n">
        <v>3</v>
      </c>
      <c r="AI1781" s="7" t="n">
        <v>12</v>
      </c>
      <c r="AJ1781" s="7" t="n">
        <v>4</v>
      </c>
      <c r="AK1781" s="7" t="n">
        <v>8</v>
      </c>
      <c r="AL1781" s="7" t="n">
        <v>6</v>
      </c>
      <c r="AM1781" s="7" t="n">
        <v>18</v>
      </c>
      <c r="AN1781" s="7" t="n">
        <v>1</v>
      </c>
      <c r="AO1781" s="7" t="n">
        <v>5</v>
      </c>
      <c r="AP1781" s="7" t="n">
        <v>0</v>
      </c>
      <c r="AQ1781" s="7" t="n">
        <v>0</v>
      </c>
      <c r="AR1781" s="6" t="s">
        <v>63</v>
      </c>
      <c r="AS1781" s="6" t="s">
        <v>57</v>
      </c>
      <c r="AT1781" s="9" t="str">
        <f aca="false">HYPERLINK("http://catalog.hathitrust.org/Record/006223575","HathiTrust Record")</f>
        <v>HathiTrust Record</v>
      </c>
      <c r="AU1781" s="9" t="str">
        <f aca="false">HYPERLINK("https://creighton-primo.hosted.exlibrisgroup.com/primo-explore/search?tab=default_tab&amp;search_scope=EVERYTHING&amp;vid=01CRU&amp;lang=en_US&amp;offset=0&amp;query=any,contains,991003153119702656","Catalog Record")</f>
        <v>Catalog Record</v>
      </c>
      <c r="AV1781" s="9" t="str">
        <f aca="false">HYPERLINK("http://www.worldcat.org/oclc/692249","WorldCat Record")</f>
        <v>WorldCat Record</v>
      </c>
      <c r="AW1781" s="6" t="s">
        <v>15460</v>
      </c>
      <c r="AX1781" s="6" t="s">
        <v>15461</v>
      </c>
      <c r="AY1781" s="6" t="s">
        <v>15462</v>
      </c>
      <c r="AZ1781" s="6" t="s">
        <v>15462</v>
      </c>
      <c r="BA1781" s="6" t="s">
        <v>15463</v>
      </c>
      <c r="BB1781" s="28"/>
      <c r="BC1781" s="6" t="s">
        <v>15464</v>
      </c>
      <c r="BE1781" s="15" t="s">
        <v>2145</v>
      </c>
      <c r="BF1781" s="6" t="s">
        <v>15465</v>
      </c>
    </row>
    <row r="1782" customFormat="false" ht="71" hidden="false" customHeight="false" outlineLevel="0" collapsed="false">
      <c r="A1782" s="26" t="s">
        <v>63</v>
      </c>
      <c r="B1782" s="27" t="s">
        <v>2129</v>
      </c>
      <c r="C1782" s="27" t="s">
        <v>2130</v>
      </c>
      <c r="D1782" s="27" t="s">
        <v>15466</v>
      </c>
      <c r="E1782" s="27" t="s">
        <v>15467</v>
      </c>
      <c r="F1782" s="27" t="s">
        <v>15468</v>
      </c>
      <c r="G1782" s="28"/>
      <c r="H1782" s="6" t="s">
        <v>63</v>
      </c>
      <c r="I1782" s="6" t="s">
        <v>62</v>
      </c>
      <c r="J1782" s="6" t="s">
        <v>63</v>
      </c>
      <c r="K1782" s="6" t="s">
        <v>63</v>
      </c>
      <c r="L1782" s="6" t="s">
        <v>64</v>
      </c>
      <c r="M1782" s="27" t="s">
        <v>4691</v>
      </c>
      <c r="N1782" s="27" t="s">
        <v>15469</v>
      </c>
      <c r="O1782" s="6" t="s">
        <v>233</v>
      </c>
      <c r="P1782" s="28"/>
      <c r="Q1782" s="6" t="s">
        <v>67</v>
      </c>
      <c r="R1782" s="6" t="s">
        <v>68</v>
      </c>
      <c r="S1782" s="28"/>
      <c r="T1782" s="6" t="s">
        <v>6138</v>
      </c>
      <c r="U1782" s="7" t="n">
        <v>3</v>
      </c>
      <c r="V1782" s="7" t="n">
        <v>3</v>
      </c>
      <c r="W1782" s="8" t="s">
        <v>15470</v>
      </c>
      <c r="X1782" s="8" t="s">
        <v>15470</v>
      </c>
      <c r="Y1782" s="8" t="s">
        <v>15447</v>
      </c>
      <c r="Z1782" s="8" t="s">
        <v>15447</v>
      </c>
      <c r="AA1782" s="7" t="n">
        <v>1448</v>
      </c>
      <c r="AB1782" s="7" t="n">
        <v>1257</v>
      </c>
      <c r="AC1782" s="7" t="n">
        <v>1320</v>
      </c>
      <c r="AD1782" s="7" t="n">
        <v>8</v>
      </c>
      <c r="AE1782" s="7" t="n">
        <v>8</v>
      </c>
      <c r="AF1782" s="7" t="n">
        <v>52</v>
      </c>
      <c r="AG1782" s="7" t="n">
        <v>52</v>
      </c>
      <c r="AH1782" s="7" t="n">
        <v>25</v>
      </c>
      <c r="AI1782" s="7" t="n">
        <v>25</v>
      </c>
      <c r="AJ1782" s="7" t="n">
        <v>9</v>
      </c>
      <c r="AK1782" s="7" t="n">
        <v>9</v>
      </c>
      <c r="AL1782" s="7" t="n">
        <v>25</v>
      </c>
      <c r="AM1782" s="7" t="n">
        <v>25</v>
      </c>
      <c r="AN1782" s="7" t="n">
        <v>6</v>
      </c>
      <c r="AO1782" s="7" t="n">
        <v>6</v>
      </c>
      <c r="AP1782" s="7" t="n">
        <v>0</v>
      </c>
      <c r="AQ1782" s="7" t="n">
        <v>0</v>
      </c>
      <c r="AR1782" s="6" t="s">
        <v>63</v>
      </c>
      <c r="AS1782" s="6" t="s">
        <v>63</v>
      </c>
      <c r="AT1782" s="28"/>
      <c r="AU1782" s="9" t="str">
        <f aca="false">HYPERLINK("https://creighton-primo.hosted.exlibrisgroup.com/primo-explore/search?tab=default_tab&amp;search_scope=EVERYTHING&amp;vid=01CRU&amp;lang=en_US&amp;offset=0&amp;query=any,contains,991002403839702656","Catalog Record")</f>
        <v>Catalog Record</v>
      </c>
      <c r="AV1782" s="9" t="str">
        <f aca="false">HYPERLINK("http://www.worldcat.org/oclc/338167","WorldCat Record")</f>
        <v>WorldCat Record</v>
      </c>
      <c r="AW1782" s="6" t="s">
        <v>15471</v>
      </c>
      <c r="AX1782" s="6" t="s">
        <v>15472</v>
      </c>
      <c r="AY1782" s="6" t="s">
        <v>15473</v>
      </c>
      <c r="AZ1782" s="6" t="s">
        <v>15473</v>
      </c>
      <c r="BA1782" s="6" t="s">
        <v>15474</v>
      </c>
      <c r="BB1782" s="28"/>
      <c r="BC1782" s="6" t="s">
        <v>15475</v>
      </c>
      <c r="BE1782" s="15" t="s">
        <v>2145</v>
      </c>
      <c r="BF1782" s="6" t="s">
        <v>15476</v>
      </c>
    </row>
    <row r="1783" customFormat="false" ht="117" hidden="false" customHeight="false" outlineLevel="0" collapsed="false">
      <c r="A1783" s="26" t="s">
        <v>63</v>
      </c>
      <c r="B1783" s="27" t="s">
        <v>2129</v>
      </c>
      <c r="C1783" s="27" t="s">
        <v>2130</v>
      </c>
      <c r="D1783" s="27" t="s">
        <v>15477</v>
      </c>
      <c r="E1783" s="27" t="s">
        <v>15478</v>
      </c>
      <c r="F1783" s="27" t="s">
        <v>15479</v>
      </c>
      <c r="G1783" s="28"/>
      <c r="H1783" s="6" t="s">
        <v>63</v>
      </c>
      <c r="I1783" s="6" t="s">
        <v>62</v>
      </c>
      <c r="J1783" s="6" t="s">
        <v>63</v>
      </c>
      <c r="K1783" s="6" t="s">
        <v>63</v>
      </c>
      <c r="L1783" s="6" t="s">
        <v>64</v>
      </c>
      <c r="M1783" s="27" t="s">
        <v>15480</v>
      </c>
      <c r="N1783" s="27" t="s">
        <v>15481</v>
      </c>
      <c r="O1783" s="6" t="s">
        <v>2467</v>
      </c>
      <c r="P1783" s="28"/>
      <c r="Q1783" s="6" t="s">
        <v>67</v>
      </c>
      <c r="R1783" s="6" t="s">
        <v>384</v>
      </c>
      <c r="S1783" s="27" t="s">
        <v>15482</v>
      </c>
      <c r="T1783" s="6" t="s">
        <v>6138</v>
      </c>
      <c r="U1783" s="7" t="n">
        <v>6</v>
      </c>
      <c r="V1783" s="7" t="n">
        <v>6</v>
      </c>
      <c r="W1783" s="8" t="s">
        <v>15470</v>
      </c>
      <c r="X1783" s="8" t="s">
        <v>15470</v>
      </c>
      <c r="Y1783" s="8" t="s">
        <v>15447</v>
      </c>
      <c r="Z1783" s="8" t="s">
        <v>15447</v>
      </c>
      <c r="AA1783" s="7" t="n">
        <v>480</v>
      </c>
      <c r="AB1783" s="7" t="n">
        <v>324</v>
      </c>
      <c r="AC1783" s="7" t="n">
        <v>326</v>
      </c>
      <c r="AD1783" s="7" t="n">
        <v>2</v>
      </c>
      <c r="AE1783" s="7" t="n">
        <v>2</v>
      </c>
      <c r="AF1783" s="7" t="n">
        <v>14</v>
      </c>
      <c r="AG1783" s="7" t="n">
        <v>14</v>
      </c>
      <c r="AH1783" s="7" t="n">
        <v>3</v>
      </c>
      <c r="AI1783" s="7" t="n">
        <v>3</v>
      </c>
      <c r="AJ1783" s="7" t="n">
        <v>4</v>
      </c>
      <c r="AK1783" s="7" t="n">
        <v>4</v>
      </c>
      <c r="AL1783" s="7" t="n">
        <v>10</v>
      </c>
      <c r="AM1783" s="7" t="n">
        <v>10</v>
      </c>
      <c r="AN1783" s="7" t="n">
        <v>1</v>
      </c>
      <c r="AO1783" s="7" t="n">
        <v>1</v>
      </c>
      <c r="AP1783" s="7" t="n">
        <v>0</v>
      </c>
      <c r="AQ1783" s="7" t="n">
        <v>0</v>
      </c>
      <c r="AR1783" s="6" t="s">
        <v>63</v>
      </c>
      <c r="AS1783" s="6" t="s">
        <v>57</v>
      </c>
      <c r="AT1783" s="9" t="str">
        <f aca="false">HYPERLINK("http://catalog.hathitrust.org/Record/001380933","HathiTrust Record")</f>
        <v>HathiTrust Record</v>
      </c>
      <c r="AU1783" s="9" t="str">
        <f aca="false">HYPERLINK("https://creighton-primo.hosted.exlibrisgroup.com/primo-explore/search?tab=default_tab&amp;search_scope=EVERYTHING&amp;vid=01CRU&amp;lang=en_US&amp;offset=0&amp;query=any,contains,991002545149702656","Catalog Record")</f>
        <v>Catalog Record</v>
      </c>
      <c r="AV1783" s="9" t="str">
        <f aca="false">HYPERLINK("http://www.worldcat.org/oclc/368643","WorldCat Record")</f>
        <v>WorldCat Record</v>
      </c>
      <c r="AW1783" s="6" t="s">
        <v>15483</v>
      </c>
      <c r="AX1783" s="6" t="s">
        <v>15484</v>
      </c>
      <c r="AY1783" s="6" t="s">
        <v>15485</v>
      </c>
      <c r="AZ1783" s="6" t="s">
        <v>15485</v>
      </c>
      <c r="BA1783" s="6" t="s">
        <v>15486</v>
      </c>
      <c r="BB1783" s="28"/>
      <c r="BC1783" s="6" t="s">
        <v>15487</v>
      </c>
      <c r="BE1783" s="15" t="s">
        <v>2145</v>
      </c>
      <c r="BF1783" s="6" t="s">
        <v>15488</v>
      </c>
    </row>
    <row r="1784" customFormat="false" ht="186" hidden="false" customHeight="false" outlineLevel="0" collapsed="false">
      <c r="A1784" s="26" t="s">
        <v>63</v>
      </c>
      <c r="B1784" s="27" t="s">
        <v>2129</v>
      </c>
      <c r="C1784" s="27" t="s">
        <v>2130</v>
      </c>
      <c r="D1784" s="27" t="s">
        <v>15489</v>
      </c>
      <c r="E1784" s="27" t="s">
        <v>15490</v>
      </c>
      <c r="F1784" s="27" t="s">
        <v>15491</v>
      </c>
      <c r="G1784" s="28"/>
      <c r="H1784" s="6" t="s">
        <v>63</v>
      </c>
      <c r="I1784" s="6" t="s">
        <v>62</v>
      </c>
      <c r="J1784" s="6" t="s">
        <v>63</v>
      </c>
      <c r="K1784" s="6" t="s">
        <v>63</v>
      </c>
      <c r="L1784" s="6" t="s">
        <v>64</v>
      </c>
      <c r="M1784" s="27" t="s">
        <v>14878</v>
      </c>
      <c r="N1784" s="27" t="s">
        <v>15492</v>
      </c>
      <c r="O1784" s="6" t="s">
        <v>4053</v>
      </c>
      <c r="P1784" s="28"/>
      <c r="Q1784" s="6" t="s">
        <v>67</v>
      </c>
      <c r="R1784" s="6" t="s">
        <v>222</v>
      </c>
      <c r="S1784" s="27" t="s">
        <v>15493</v>
      </c>
      <c r="T1784" s="6" t="s">
        <v>6138</v>
      </c>
      <c r="U1784" s="7" t="n">
        <v>4</v>
      </c>
      <c r="V1784" s="7" t="n">
        <v>4</v>
      </c>
      <c r="W1784" s="8" t="s">
        <v>15494</v>
      </c>
      <c r="X1784" s="8" t="s">
        <v>15494</v>
      </c>
      <c r="Y1784" s="8" t="s">
        <v>15447</v>
      </c>
      <c r="Z1784" s="8" t="s">
        <v>15447</v>
      </c>
      <c r="AA1784" s="7" t="n">
        <v>352</v>
      </c>
      <c r="AB1784" s="7" t="n">
        <v>250</v>
      </c>
      <c r="AC1784" s="7" t="n">
        <v>429</v>
      </c>
      <c r="AD1784" s="7" t="n">
        <v>2</v>
      </c>
      <c r="AE1784" s="7" t="n">
        <v>2</v>
      </c>
      <c r="AF1784" s="7" t="n">
        <v>14</v>
      </c>
      <c r="AG1784" s="7" t="n">
        <v>24</v>
      </c>
      <c r="AH1784" s="7" t="n">
        <v>6</v>
      </c>
      <c r="AI1784" s="7" t="n">
        <v>9</v>
      </c>
      <c r="AJ1784" s="7" t="n">
        <v>4</v>
      </c>
      <c r="AK1784" s="7" t="n">
        <v>7</v>
      </c>
      <c r="AL1784" s="7" t="n">
        <v>10</v>
      </c>
      <c r="AM1784" s="7" t="n">
        <v>16</v>
      </c>
      <c r="AN1784" s="7" t="n">
        <v>0</v>
      </c>
      <c r="AO1784" s="7" t="n">
        <v>0</v>
      </c>
      <c r="AP1784" s="7" t="n">
        <v>0</v>
      </c>
      <c r="AQ1784" s="7" t="n">
        <v>1</v>
      </c>
      <c r="AR1784" s="6" t="s">
        <v>63</v>
      </c>
      <c r="AS1784" s="6" t="s">
        <v>63</v>
      </c>
      <c r="AT1784" s="28"/>
      <c r="AU1784" s="9" t="str">
        <f aca="false">HYPERLINK("https://creighton-primo.hosted.exlibrisgroup.com/primo-explore/search?tab=default_tab&amp;search_scope=EVERYTHING&amp;vid=01CRU&amp;lang=en_US&amp;offset=0&amp;query=any,contains,991003489749702656","Catalog Record")</f>
        <v>Catalog Record</v>
      </c>
      <c r="AV1784" s="9" t="str">
        <f aca="false">HYPERLINK("http://www.worldcat.org/oclc/1038795","WorldCat Record")</f>
        <v>WorldCat Record</v>
      </c>
      <c r="AW1784" s="6" t="s">
        <v>15495</v>
      </c>
      <c r="AX1784" s="6" t="s">
        <v>15496</v>
      </c>
      <c r="AY1784" s="6" t="s">
        <v>15497</v>
      </c>
      <c r="AZ1784" s="6" t="s">
        <v>15497</v>
      </c>
      <c r="BA1784" s="6" t="s">
        <v>15498</v>
      </c>
      <c r="BB1784" s="28"/>
      <c r="BC1784" s="6" t="s">
        <v>15499</v>
      </c>
      <c r="BE1784" s="15" t="s">
        <v>2145</v>
      </c>
      <c r="BF1784" s="6" t="s">
        <v>15500</v>
      </c>
    </row>
    <row r="1785" customFormat="false" ht="82.5" hidden="false" customHeight="false" outlineLevel="0" collapsed="false">
      <c r="A1785" s="26" t="s">
        <v>63</v>
      </c>
      <c r="B1785" s="27" t="s">
        <v>2129</v>
      </c>
      <c r="C1785" s="27" t="s">
        <v>2130</v>
      </c>
      <c r="D1785" s="27" t="s">
        <v>15501</v>
      </c>
      <c r="E1785" s="27" t="s">
        <v>15502</v>
      </c>
      <c r="F1785" s="27" t="s">
        <v>15503</v>
      </c>
      <c r="G1785" s="28"/>
      <c r="H1785" s="6" t="s">
        <v>63</v>
      </c>
      <c r="I1785" s="6" t="s">
        <v>62</v>
      </c>
      <c r="J1785" s="6" t="s">
        <v>63</v>
      </c>
      <c r="K1785" s="6" t="s">
        <v>63</v>
      </c>
      <c r="L1785" s="6" t="s">
        <v>64</v>
      </c>
      <c r="M1785" s="27" t="s">
        <v>15504</v>
      </c>
      <c r="N1785" s="27" t="s">
        <v>15505</v>
      </c>
      <c r="O1785" s="6" t="s">
        <v>152</v>
      </c>
      <c r="P1785" s="28"/>
      <c r="Q1785" s="6" t="s">
        <v>67</v>
      </c>
      <c r="R1785" s="6" t="s">
        <v>68</v>
      </c>
      <c r="S1785" s="28"/>
      <c r="T1785" s="6" t="s">
        <v>6138</v>
      </c>
      <c r="U1785" s="7" t="n">
        <v>3</v>
      </c>
      <c r="V1785" s="7" t="n">
        <v>3</v>
      </c>
      <c r="W1785" s="8" t="s">
        <v>9561</v>
      </c>
      <c r="X1785" s="8" t="s">
        <v>9561</v>
      </c>
      <c r="Y1785" s="8" t="s">
        <v>15447</v>
      </c>
      <c r="Z1785" s="8" t="s">
        <v>15447</v>
      </c>
      <c r="AA1785" s="7" t="n">
        <v>452</v>
      </c>
      <c r="AB1785" s="7" t="n">
        <v>395</v>
      </c>
      <c r="AC1785" s="7" t="n">
        <v>450</v>
      </c>
      <c r="AD1785" s="7" t="n">
        <v>3</v>
      </c>
      <c r="AE1785" s="7" t="n">
        <v>4</v>
      </c>
      <c r="AF1785" s="7" t="n">
        <v>27</v>
      </c>
      <c r="AG1785" s="7" t="n">
        <v>31</v>
      </c>
      <c r="AH1785" s="7" t="n">
        <v>11</v>
      </c>
      <c r="AI1785" s="7" t="n">
        <v>12</v>
      </c>
      <c r="AJ1785" s="7" t="n">
        <v>9</v>
      </c>
      <c r="AK1785" s="7" t="n">
        <v>9</v>
      </c>
      <c r="AL1785" s="7" t="n">
        <v>16</v>
      </c>
      <c r="AM1785" s="7" t="n">
        <v>19</v>
      </c>
      <c r="AN1785" s="7" t="n">
        <v>1</v>
      </c>
      <c r="AO1785" s="7" t="n">
        <v>2</v>
      </c>
      <c r="AP1785" s="7" t="n">
        <v>0</v>
      </c>
      <c r="AQ1785" s="7" t="n">
        <v>0</v>
      </c>
      <c r="AR1785" s="6" t="s">
        <v>63</v>
      </c>
      <c r="AS1785" s="6" t="s">
        <v>63</v>
      </c>
      <c r="AT1785" s="28"/>
      <c r="AU1785" s="9" t="str">
        <f aca="false">HYPERLINK("https://creighton-primo.hosted.exlibrisgroup.com/primo-explore/search?tab=default_tab&amp;search_scope=EVERYTHING&amp;vid=01CRU&amp;lang=en_US&amp;offset=0&amp;query=any,contains,991000461369702656","Catalog Record")</f>
        <v>Catalog Record</v>
      </c>
      <c r="AV1785" s="9" t="str">
        <f aca="false">HYPERLINK("http://www.worldcat.org/oclc/10937032","WorldCat Record")</f>
        <v>WorldCat Record</v>
      </c>
      <c r="AW1785" s="6" t="s">
        <v>15506</v>
      </c>
      <c r="AX1785" s="6" t="s">
        <v>15507</v>
      </c>
      <c r="AY1785" s="6" t="s">
        <v>15508</v>
      </c>
      <c r="AZ1785" s="6" t="s">
        <v>15508</v>
      </c>
      <c r="BA1785" s="6" t="s">
        <v>15509</v>
      </c>
      <c r="BB1785" s="6" t="s">
        <v>15510</v>
      </c>
      <c r="BC1785" s="6" t="s">
        <v>15511</v>
      </c>
      <c r="BE1785" s="15" t="s">
        <v>2145</v>
      </c>
      <c r="BF1785" s="6" t="s">
        <v>15512</v>
      </c>
    </row>
    <row r="1786" customFormat="false" ht="71" hidden="false" customHeight="false" outlineLevel="0" collapsed="false">
      <c r="A1786" s="26" t="s">
        <v>57</v>
      </c>
      <c r="B1786" s="27" t="s">
        <v>2129</v>
      </c>
      <c r="C1786" s="27" t="s">
        <v>2130</v>
      </c>
      <c r="D1786" s="27" t="s">
        <v>15513</v>
      </c>
      <c r="E1786" s="27" t="s">
        <v>15514</v>
      </c>
      <c r="F1786" s="27" t="s">
        <v>15515</v>
      </c>
      <c r="G1786" s="28"/>
      <c r="H1786" s="6" t="s">
        <v>63</v>
      </c>
      <c r="I1786" s="6" t="s">
        <v>62</v>
      </c>
      <c r="J1786" s="6" t="s">
        <v>63</v>
      </c>
      <c r="K1786" s="6" t="s">
        <v>63</v>
      </c>
      <c r="L1786" s="6" t="s">
        <v>64</v>
      </c>
      <c r="M1786" s="27" t="s">
        <v>5243</v>
      </c>
      <c r="N1786" s="27" t="s">
        <v>10282</v>
      </c>
      <c r="O1786" s="6" t="s">
        <v>246</v>
      </c>
      <c r="P1786" s="28"/>
      <c r="Q1786" s="6" t="s">
        <v>67</v>
      </c>
      <c r="R1786" s="6" t="s">
        <v>181</v>
      </c>
      <c r="S1786" s="28"/>
      <c r="T1786" s="6" t="s">
        <v>6138</v>
      </c>
      <c r="U1786" s="7" t="n">
        <v>3</v>
      </c>
      <c r="V1786" s="7" t="n">
        <v>3</v>
      </c>
      <c r="W1786" s="8" t="s">
        <v>15516</v>
      </c>
      <c r="X1786" s="8" t="s">
        <v>15516</v>
      </c>
      <c r="Y1786" s="8" t="s">
        <v>15447</v>
      </c>
      <c r="Z1786" s="8" t="s">
        <v>15447</v>
      </c>
      <c r="AA1786" s="7" t="n">
        <v>637</v>
      </c>
      <c r="AB1786" s="7" t="n">
        <v>564</v>
      </c>
      <c r="AC1786" s="7" t="n">
        <v>590</v>
      </c>
      <c r="AD1786" s="7" t="n">
        <v>3</v>
      </c>
      <c r="AE1786" s="7" t="n">
        <v>4</v>
      </c>
      <c r="AF1786" s="7" t="n">
        <v>38</v>
      </c>
      <c r="AG1786" s="7" t="n">
        <v>39</v>
      </c>
      <c r="AH1786" s="7" t="n">
        <v>16</v>
      </c>
      <c r="AI1786" s="7" t="n">
        <v>16</v>
      </c>
      <c r="AJ1786" s="7" t="n">
        <v>9</v>
      </c>
      <c r="AK1786" s="7" t="n">
        <v>9</v>
      </c>
      <c r="AL1786" s="7" t="n">
        <v>24</v>
      </c>
      <c r="AM1786" s="7" t="n">
        <v>24</v>
      </c>
      <c r="AN1786" s="7" t="n">
        <v>1</v>
      </c>
      <c r="AO1786" s="7" t="n">
        <v>2</v>
      </c>
      <c r="AP1786" s="7" t="n">
        <v>0</v>
      </c>
      <c r="AQ1786" s="7" t="n">
        <v>0</v>
      </c>
      <c r="AR1786" s="6" t="s">
        <v>63</v>
      </c>
      <c r="AS1786" s="6" t="s">
        <v>63</v>
      </c>
      <c r="AT1786" s="28"/>
      <c r="AU1786" s="9" t="str">
        <f aca="false">HYPERLINK("https://creighton-primo.hosted.exlibrisgroup.com/primo-explore/search?tab=default_tab&amp;search_scope=EVERYTHING&amp;vid=01CRU&amp;lang=en_US&amp;offset=0&amp;query=any,contains,991004695619702656","Catalog Record")</f>
        <v>Catalog Record</v>
      </c>
      <c r="AV1786" s="9" t="str">
        <f aca="false">HYPERLINK("http://www.worldcat.org/oclc/4639123","WorldCat Record")</f>
        <v>WorldCat Record</v>
      </c>
      <c r="AW1786" s="6" t="s">
        <v>15517</v>
      </c>
      <c r="AX1786" s="6" t="s">
        <v>15518</v>
      </c>
      <c r="AY1786" s="6" t="s">
        <v>15519</v>
      </c>
      <c r="AZ1786" s="6" t="s">
        <v>15519</v>
      </c>
      <c r="BA1786" s="6" t="s">
        <v>15520</v>
      </c>
      <c r="BB1786" s="6" t="s">
        <v>15521</v>
      </c>
      <c r="BC1786" s="6" t="s">
        <v>15522</v>
      </c>
      <c r="BE1786" s="15" t="s">
        <v>2145</v>
      </c>
      <c r="BF1786" s="6" t="s">
        <v>15523</v>
      </c>
    </row>
    <row r="1787" customFormat="false" ht="128.5" hidden="false" customHeight="false" outlineLevel="0" collapsed="false">
      <c r="A1787" s="26" t="s">
        <v>57</v>
      </c>
      <c r="B1787" s="27" t="s">
        <v>2129</v>
      </c>
      <c r="C1787" s="27" t="s">
        <v>2130</v>
      </c>
      <c r="D1787" s="27" t="s">
        <v>15524</v>
      </c>
      <c r="E1787" s="27" t="s">
        <v>15525</v>
      </c>
      <c r="F1787" s="27" t="s">
        <v>15526</v>
      </c>
      <c r="G1787" s="28"/>
      <c r="H1787" s="6" t="s">
        <v>63</v>
      </c>
      <c r="I1787" s="6" t="s">
        <v>62</v>
      </c>
      <c r="J1787" s="6" t="s">
        <v>63</v>
      </c>
      <c r="K1787" s="6" t="s">
        <v>63</v>
      </c>
      <c r="L1787" s="6" t="s">
        <v>64</v>
      </c>
      <c r="M1787" s="27" t="s">
        <v>15527</v>
      </c>
      <c r="N1787" s="27" t="s">
        <v>15528</v>
      </c>
      <c r="O1787" s="6" t="s">
        <v>2623</v>
      </c>
      <c r="P1787" s="28"/>
      <c r="Q1787" s="6" t="s">
        <v>67</v>
      </c>
      <c r="R1787" s="6" t="s">
        <v>68</v>
      </c>
      <c r="S1787" s="28"/>
      <c r="T1787" s="6" t="s">
        <v>6138</v>
      </c>
      <c r="U1787" s="7" t="n">
        <v>3</v>
      </c>
      <c r="V1787" s="7" t="n">
        <v>3</v>
      </c>
      <c r="W1787" s="8" t="s">
        <v>4264</v>
      </c>
      <c r="X1787" s="8" t="s">
        <v>4264</v>
      </c>
      <c r="Y1787" s="8" t="s">
        <v>15447</v>
      </c>
      <c r="Z1787" s="8" t="s">
        <v>15447</v>
      </c>
      <c r="AA1787" s="7" t="n">
        <v>590</v>
      </c>
      <c r="AB1787" s="7" t="n">
        <v>513</v>
      </c>
      <c r="AC1787" s="7" t="n">
        <v>559</v>
      </c>
      <c r="AD1787" s="7" t="n">
        <v>5</v>
      </c>
      <c r="AE1787" s="7" t="n">
        <v>6</v>
      </c>
      <c r="AF1787" s="7" t="n">
        <v>33</v>
      </c>
      <c r="AG1787" s="7" t="n">
        <v>34</v>
      </c>
      <c r="AH1787" s="7" t="n">
        <v>13</v>
      </c>
      <c r="AI1787" s="7" t="n">
        <v>13</v>
      </c>
      <c r="AJ1787" s="7" t="n">
        <v>9</v>
      </c>
      <c r="AK1787" s="7" t="n">
        <v>9</v>
      </c>
      <c r="AL1787" s="7" t="n">
        <v>20</v>
      </c>
      <c r="AM1787" s="7" t="n">
        <v>20</v>
      </c>
      <c r="AN1787" s="7" t="n">
        <v>3</v>
      </c>
      <c r="AO1787" s="7" t="n">
        <v>4</v>
      </c>
      <c r="AP1787" s="7" t="n">
        <v>0</v>
      </c>
      <c r="AQ1787" s="7" t="n">
        <v>0</v>
      </c>
      <c r="AR1787" s="6" t="s">
        <v>63</v>
      </c>
      <c r="AS1787" s="6" t="s">
        <v>57</v>
      </c>
      <c r="AT1787" s="9" t="str">
        <f aca="false">HYPERLINK("http://catalog.hathitrust.org/Record/102080240","HathiTrust Record")</f>
        <v>HathiTrust Record</v>
      </c>
      <c r="AU1787" s="9" t="str">
        <f aca="false">HYPERLINK("https://creighton-primo.hosted.exlibrisgroup.com/primo-explore/search?tab=default_tab&amp;search_scope=EVERYTHING&amp;vid=01CRU&amp;lang=en_US&amp;offset=0&amp;query=any,contains,991004793299702656","Catalog Record")</f>
        <v>Catalog Record</v>
      </c>
      <c r="AV1787" s="9" t="str">
        <f aca="false">HYPERLINK("http://www.worldcat.org/oclc/5171962","WorldCat Record")</f>
        <v>WorldCat Record</v>
      </c>
      <c r="AW1787" s="6" t="s">
        <v>15529</v>
      </c>
      <c r="AX1787" s="6" t="s">
        <v>15530</v>
      </c>
      <c r="AY1787" s="6" t="s">
        <v>15531</v>
      </c>
      <c r="AZ1787" s="6" t="s">
        <v>15531</v>
      </c>
      <c r="BA1787" s="6" t="s">
        <v>15532</v>
      </c>
      <c r="BB1787" s="6" t="s">
        <v>15533</v>
      </c>
      <c r="BC1787" s="6" t="s">
        <v>15534</v>
      </c>
      <c r="BE1787" s="15" t="s">
        <v>2145</v>
      </c>
      <c r="BF1787" s="6" t="s">
        <v>15535</v>
      </c>
    </row>
    <row r="1788" customFormat="false" ht="105.5" hidden="false" customHeight="false" outlineLevel="0" collapsed="false">
      <c r="A1788" s="26" t="s">
        <v>63</v>
      </c>
      <c r="B1788" s="27" t="s">
        <v>2129</v>
      </c>
      <c r="C1788" s="27" t="s">
        <v>2130</v>
      </c>
      <c r="D1788" s="27" t="s">
        <v>15536</v>
      </c>
      <c r="E1788" s="27" t="s">
        <v>15537</v>
      </c>
      <c r="F1788" s="27" t="s">
        <v>15538</v>
      </c>
      <c r="G1788" s="28"/>
      <c r="H1788" s="6" t="s">
        <v>63</v>
      </c>
      <c r="I1788" s="6" t="s">
        <v>62</v>
      </c>
      <c r="J1788" s="6" t="s">
        <v>63</v>
      </c>
      <c r="K1788" s="6" t="s">
        <v>63</v>
      </c>
      <c r="L1788" s="6" t="s">
        <v>64</v>
      </c>
      <c r="M1788" s="27" t="s">
        <v>15539</v>
      </c>
      <c r="N1788" s="27" t="s">
        <v>15540</v>
      </c>
      <c r="O1788" s="6" t="s">
        <v>2975</v>
      </c>
      <c r="P1788" s="28"/>
      <c r="Q1788" s="6" t="s">
        <v>67</v>
      </c>
      <c r="R1788" s="6" t="s">
        <v>1059</v>
      </c>
      <c r="S1788" s="27" t="s">
        <v>15541</v>
      </c>
      <c r="T1788" s="6" t="s">
        <v>6138</v>
      </c>
      <c r="U1788" s="7" t="n">
        <v>2</v>
      </c>
      <c r="V1788" s="7" t="n">
        <v>2</v>
      </c>
      <c r="W1788" s="8" t="s">
        <v>15542</v>
      </c>
      <c r="X1788" s="8" t="s">
        <v>15542</v>
      </c>
      <c r="Y1788" s="8" t="s">
        <v>15447</v>
      </c>
      <c r="Z1788" s="8" t="s">
        <v>15447</v>
      </c>
      <c r="AA1788" s="7" t="n">
        <v>231</v>
      </c>
      <c r="AB1788" s="7" t="n">
        <v>185</v>
      </c>
      <c r="AC1788" s="7" t="n">
        <v>266</v>
      </c>
      <c r="AD1788" s="7" t="n">
        <v>2</v>
      </c>
      <c r="AE1788" s="7" t="n">
        <v>2</v>
      </c>
      <c r="AF1788" s="7" t="n">
        <v>12</v>
      </c>
      <c r="AG1788" s="7" t="n">
        <v>18</v>
      </c>
      <c r="AH1788" s="7" t="n">
        <v>1</v>
      </c>
      <c r="AI1788" s="7" t="n">
        <v>2</v>
      </c>
      <c r="AJ1788" s="7" t="n">
        <v>2</v>
      </c>
      <c r="AK1788" s="7" t="n">
        <v>6</v>
      </c>
      <c r="AL1788" s="7" t="n">
        <v>10</v>
      </c>
      <c r="AM1788" s="7" t="n">
        <v>14</v>
      </c>
      <c r="AN1788" s="7" t="n">
        <v>1</v>
      </c>
      <c r="AO1788" s="7" t="n">
        <v>1</v>
      </c>
      <c r="AP1788" s="7" t="n">
        <v>0</v>
      </c>
      <c r="AQ1788" s="7" t="n">
        <v>0</v>
      </c>
      <c r="AR1788" s="6" t="s">
        <v>63</v>
      </c>
      <c r="AS1788" s="6" t="s">
        <v>57</v>
      </c>
      <c r="AT1788" s="9" t="str">
        <f aca="false">HYPERLINK("http://catalog.hathitrust.org/Record/007115204","HathiTrust Record")</f>
        <v>HathiTrust Record</v>
      </c>
      <c r="AU1788" s="9" t="str">
        <f aca="false">HYPERLINK("https://creighton-primo.hosted.exlibrisgroup.com/primo-explore/search?tab=default_tab&amp;search_scope=EVERYTHING&amp;vid=01CRU&amp;lang=en_US&amp;offset=0&amp;query=any,contains,991000500999702656","Catalog Record")</f>
        <v>Catalog Record</v>
      </c>
      <c r="AV1788" s="9" t="str">
        <f aca="false">HYPERLINK("http://www.worldcat.org/oclc/81332","WorldCat Record")</f>
        <v>WorldCat Record</v>
      </c>
      <c r="AW1788" s="6" t="s">
        <v>15543</v>
      </c>
      <c r="AX1788" s="6" t="s">
        <v>15544</v>
      </c>
      <c r="AY1788" s="6" t="s">
        <v>15545</v>
      </c>
      <c r="AZ1788" s="6" t="s">
        <v>15545</v>
      </c>
      <c r="BA1788" s="6" t="s">
        <v>15546</v>
      </c>
      <c r="BB1788" s="6" t="s">
        <v>15547</v>
      </c>
      <c r="BC1788" s="6" t="s">
        <v>15548</v>
      </c>
      <c r="BE1788" s="15" t="s">
        <v>2145</v>
      </c>
      <c r="BF1788" s="6" t="s">
        <v>15549</v>
      </c>
    </row>
    <row r="1789" customFormat="false" ht="140" hidden="false" customHeight="false" outlineLevel="0" collapsed="false">
      <c r="A1789" s="26" t="s">
        <v>63</v>
      </c>
      <c r="B1789" s="27" t="s">
        <v>2129</v>
      </c>
      <c r="C1789" s="27" t="s">
        <v>2130</v>
      </c>
      <c r="D1789" s="27" t="s">
        <v>15550</v>
      </c>
      <c r="E1789" s="27" t="s">
        <v>15551</v>
      </c>
      <c r="F1789" s="27" t="s">
        <v>15552</v>
      </c>
      <c r="G1789" s="28"/>
      <c r="H1789" s="6" t="s">
        <v>63</v>
      </c>
      <c r="I1789" s="6" t="s">
        <v>62</v>
      </c>
      <c r="J1789" s="6" t="s">
        <v>63</v>
      </c>
      <c r="K1789" s="6" t="s">
        <v>63</v>
      </c>
      <c r="L1789" s="6" t="s">
        <v>64</v>
      </c>
      <c r="M1789" s="27" t="s">
        <v>15553</v>
      </c>
      <c r="N1789" s="27" t="s">
        <v>15554</v>
      </c>
      <c r="O1789" s="6" t="s">
        <v>2893</v>
      </c>
      <c r="P1789" s="28"/>
      <c r="Q1789" s="6" t="s">
        <v>67</v>
      </c>
      <c r="R1789" s="6" t="s">
        <v>272</v>
      </c>
      <c r="S1789" s="28"/>
      <c r="T1789" s="6" t="s">
        <v>6138</v>
      </c>
      <c r="U1789" s="7" t="n">
        <v>5</v>
      </c>
      <c r="V1789" s="7" t="n">
        <v>5</v>
      </c>
      <c r="W1789" s="8" t="s">
        <v>15555</v>
      </c>
      <c r="X1789" s="8" t="s">
        <v>15555</v>
      </c>
      <c r="Y1789" s="8" t="s">
        <v>15447</v>
      </c>
      <c r="Z1789" s="8" t="s">
        <v>15447</v>
      </c>
      <c r="AA1789" s="7" t="n">
        <v>533</v>
      </c>
      <c r="AB1789" s="7" t="n">
        <v>430</v>
      </c>
      <c r="AC1789" s="7" t="n">
        <v>459</v>
      </c>
      <c r="AD1789" s="7" t="n">
        <v>3</v>
      </c>
      <c r="AE1789" s="7" t="n">
        <v>4</v>
      </c>
      <c r="AF1789" s="7" t="n">
        <v>29</v>
      </c>
      <c r="AG1789" s="7" t="n">
        <v>30</v>
      </c>
      <c r="AH1789" s="7" t="n">
        <v>11</v>
      </c>
      <c r="AI1789" s="7" t="n">
        <v>12</v>
      </c>
      <c r="AJ1789" s="7" t="n">
        <v>7</v>
      </c>
      <c r="AK1789" s="7" t="n">
        <v>7</v>
      </c>
      <c r="AL1789" s="7" t="n">
        <v>20</v>
      </c>
      <c r="AM1789" s="7" t="n">
        <v>20</v>
      </c>
      <c r="AN1789" s="7" t="n">
        <v>2</v>
      </c>
      <c r="AO1789" s="7" t="n">
        <v>2</v>
      </c>
      <c r="AP1789" s="7" t="n">
        <v>0</v>
      </c>
      <c r="AQ1789" s="7" t="n">
        <v>0</v>
      </c>
      <c r="AR1789" s="6" t="s">
        <v>63</v>
      </c>
      <c r="AS1789" s="6" t="s">
        <v>57</v>
      </c>
      <c r="AT1789" s="9" t="str">
        <f aca="false">HYPERLINK("http://catalog.hathitrust.org/Record/004367749","HathiTrust Record")</f>
        <v>HathiTrust Record</v>
      </c>
      <c r="AU1789" s="9" t="str">
        <f aca="false">HYPERLINK("https://creighton-primo.hosted.exlibrisgroup.com/primo-explore/search?tab=default_tab&amp;search_scope=EVERYTHING&amp;vid=01CRU&amp;lang=en_US&amp;offset=0&amp;query=any,contains,991005367649702656","Catalog Record")</f>
        <v>Catalog Record</v>
      </c>
      <c r="AV1789" s="9" t="str">
        <f aca="false">HYPERLINK("http://www.worldcat.org/oclc/2003492","WorldCat Record")</f>
        <v>WorldCat Record</v>
      </c>
      <c r="AW1789" s="6" t="s">
        <v>15556</v>
      </c>
      <c r="AX1789" s="6" t="s">
        <v>15557</v>
      </c>
      <c r="AY1789" s="6" t="s">
        <v>15558</v>
      </c>
      <c r="AZ1789" s="6" t="s">
        <v>15558</v>
      </c>
      <c r="BA1789" s="6" t="s">
        <v>15559</v>
      </c>
      <c r="BB1789" s="6" t="s">
        <v>15560</v>
      </c>
      <c r="BC1789" s="6" t="s">
        <v>15561</v>
      </c>
      <c r="BE1789" s="15" t="s">
        <v>2145</v>
      </c>
      <c r="BF1789" s="6" t="s">
        <v>15562</v>
      </c>
    </row>
    <row r="1790" customFormat="false" ht="94" hidden="false" customHeight="false" outlineLevel="0" collapsed="false">
      <c r="A1790" s="26" t="s">
        <v>63</v>
      </c>
      <c r="B1790" s="27" t="s">
        <v>2129</v>
      </c>
      <c r="C1790" s="27" t="s">
        <v>2130</v>
      </c>
      <c r="D1790" s="27" t="s">
        <v>15563</v>
      </c>
      <c r="E1790" s="27" t="s">
        <v>15564</v>
      </c>
      <c r="F1790" s="27" t="s">
        <v>15565</v>
      </c>
      <c r="G1790" s="28"/>
      <c r="H1790" s="6" t="s">
        <v>63</v>
      </c>
      <c r="I1790" s="6" t="s">
        <v>62</v>
      </c>
      <c r="J1790" s="6" t="s">
        <v>63</v>
      </c>
      <c r="K1790" s="6" t="s">
        <v>63</v>
      </c>
      <c r="L1790" s="6" t="s">
        <v>64</v>
      </c>
      <c r="M1790" s="27" t="s">
        <v>15566</v>
      </c>
      <c r="N1790" s="27" t="s">
        <v>6442</v>
      </c>
      <c r="O1790" s="6" t="s">
        <v>208</v>
      </c>
      <c r="P1790" s="28"/>
      <c r="Q1790" s="6" t="s">
        <v>67</v>
      </c>
      <c r="R1790" s="6" t="s">
        <v>1059</v>
      </c>
      <c r="S1790" s="28"/>
      <c r="T1790" s="6" t="s">
        <v>6138</v>
      </c>
      <c r="U1790" s="7" t="n">
        <v>1</v>
      </c>
      <c r="V1790" s="7" t="n">
        <v>1</v>
      </c>
      <c r="W1790" s="8" t="s">
        <v>15567</v>
      </c>
      <c r="X1790" s="8" t="s">
        <v>15567</v>
      </c>
      <c r="Y1790" s="8" t="s">
        <v>15447</v>
      </c>
      <c r="Z1790" s="8" t="s">
        <v>15447</v>
      </c>
      <c r="AA1790" s="7" t="n">
        <v>536</v>
      </c>
      <c r="AB1790" s="7" t="n">
        <v>409</v>
      </c>
      <c r="AC1790" s="7" t="n">
        <v>423</v>
      </c>
      <c r="AD1790" s="7" t="n">
        <v>3</v>
      </c>
      <c r="AE1790" s="7" t="n">
        <v>3</v>
      </c>
      <c r="AF1790" s="7" t="n">
        <v>24</v>
      </c>
      <c r="AG1790" s="7" t="n">
        <v>25</v>
      </c>
      <c r="AH1790" s="7" t="n">
        <v>5</v>
      </c>
      <c r="AI1790" s="7" t="n">
        <v>6</v>
      </c>
      <c r="AJ1790" s="7" t="n">
        <v>7</v>
      </c>
      <c r="AK1790" s="7" t="n">
        <v>7</v>
      </c>
      <c r="AL1790" s="7" t="n">
        <v>18</v>
      </c>
      <c r="AM1790" s="7" t="n">
        <v>19</v>
      </c>
      <c r="AN1790" s="7" t="n">
        <v>2</v>
      </c>
      <c r="AO1790" s="7" t="n">
        <v>2</v>
      </c>
      <c r="AP1790" s="7" t="n">
        <v>0</v>
      </c>
      <c r="AQ1790" s="7" t="n">
        <v>0</v>
      </c>
      <c r="AR1790" s="6" t="s">
        <v>63</v>
      </c>
      <c r="AS1790" s="6" t="s">
        <v>63</v>
      </c>
      <c r="AT1790" s="28"/>
      <c r="AU1790" s="9" t="str">
        <f aca="false">HYPERLINK("https://creighton-primo.hosted.exlibrisgroup.com/primo-explore/search?tab=default_tab&amp;search_scope=EVERYTHING&amp;vid=01CRU&amp;lang=en_US&amp;offset=0&amp;query=any,contains,991000901379702656","Catalog Record")</f>
        <v>Catalog Record</v>
      </c>
      <c r="AV1790" s="9" t="str">
        <f aca="false">HYPERLINK("http://www.worldcat.org/oclc/14067972","WorldCat Record")</f>
        <v>WorldCat Record</v>
      </c>
      <c r="AW1790" s="6" t="s">
        <v>15568</v>
      </c>
      <c r="AX1790" s="6" t="s">
        <v>15569</v>
      </c>
      <c r="AY1790" s="6" t="s">
        <v>15570</v>
      </c>
      <c r="AZ1790" s="6" t="s">
        <v>15570</v>
      </c>
      <c r="BA1790" s="6" t="s">
        <v>15571</v>
      </c>
      <c r="BB1790" s="6" t="s">
        <v>15572</v>
      </c>
      <c r="BC1790" s="6" t="s">
        <v>15573</v>
      </c>
      <c r="BE1790" s="15" t="s">
        <v>2145</v>
      </c>
      <c r="BF1790" s="6" t="s">
        <v>15574</v>
      </c>
    </row>
    <row r="1791" customFormat="false" ht="289.5" hidden="false" customHeight="false" outlineLevel="0" collapsed="false">
      <c r="A1791" s="26" t="s">
        <v>63</v>
      </c>
      <c r="B1791" s="27" t="s">
        <v>2129</v>
      </c>
      <c r="C1791" s="27" t="s">
        <v>2130</v>
      </c>
      <c r="D1791" s="27" t="s">
        <v>15575</v>
      </c>
      <c r="E1791" s="27" t="s">
        <v>15576</v>
      </c>
      <c r="F1791" s="27" t="s">
        <v>15577</v>
      </c>
      <c r="G1791" s="28"/>
      <c r="H1791" s="6" t="s">
        <v>63</v>
      </c>
      <c r="I1791" s="6" t="s">
        <v>62</v>
      </c>
      <c r="J1791" s="6" t="s">
        <v>63</v>
      </c>
      <c r="K1791" s="6" t="s">
        <v>63</v>
      </c>
      <c r="L1791" s="6" t="s">
        <v>64</v>
      </c>
      <c r="M1791" s="27" t="s">
        <v>15553</v>
      </c>
      <c r="N1791" s="27" t="s">
        <v>15578</v>
      </c>
      <c r="O1791" s="6" t="s">
        <v>3340</v>
      </c>
      <c r="P1791" s="28"/>
      <c r="Q1791" s="6" t="s">
        <v>67</v>
      </c>
      <c r="R1791" s="6" t="s">
        <v>272</v>
      </c>
      <c r="S1791" s="28"/>
      <c r="T1791" s="6" t="s">
        <v>6138</v>
      </c>
      <c r="U1791" s="7" t="n">
        <v>1</v>
      </c>
      <c r="V1791" s="7" t="n">
        <v>1</v>
      </c>
      <c r="W1791" s="8" t="s">
        <v>9290</v>
      </c>
      <c r="X1791" s="8" t="s">
        <v>9290</v>
      </c>
      <c r="Y1791" s="8" t="s">
        <v>15447</v>
      </c>
      <c r="Z1791" s="8" t="s">
        <v>15447</v>
      </c>
      <c r="AA1791" s="7" t="n">
        <v>612</v>
      </c>
      <c r="AB1791" s="7" t="n">
        <v>490</v>
      </c>
      <c r="AC1791" s="7" t="n">
        <v>491</v>
      </c>
      <c r="AD1791" s="7" t="n">
        <v>4</v>
      </c>
      <c r="AE1791" s="7" t="n">
        <v>4</v>
      </c>
      <c r="AF1791" s="7" t="n">
        <v>37</v>
      </c>
      <c r="AG1791" s="7" t="n">
        <v>37</v>
      </c>
      <c r="AH1791" s="7" t="n">
        <v>14</v>
      </c>
      <c r="AI1791" s="7" t="n">
        <v>14</v>
      </c>
      <c r="AJ1791" s="7" t="n">
        <v>10</v>
      </c>
      <c r="AK1791" s="7" t="n">
        <v>10</v>
      </c>
      <c r="AL1791" s="7" t="n">
        <v>22</v>
      </c>
      <c r="AM1791" s="7" t="n">
        <v>22</v>
      </c>
      <c r="AN1791" s="7" t="n">
        <v>3</v>
      </c>
      <c r="AO1791" s="7" t="n">
        <v>3</v>
      </c>
      <c r="AP1791" s="7" t="n">
        <v>0</v>
      </c>
      <c r="AQ1791" s="7" t="n">
        <v>0</v>
      </c>
      <c r="AR1791" s="6" t="s">
        <v>63</v>
      </c>
      <c r="AS1791" s="6" t="s">
        <v>63</v>
      </c>
      <c r="AT1791" s="28"/>
      <c r="AU1791" s="9" t="str">
        <f aca="false">HYPERLINK("https://creighton-primo.hosted.exlibrisgroup.com/primo-explore/search?tab=default_tab&amp;search_scope=EVERYTHING&amp;vid=01CRU&amp;lang=en_US&amp;offset=0&amp;query=any,contains,991004390139702656","Catalog Record")</f>
        <v>Catalog Record</v>
      </c>
      <c r="AV1791" s="9" t="str">
        <f aca="false">HYPERLINK("http://www.worldcat.org/oclc/3259589","WorldCat Record")</f>
        <v>WorldCat Record</v>
      </c>
      <c r="AW1791" s="6" t="s">
        <v>15579</v>
      </c>
      <c r="AX1791" s="6" t="s">
        <v>15580</v>
      </c>
      <c r="AY1791" s="6" t="s">
        <v>15581</v>
      </c>
      <c r="AZ1791" s="6" t="s">
        <v>15581</v>
      </c>
      <c r="BA1791" s="6" t="s">
        <v>15582</v>
      </c>
      <c r="BB1791" s="6" t="s">
        <v>15583</v>
      </c>
      <c r="BC1791" s="6" t="s">
        <v>15584</v>
      </c>
      <c r="BE1791" s="15" t="s">
        <v>2145</v>
      </c>
      <c r="BF1791" s="6" t="s">
        <v>15585</v>
      </c>
    </row>
    <row r="1792" customFormat="false" ht="140" hidden="false" customHeight="false" outlineLevel="0" collapsed="false">
      <c r="A1792" s="26" t="s">
        <v>63</v>
      </c>
      <c r="B1792" s="27" t="s">
        <v>2129</v>
      </c>
      <c r="C1792" s="27" t="s">
        <v>2130</v>
      </c>
      <c r="D1792" s="27" t="s">
        <v>15586</v>
      </c>
      <c r="E1792" s="27" t="s">
        <v>15587</v>
      </c>
      <c r="F1792" s="27" t="s">
        <v>15588</v>
      </c>
      <c r="G1792" s="28"/>
      <c r="H1792" s="6" t="s">
        <v>63</v>
      </c>
      <c r="I1792" s="6" t="s">
        <v>62</v>
      </c>
      <c r="J1792" s="6" t="s">
        <v>63</v>
      </c>
      <c r="K1792" s="6" t="s">
        <v>63</v>
      </c>
      <c r="L1792" s="6" t="s">
        <v>64</v>
      </c>
      <c r="M1792" s="27" t="s">
        <v>15589</v>
      </c>
      <c r="N1792" s="27" t="s">
        <v>15590</v>
      </c>
      <c r="O1792" s="6" t="s">
        <v>15591</v>
      </c>
      <c r="P1792" s="28"/>
      <c r="Q1792" s="6" t="s">
        <v>67</v>
      </c>
      <c r="R1792" s="6" t="s">
        <v>68</v>
      </c>
      <c r="S1792" s="27" t="s">
        <v>15592</v>
      </c>
      <c r="T1792" s="6" t="s">
        <v>6138</v>
      </c>
      <c r="U1792" s="7" t="n">
        <v>2</v>
      </c>
      <c r="V1792" s="7" t="n">
        <v>2</v>
      </c>
      <c r="W1792" s="8" t="s">
        <v>15593</v>
      </c>
      <c r="X1792" s="8" t="s">
        <v>15593</v>
      </c>
      <c r="Y1792" s="8" t="s">
        <v>15447</v>
      </c>
      <c r="Z1792" s="8" t="s">
        <v>15447</v>
      </c>
      <c r="AA1792" s="7" t="n">
        <v>169</v>
      </c>
      <c r="AB1792" s="7" t="n">
        <v>140</v>
      </c>
      <c r="AC1792" s="7" t="n">
        <v>449</v>
      </c>
      <c r="AD1792" s="7" t="n">
        <v>2</v>
      </c>
      <c r="AE1792" s="7" t="n">
        <v>2</v>
      </c>
      <c r="AF1792" s="7" t="n">
        <v>10</v>
      </c>
      <c r="AG1792" s="7" t="n">
        <v>26</v>
      </c>
      <c r="AH1792" s="7" t="n">
        <v>3</v>
      </c>
      <c r="AI1792" s="7" t="n">
        <v>7</v>
      </c>
      <c r="AJ1792" s="7" t="n">
        <v>1</v>
      </c>
      <c r="AK1792" s="7" t="n">
        <v>9</v>
      </c>
      <c r="AL1792" s="7" t="n">
        <v>7</v>
      </c>
      <c r="AM1792" s="7" t="n">
        <v>18</v>
      </c>
      <c r="AN1792" s="7" t="n">
        <v>1</v>
      </c>
      <c r="AO1792" s="7" t="n">
        <v>1</v>
      </c>
      <c r="AP1792" s="7" t="n">
        <v>0</v>
      </c>
      <c r="AQ1792" s="7" t="n">
        <v>0</v>
      </c>
      <c r="AR1792" s="6" t="s">
        <v>63</v>
      </c>
      <c r="AS1792" s="6" t="s">
        <v>63</v>
      </c>
      <c r="AT1792" s="28"/>
      <c r="AU1792" s="9" t="str">
        <f aca="false">HYPERLINK("https://creighton-primo.hosted.exlibrisgroup.com/primo-explore/search?tab=default_tab&amp;search_scope=EVERYTHING&amp;vid=01CRU&amp;lang=en_US&amp;offset=0&amp;query=any,contains,991004069189702656","Catalog Record")</f>
        <v>Catalog Record</v>
      </c>
      <c r="AV1792" s="9" t="str">
        <f aca="false">HYPERLINK("http://www.worldcat.org/oclc/2294122","WorldCat Record")</f>
        <v>WorldCat Record</v>
      </c>
      <c r="AW1792" s="6" t="s">
        <v>15594</v>
      </c>
      <c r="AX1792" s="6" t="s">
        <v>15595</v>
      </c>
      <c r="AY1792" s="6" t="s">
        <v>15596</v>
      </c>
      <c r="AZ1792" s="6" t="s">
        <v>15596</v>
      </c>
      <c r="BA1792" s="6" t="s">
        <v>15597</v>
      </c>
      <c r="BB1792" s="28"/>
      <c r="BC1792" s="6" t="s">
        <v>15598</v>
      </c>
      <c r="BE1792" s="15" t="s">
        <v>2145</v>
      </c>
      <c r="BF1792" s="6" t="s">
        <v>15599</v>
      </c>
    </row>
    <row r="1793" customFormat="false" ht="140" hidden="false" customHeight="false" outlineLevel="0" collapsed="false">
      <c r="A1793" s="26" t="s">
        <v>63</v>
      </c>
      <c r="B1793" s="27" t="s">
        <v>2129</v>
      </c>
      <c r="C1793" s="27" t="s">
        <v>2130</v>
      </c>
      <c r="D1793" s="27" t="s">
        <v>15600</v>
      </c>
      <c r="E1793" s="27" t="s">
        <v>15601</v>
      </c>
      <c r="F1793" s="27" t="s">
        <v>15602</v>
      </c>
      <c r="G1793" s="28"/>
      <c r="H1793" s="6" t="s">
        <v>63</v>
      </c>
      <c r="I1793" s="6" t="s">
        <v>62</v>
      </c>
      <c r="J1793" s="6" t="s">
        <v>63</v>
      </c>
      <c r="K1793" s="6" t="s">
        <v>63</v>
      </c>
      <c r="L1793" s="6" t="s">
        <v>64</v>
      </c>
      <c r="M1793" s="27" t="s">
        <v>15603</v>
      </c>
      <c r="N1793" s="27" t="s">
        <v>15604</v>
      </c>
      <c r="O1793" s="6" t="s">
        <v>3081</v>
      </c>
      <c r="P1793" s="28"/>
      <c r="Q1793" s="6" t="s">
        <v>67</v>
      </c>
      <c r="R1793" s="6" t="s">
        <v>68</v>
      </c>
      <c r="S1793" s="28"/>
      <c r="T1793" s="6" t="s">
        <v>6138</v>
      </c>
      <c r="U1793" s="7" t="n">
        <v>15</v>
      </c>
      <c r="V1793" s="7" t="n">
        <v>15</v>
      </c>
      <c r="W1793" s="8" t="s">
        <v>15605</v>
      </c>
      <c r="X1793" s="8" t="s">
        <v>15605</v>
      </c>
      <c r="Y1793" s="8" t="s">
        <v>15447</v>
      </c>
      <c r="Z1793" s="8" t="s">
        <v>15447</v>
      </c>
      <c r="AA1793" s="7" t="n">
        <v>340</v>
      </c>
      <c r="AB1793" s="7" t="n">
        <v>286</v>
      </c>
      <c r="AC1793" s="7" t="n">
        <v>382</v>
      </c>
      <c r="AD1793" s="7" t="n">
        <v>2</v>
      </c>
      <c r="AE1793" s="7" t="n">
        <v>2</v>
      </c>
      <c r="AF1793" s="7" t="n">
        <v>17</v>
      </c>
      <c r="AG1793" s="7" t="n">
        <v>19</v>
      </c>
      <c r="AH1793" s="7" t="n">
        <v>4</v>
      </c>
      <c r="AI1793" s="7" t="n">
        <v>5</v>
      </c>
      <c r="AJ1793" s="7" t="n">
        <v>5</v>
      </c>
      <c r="AK1793" s="7" t="n">
        <v>7</v>
      </c>
      <c r="AL1793" s="7" t="n">
        <v>13</v>
      </c>
      <c r="AM1793" s="7" t="n">
        <v>14</v>
      </c>
      <c r="AN1793" s="7" t="n">
        <v>1</v>
      </c>
      <c r="AO1793" s="7" t="n">
        <v>1</v>
      </c>
      <c r="AP1793" s="7" t="n">
        <v>0</v>
      </c>
      <c r="AQ1793" s="7" t="n">
        <v>0</v>
      </c>
      <c r="AR1793" s="6" t="s">
        <v>57</v>
      </c>
      <c r="AS1793" s="6" t="s">
        <v>63</v>
      </c>
      <c r="AT1793" s="9" t="str">
        <f aca="false">HYPERLINK("http://catalog.hathitrust.org/Record/001479629","HathiTrust Record")</f>
        <v>HathiTrust Record</v>
      </c>
      <c r="AU1793" s="9" t="str">
        <f aca="false">HYPERLINK("https://creighton-primo.hosted.exlibrisgroup.com/primo-explore/search?tab=default_tab&amp;search_scope=EVERYTHING&amp;vid=01CRU&amp;lang=en_US&amp;offset=0&amp;query=any,contains,991003582289702656","Catalog Record")</f>
        <v>Catalog Record</v>
      </c>
      <c r="AV1793" s="9" t="str">
        <f aca="false">HYPERLINK("http://www.worldcat.org/oclc/1164331","WorldCat Record")</f>
        <v>WorldCat Record</v>
      </c>
      <c r="AW1793" s="6" t="s">
        <v>15606</v>
      </c>
      <c r="AX1793" s="6" t="s">
        <v>15607</v>
      </c>
      <c r="AY1793" s="6" t="s">
        <v>15608</v>
      </c>
      <c r="AZ1793" s="6" t="s">
        <v>15608</v>
      </c>
      <c r="BA1793" s="6" t="s">
        <v>15609</v>
      </c>
      <c r="BB1793" s="28"/>
      <c r="BC1793" s="6" t="s">
        <v>15610</v>
      </c>
      <c r="BE1793" s="15" t="s">
        <v>2145</v>
      </c>
      <c r="BF1793" s="6" t="s">
        <v>15611</v>
      </c>
    </row>
    <row r="1794" customFormat="false" ht="232" hidden="false" customHeight="false" outlineLevel="0" collapsed="false">
      <c r="A1794" s="26" t="s">
        <v>63</v>
      </c>
      <c r="B1794" s="27" t="s">
        <v>2129</v>
      </c>
      <c r="C1794" s="27" t="s">
        <v>2130</v>
      </c>
      <c r="D1794" s="27" t="s">
        <v>15612</v>
      </c>
      <c r="E1794" s="27" t="s">
        <v>15613</v>
      </c>
      <c r="F1794" s="27" t="s">
        <v>15614</v>
      </c>
      <c r="G1794" s="28"/>
      <c r="H1794" s="6" t="s">
        <v>63</v>
      </c>
      <c r="I1794" s="6" t="s">
        <v>62</v>
      </c>
      <c r="J1794" s="6" t="s">
        <v>63</v>
      </c>
      <c r="K1794" s="6" t="s">
        <v>63</v>
      </c>
      <c r="L1794" s="6" t="s">
        <v>64</v>
      </c>
      <c r="M1794" s="28"/>
      <c r="N1794" s="27" t="s">
        <v>10383</v>
      </c>
      <c r="O1794" s="6" t="s">
        <v>3301</v>
      </c>
      <c r="P1794" s="28"/>
      <c r="Q1794" s="6" t="s">
        <v>67</v>
      </c>
      <c r="R1794" s="6" t="s">
        <v>2288</v>
      </c>
      <c r="S1794" s="28"/>
      <c r="T1794" s="6" t="s">
        <v>6138</v>
      </c>
      <c r="U1794" s="7" t="n">
        <v>4</v>
      </c>
      <c r="V1794" s="7" t="n">
        <v>4</v>
      </c>
      <c r="W1794" s="8" t="s">
        <v>15615</v>
      </c>
      <c r="X1794" s="8" t="s">
        <v>15615</v>
      </c>
      <c r="Y1794" s="8" t="s">
        <v>15447</v>
      </c>
      <c r="Z1794" s="8" t="s">
        <v>15447</v>
      </c>
      <c r="AA1794" s="7" t="n">
        <v>217</v>
      </c>
      <c r="AB1794" s="7" t="n">
        <v>171</v>
      </c>
      <c r="AC1794" s="7" t="n">
        <v>173</v>
      </c>
      <c r="AD1794" s="7" t="n">
        <v>3</v>
      </c>
      <c r="AE1794" s="7" t="n">
        <v>3</v>
      </c>
      <c r="AF1794" s="7" t="n">
        <v>19</v>
      </c>
      <c r="AG1794" s="7" t="n">
        <v>19</v>
      </c>
      <c r="AH1794" s="7" t="n">
        <v>5</v>
      </c>
      <c r="AI1794" s="7" t="n">
        <v>5</v>
      </c>
      <c r="AJ1794" s="7" t="n">
        <v>5</v>
      </c>
      <c r="AK1794" s="7" t="n">
        <v>5</v>
      </c>
      <c r="AL1794" s="7" t="n">
        <v>14</v>
      </c>
      <c r="AM1794" s="7" t="n">
        <v>14</v>
      </c>
      <c r="AN1794" s="7" t="n">
        <v>2</v>
      </c>
      <c r="AO1794" s="7" t="n">
        <v>2</v>
      </c>
      <c r="AP1794" s="7" t="n">
        <v>0</v>
      </c>
      <c r="AQ1794" s="7" t="n">
        <v>0</v>
      </c>
      <c r="AR1794" s="6" t="s">
        <v>63</v>
      </c>
      <c r="AS1794" s="6" t="s">
        <v>57</v>
      </c>
      <c r="AT1794" s="9" t="str">
        <f aca="false">HYPERLINK("http://catalog.hathitrust.org/Record/000765872","HathiTrust Record")</f>
        <v>HathiTrust Record</v>
      </c>
      <c r="AU1794" s="9" t="str">
        <f aca="false">HYPERLINK("https://creighton-primo.hosted.exlibrisgroup.com/primo-explore/search?tab=default_tab&amp;search_scope=EVERYTHING&amp;vid=01CRU&amp;lang=en_US&amp;offset=0&amp;query=any,contains,991005213749702656","Catalog Record")</f>
        <v>Catalog Record</v>
      </c>
      <c r="AV1794" s="9" t="str">
        <f aca="false">HYPERLINK("http://www.worldcat.org/oclc/8171464","WorldCat Record")</f>
        <v>WorldCat Record</v>
      </c>
      <c r="AW1794" s="6" t="s">
        <v>15616</v>
      </c>
      <c r="AX1794" s="6" t="s">
        <v>15617</v>
      </c>
      <c r="AY1794" s="6" t="s">
        <v>15618</v>
      </c>
      <c r="AZ1794" s="6" t="s">
        <v>15618</v>
      </c>
      <c r="BA1794" s="6" t="s">
        <v>15619</v>
      </c>
      <c r="BB1794" s="6" t="s">
        <v>15620</v>
      </c>
      <c r="BC1794" s="6" t="s">
        <v>15621</v>
      </c>
      <c r="BE1794" s="15" t="s">
        <v>2145</v>
      </c>
      <c r="BF1794" s="6" t="s">
        <v>15622</v>
      </c>
    </row>
    <row r="1795" customFormat="false" ht="94" hidden="false" customHeight="false" outlineLevel="0" collapsed="false">
      <c r="A1795" s="26" t="s">
        <v>63</v>
      </c>
      <c r="B1795" s="27" t="s">
        <v>2129</v>
      </c>
      <c r="C1795" s="27" t="s">
        <v>2130</v>
      </c>
      <c r="D1795" s="27" t="s">
        <v>15623</v>
      </c>
      <c r="E1795" s="27" t="s">
        <v>15624</v>
      </c>
      <c r="F1795" s="27" t="s">
        <v>15625</v>
      </c>
      <c r="G1795" s="28"/>
      <c r="H1795" s="6" t="s">
        <v>63</v>
      </c>
      <c r="I1795" s="6" t="s">
        <v>62</v>
      </c>
      <c r="J1795" s="6" t="s">
        <v>63</v>
      </c>
      <c r="K1795" s="6" t="s">
        <v>63</v>
      </c>
      <c r="L1795" s="6" t="s">
        <v>64</v>
      </c>
      <c r="M1795" s="27" t="s">
        <v>15626</v>
      </c>
      <c r="N1795" s="27" t="s">
        <v>15627</v>
      </c>
      <c r="O1795" s="6" t="s">
        <v>3648</v>
      </c>
      <c r="P1795" s="28"/>
      <c r="Q1795" s="6" t="s">
        <v>67</v>
      </c>
      <c r="R1795" s="6" t="s">
        <v>123</v>
      </c>
      <c r="S1795" s="28"/>
      <c r="T1795" s="6" t="s">
        <v>6138</v>
      </c>
      <c r="U1795" s="7" t="n">
        <v>5</v>
      </c>
      <c r="V1795" s="7" t="n">
        <v>5</v>
      </c>
      <c r="W1795" s="8" t="s">
        <v>15628</v>
      </c>
      <c r="X1795" s="8" t="s">
        <v>15628</v>
      </c>
      <c r="Y1795" s="8" t="s">
        <v>15447</v>
      </c>
      <c r="Z1795" s="8" t="s">
        <v>15447</v>
      </c>
      <c r="AA1795" s="7" t="n">
        <v>449</v>
      </c>
      <c r="AB1795" s="7" t="n">
        <v>411</v>
      </c>
      <c r="AC1795" s="7" t="n">
        <v>541</v>
      </c>
      <c r="AD1795" s="7" t="n">
        <v>5</v>
      </c>
      <c r="AE1795" s="7" t="n">
        <v>5</v>
      </c>
      <c r="AF1795" s="7" t="n">
        <v>20</v>
      </c>
      <c r="AG1795" s="7" t="n">
        <v>25</v>
      </c>
      <c r="AH1795" s="7" t="n">
        <v>10</v>
      </c>
      <c r="AI1795" s="7" t="n">
        <v>12</v>
      </c>
      <c r="AJ1795" s="7" t="n">
        <v>3</v>
      </c>
      <c r="AK1795" s="7" t="n">
        <v>3</v>
      </c>
      <c r="AL1795" s="7" t="n">
        <v>11</v>
      </c>
      <c r="AM1795" s="7" t="n">
        <v>15</v>
      </c>
      <c r="AN1795" s="7" t="n">
        <v>3</v>
      </c>
      <c r="AO1795" s="7" t="n">
        <v>3</v>
      </c>
      <c r="AP1795" s="7" t="n">
        <v>0</v>
      </c>
      <c r="AQ1795" s="7" t="n">
        <v>0</v>
      </c>
      <c r="AR1795" s="6" t="s">
        <v>63</v>
      </c>
      <c r="AS1795" s="6" t="s">
        <v>63</v>
      </c>
      <c r="AT1795" s="28"/>
      <c r="AU1795" s="9" t="str">
        <f aca="false">HYPERLINK("https://creighton-primo.hosted.exlibrisgroup.com/primo-explore/search?tab=default_tab&amp;search_scope=EVERYTHING&amp;vid=01CRU&amp;lang=en_US&amp;offset=0&amp;query=any,contains,991003393919702656","Catalog Record")</f>
        <v>Catalog Record</v>
      </c>
      <c r="AV1795" s="9" t="str">
        <f aca="false">HYPERLINK("http://www.worldcat.org/oclc/1097365825","WorldCat Record")</f>
        <v>WorldCat Record</v>
      </c>
      <c r="AW1795" s="6" t="s">
        <v>15629</v>
      </c>
      <c r="AX1795" s="6" t="s">
        <v>15630</v>
      </c>
      <c r="AY1795" s="6" t="s">
        <v>15631</v>
      </c>
      <c r="AZ1795" s="6" t="s">
        <v>15631</v>
      </c>
      <c r="BA1795" s="6" t="s">
        <v>15632</v>
      </c>
      <c r="BB1795" s="28"/>
      <c r="BC1795" s="6" t="s">
        <v>15633</v>
      </c>
      <c r="BE1795" s="15" t="s">
        <v>2145</v>
      </c>
      <c r="BF1795" s="6" t="s">
        <v>15634</v>
      </c>
    </row>
    <row r="1796" customFormat="false" ht="94" hidden="false" customHeight="false" outlineLevel="0" collapsed="false">
      <c r="A1796" s="26" t="s">
        <v>63</v>
      </c>
      <c r="B1796" s="27" t="s">
        <v>2129</v>
      </c>
      <c r="C1796" s="27" t="s">
        <v>2130</v>
      </c>
      <c r="D1796" s="27" t="s">
        <v>15635</v>
      </c>
      <c r="E1796" s="27" t="s">
        <v>15636</v>
      </c>
      <c r="F1796" s="27" t="s">
        <v>15637</v>
      </c>
      <c r="G1796" s="6" t="s">
        <v>1514</v>
      </c>
      <c r="H1796" s="6" t="s">
        <v>57</v>
      </c>
      <c r="I1796" s="6" t="s">
        <v>62</v>
      </c>
      <c r="J1796" s="6" t="s">
        <v>63</v>
      </c>
      <c r="K1796" s="6" t="s">
        <v>63</v>
      </c>
      <c r="L1796" s="6" t="s">
        <v>64</v>
      </c>
      <c r="M1796" s="28"/>
      <c r="N1796" s="27" t="s">
        <v>15638</v>
      </c>
      <c r="O1796" s="6" t="s">
        <v>2467</v>
      </c>
      <c r="P1796" s="28"/>
      <c r="Q1796" s="6" t="s">
        <v>67</v>
      </c>
      <c r="R1796" s="6" t="s">
        <v>68</v>
      </c>
      <c r="S1796" s="28"/>
      <c r="T1796" s="6" t="s">
        <v>6138</v>
      </c>
      <c r="U1796" s="7" t="n">
        <v>6</v>
      </c>
      <c r="V1796" s="7" t="n">
        <v>42</v>
      </c>
      <c r="W1796" s="8" t="s">
        <v>15639</v>
      </c>
      <c r="X1796" s="8" t="s">
        <v>11245</v>
      </c>
      <c r="Y1796" s="8" t="s">
        <v>10069</v>
      </c>
      <c r="Z1796" s="8" t="s">
        <v>8302</v>
      </c>
      <c r="AA1796" s="7" t="n">
        <v>2033</v>
      </c>
      <c r="AB1796" s="7" t="n">
        <v>1782</v>
      </c>
      <c r="AC1796" s="7" t="n">
        <v>2482</v>
      </c>
      <c r="AD1796" s="7" t="n">
        <v>12</v>
      </c>
      <c r="AE1796" s="7" t="n">
        <v>17</v>
      </c>
      <c r="AF1796" s="7" t="n">
        <v>30</v>
      </c>
      <c r="AG1796" s="7" t="n">
        <v>54</v>
      </c>
      <c r="AH1796" s="7" t="n">
        <v>10</v>
      </c>
      <c r="AI1796" s="7" t="n">
        <v>19</v>
      </c>
      <c r="AJ1796" s="7" t="n">
        <v>4</v>
      </c>
      <c r="AK1796" s="7" t="n">
        <v>7</v>
      </c>
      <c r="AL1796" s="7" t="n">
        <v>10</v>
      </c>
      <c r="AM1796" s="7" t="n">
        <v>22</v>
      </c>
      <c r="AN1796" s="7" t="n">
        <v>7</v>
      </c>
      <c r="AO1796" s="7" t="n">
        <v>7</v>
      </c>
      <c r="AP1796" s="7" t="n">
        <v>4</v>
      </c>
      <c r="AQ1796" s="7" t="n">
        <v>9</v>
      </c>
      <c r="AR1796" s="6" t="s">
        <v>63</v>
      </c>
      <c r="AS1796" s="6" t="s">
        <v>57</v>
      </c>
      <c r="AT1796" s="9" t="str">
        <f aca="false">HYPERLINK("http://catalog.hathitrust.org/Record/001395311","HathiTrust Record")</f>
        <v>HathiTrust Record</v>
      </c>
      <c r="AU1796" s="9" t="str">
        <f aca="false">HYPERLINK("https://creighton-primo.hosted.exlibrisgroup.com/primo-explore/search?tab=default_tab&amp;search_scope=EVERYTHING&amp;vid=01CRU&amp;lang=en_US&amp;offset=0&amp;query=any,contains,991001174779702656","Catalog Record")</f>
        <v>Catalog Record</v>
      </c>
      <c r="AV1796" s="9" t="str">
        <f aca="false">HYPERLINK("http://www.worldcat.org/oclc/369093","WorldCat Record")</f>
        <v>WorldCat Record</v>
      </c>
      <c r="AW1796" s="6" t="s">
        <v>15640</v>
      </c>
      <c r="AX1796" s="6" t="s">
        <v>15641</v>
      </c>
      <c r="AY1796" s="6" t="s">
        <v>15642</v>
      </c>
      <c r="AZ1796" s="6" t="s">
        <v>15642</v>
      </c>
      <c r="BA1796" s="6" t="s">
        <v>15643</v>
      </c>
      <c r="BB1796" s="28"/>
      <c r="BC1796" s="6" t="s">
        <v>15644</v>
      </c>
      <c r="BE1796" s="15" t="s">
        <v>2145</v>
      </c>
      <c r="BF1796" s="6" t="s">
        <v>15645</v>
      </c>
    </row>
    <row r="1797" customFormat="false" ht="94" hidden="false" customHeight="false" outlineLevel="0" collapsed="false">
      <c r="A1797" s="26" t="s">
        <v>63</v>
      </c>
      <c r="B1797" s="27" t="s">
        <v>2129</v>
      </c>
      <c r="C1797" s="27" t="s">
        <v>2130</v>
      </c>
      <c r="D1797" s="27" t="s">
        <v>15635</v>
      </c>
      <c r="E1797" s="27" t="s">
        <v>15636</v>
      </c>
      <c r="F1797" s="27" t="s">
        <v>15637</v>
      </c>
      <c r="G1797" s="6" t="s">
        <v>1511</v>
      </c>
      <c r="H1797" s="6" t="s">
        <v>57</v>
      </c>
      <c r="I1797" s="6" t="s">
        <v>62</v>
      </c>
      <c r="J1797" s="6" t="s">
        <v>63</v>
      </c>
      <c r="K1797" s="6" t="s">
        <v>63</v>
      </c>
      <c r="L1797" s="6" t="s">
        <v>64</v>
      </c>
      <c r="M1797" s="28"/>
      <c r="N1797" s="27" t="s">
        <v>15638</v>
      </c>
      <c r="O1797" s="6" t="s">
        <v>2467</v>
      </c>
      <c r="P1797" s="28"/>
      <c r="Q1797" s="6" t="s">
        <v>67</v>
      </c>
      <c r="R1797" s="6" t="s">
        <v>68</v>
      </c>
      <c r="S1797" s="28"/>
      <c r="T1797" s="6" t="s">
        <v>6138</v>
      </c>
      <c r="U1797" s="7" t="n">
        <v>6</v>
      </c>
      <c r="V1797" s="7" t="n">
        <v>42</v>
      </c>
      <c r="W1797" s="8" t="s">
        <v>15646</v>
      </c>
      <c r="X1797" s="8" t="s">
        <v>11245</v>
      </c>
      <c r="Y1797" s="8" t="s">
        <v>10069</v>
      </c>
      <c r="Z1797" s="8" t="s">
        <v>8302</v>
      </c>
      <c r="AA1797" s="7" t="n">
        <v>2033</v>
      </c>
      <c r="AB1797" s="7" t="n">
        <v>1782</v>
      </c>
      <c r="AC1797" s="7" t="n">
        <v>2482</v>
      </c>
      <c r="AD1797" s="7" t="n">
        <v>12</v>
      </c>
      <c r="AE1797" s="7" t="n">
        <v>17</v>
      </c>
      <c r="AF1797" s="7" t="n">
        <v>30</v>
      </c>
      <c r="AG1797" s="7" t="n">
        <v>54</v>
      </c>
      <c r="AH1797" s="7" t="n">
        <v>10</v>
      </c>
      <c r="AI1797" s="7" t="n">
        <v>19</v>
      </c>
      <c r="AJ1797" s="7" t="n">
        <v>4</v>
      </c>
      <c r="AK1797" s="7" t="n">
        <v>7</v>
      </c>
      <c r="AL1797" s="7" t="n">
        <v>10</v>
      </c>
      <c r="AM1797" s="7" t="n">
        <v>22</v>
      </c>
      <c r="AN1797" s="7" t="n">
        <v>7</v>
      </c>
      <c r="AO1797" s="7" t="n">
        <v>7</v>
      </c>
      <c r="AP1797" s="7" t="n">
        <v>4</v>
      </c>
      <c r="AQ1797" s="7" t="n">
        <v>9</v>
      </c>
      <c r="AR1797" s="6" t="s">
        <v>63</v>
      </c>
      <c r="AS1797" s="6" t="s">
        <v>57</v>
      </c>
      <c r="AT1797" s="9" t="str">
        <f aca="false">HYPERLINK("http://catalog.hathitrust.org/Record/001395311","HathiTrust Record")</f>
        <v>HathiTrust Record</v>
      </c>
      <c r="AU1797" s="9" t="str">
        <f aca="false">HYPERLINK("https://creighton-primo.hosted.exlibrisgroup.com/primo-explore/search?tab=default_tab&amp;search_scope=EVERYTHING&amp;vid=01CRU&amp;lang=en_US&amp;offset=0&amp;query=any,contains,991001174779702656","Catalog Record")</f>
        <v>Catalog Record</v>
      </c>
      <c r="AV1797" s="9" t="str">
        <f aca="false">HYPERLINK("http://www.worldcat.org/oclc/369093","WorldCat Record")</f>
        <v>WorldCat Record</v>
      </c>
      <c r="AW1797" s="6" t="s">
        <v>15640</v>
      </c>
      <c r="AX1797" s="6" t="s">
        <v>15641</v>
      </c>
      <c r="AY1797" s="6" t="s">
        <v>15642</v>
      </c>
      <c r="AZ1797" s="6" t="s">
        <v>15642</v>
      </c>
      <c r="BA1797" s="6" t="s">
        <v>15643</v>
      </c>
      <c r="BB1797" s="28"/>
      <c r="BC1797" s="6" t="s">
        <v>15647</v>
      </c>
      <c r="BE1797" s="15" t="s">
        <v>2145</v>
      </c>
      <c r="BF1797" s="6" t="s">
        <v>15648</v>
      </c>
    </row>
    <row r="1798" customFormat="false" ht="94" hidden="false" customHeight="false" outlineLevel="0" collapsed="false">
      <c r="A1798" s="26" t="s">
        <v>63</v>
      </c>
      <c r="B1798" s="27" t="s">
        <v>2129</v>
      </c>
      <c r="C1798" s="27" t="s">
        <v>2130</v>
      </c>
      <c r="D1798" s="27" t="s">
        <v>15635</v>
      </c>
      <c r="E1798" s="27" t="s">
        <v>15636</v>
      </c>
      <c r="F1798" s="27" t="s">
        <v>15637</v>
      </c>
      <c r="G1798" s="6" t="s">
        <v>1512</v>
      </c>
      <c r="H1798" s="6" t="s">
        <v>57</v>
      </c>
      <c r="I1798" s="6" t="s">
        <v>62</v>
      </c>
      <c r="J1798" s="6" t="s">
        <v>63</v>
      </c>
      <c r="K1798" s="6" t="s">
        <v>63</v>
      </c>
      <c r="L1798" s="6" t="s">
        <v>64</v>
      </c>
      <c r="M1798" s="28"/>
      <c r="N1798" s="27" t="s">
        <v>15638</v>
      </c>
      <c r="O1798" s="6" t="s">
        <v>2467</v>
      </c>
      <c r="P1798" s="28"/>
      <c r="Q1798" s="6" t="s">
        <v>67</v>
      </c>
      <c r="R1798" s="6" t="s">
        <v>68</v>
      </c>
      <c r="S1798" s="28"/>
      <c r="T1798" s="6" t="s">
        <v>6138</v>
      </c>
      <c r="U1798" s="7" t="n">
        <v>7</v>
      </c>
      <c r="V1798" s="7" t="n">
        <v>42</v>
      </c>
      <c r="W1798" s="8" t="s">
        <v>4027</v>
      </c>
      <c r="X1798" s="8" t="s">
        <v>11245</v>
      </c>
      <c r="Y1798" s="8" t="s">
        <v>10069</v>
      </c>
      <c r="Z1798" s="8" t="s">
        <v>8302</v>
      </c>
      <c r="AA1798" s="7" t="n">
        <v>2033</v>
      </c>
      <c r="AB1798" s="7" t="n">
        <v>1782</v>
      </c>
      <c r="AC1798" s="7" t="n">
        <v>2482</v>
      </c>
      <c r="AD1798" s="7" t="n">
        <v>12</v>
      </c>
      <c r="AE1798" s="7" t="n">
        <v>17</v>
      </c>
      <c r="AF1798" s="7" t="n">
        <v>30</v>
      </c>
      <c r="AG1798" s="7" t="n">
        <v>54</v>
      </c>
      <c r="AH1798" s="7" t="n">
        <v>10</v>
      </c>
      <c r="AI1798" s="7" t="n">
        <v>19</v>
      </c>
      <c r="AJ1798" s="7" t="n">
        <v>4</v>
      </c>
      <c r="AK1798" s="7" t="n">
        <v>7</v>
      </c>
      <c r="AL1798" s="7" t="n">
        <v>10</v>
      </c>
      <c r="AM1798" s="7" t="n">
        <v>22</v>
      </c>
      <c r="AN1798" s="7" t="n">
        <v>7</v>
      </c>
      <c r="AO1798" s="7" t="n">
        <v>7</v>
      </c>
      <c r="AP1798" s="7" t="n">
        <v>4</v>
      </c>
      <c r="AQ1798" s="7" t="n">
        <v>9</v>
      </c>
      <c r="AR1798" s="6" t="s">
        <v>63</v>
      </c>
      <c r="AS1798" s="6" t="s">
        <v>57</v>
      </c>
      <c r="AT1798" s="9" t="str">
        <f aca="false">HYPERLINK("http://catalog.hathitrust.org/Record/001395311","HathiTrust Record")</f>
        <v>HathiTrust Record</v>
      </c>
      <c r="AU1798" s="9" t="str">
        <f aca="false">HYPERLINK("https://creighton-primo.hosted.exlibrisgroup.com/primo-explore/search?tab=default_tab&amp;search_scope=EVERYTHING&amp;vid=01CRU&amp;lang=en_US&amp;offset=0&amp;query=any,contains,991001174779702656","Catalog Record")</f>
        <v>Catalog Record</v>
      </c>
      <c r="AV1798" s="9" t="str">
        <f aca="false">HYPERLINK("http://www.worldcat.org/oclc/369093","WorldCat Record")</f>
        <v>WorldCat Record</v>
      </c>
      <c r="AW1798" s="6" t="s">
        <v>15640</v>
      </c>
      <c r="AX1798" s="6" t="s">
        <v>15641</v>
      </c>
      <c r="AY1798" s="6" t="s">
        <v>15642</v>
      </c>
      <c r="AZ1798" s="6" t="s">
        <v>15642</v>
      </c>
      <c r="BA1798" s="6" t="s">
        <v>15643</v>
      </c>
      <c r="BB1798" s="28"/>
      <c r="BC1798" s="6" t="s">
        <v>15649</v>
      </c>
      <c r="BE1798" s="15" t="s">
        <v>2145</v>
      </c>
      <c r="BF1798" s="6" t="s">
        <v>15650</v>
      </c>
    </row>
    <row r="1799" customFormat="false" ht="94" hidden="false" customHeight="false" outlineLevel="0" collapsed="false">
      <c r="A1799" s="26" t="s">
        <v>63</v>
      </c>
      <c r="B1799" s="27" t="s">
        <v>2129</v>
      </c>
      <c r="C1799" s="27" t="s">
        <v>2130</v>
      </c>
      <c r="D1799" s="27" t="s">
        <v>15635</v>
      </c>
      <c r="E1799" s="27" t="s">
        <v>15636</v>
      </c>
      <c r="F1799" s="27" t="s">
        <v>15637</v>
      </c>
      <c r="G1799" s="6" t="s">
        <v>502</v>
      </c>
      <c r="H1799" s="6" t="s">
        <v>57</v>
      </c>
      <c r="I1799" s="6" t="s">
        <v>62</v>
      </c>
      <c r="J1799" s="6" t="s">
        <v>63</v>
      </c>
      <c r="K1799" s="6" t="s">
        <v>63</v>
      </c>
      <c r="L1799" s="6" t="s">
        <v>64</v>
      </c>
      <c r="M1799" s="28"/>
      <c r="N1799" s="27" t="s">
        <v>15638</v>
      </c>
      <c r="O1799" s="6" t="s">
        <v>2467</v>
      </c>
      <c r="P1799" s="28"/>
      <c r="Q1799" s="6" t="s">
        <v>67</v>
      </c>
      <c r="R1799" s="6" t="s">
        <v>68</v>
      </c>
      <c r="S1799" s="28"/>
      <c r="T1799" s="6" t="s">
        <v>6138</v>
      </c>
      <c r="U1799" s="7" t="n">
        <v>6</v>
      </c>
      <c r="V1799" s="7" t="n">
        <v>42</v>
      </c>
      <c r="W1799" s="8" t="s">
        <v>15651</v>
      </c>
      <c r="X1799" s="8" t="s">
        <v>11245</v>
      </c>
      <c r="Y1799" s="8" t="s">
        <v>8302</v>
      </c>
      <c r="Z1799" s="8" t="s">
        <v>8302</v>
      </c>
      <c r="AA1799" s="7" t="n">
        <v>2033</v>
      </c>
      <c r="AB1799" s="7" t="n">
        <v>1782</v>
      </c>
      <c r="AC1799" s="7" t="n">
        <v>2482</v>
      </c>
      <c r="AD1799" s="7" t="n">
        <v>12</v>
      </c>
      <c r="AE1799" s="7" t="n">
        <v>17</v>
      </c>
      <c r="AF1799" s="7" t="n">
        <v>30</v>
      </c>
      <c r="AG1799" s="7" t="n">
        <v>54</v>
      </c>
      <c r="AH1799" s="7" t="n">
        <v>10</v>
      </c>
      <c r="AI1799" s="7" t="n">
        <v>19</v>
      </c>
      <c r="AJ1799" s="7" t="n">
        <v>4</v>
      </c>
      <c r="AK1799" s="7" t="n">
        <v>7</v>
      </c>
      <c r="AL1799" s="7" t="n">
        <v>10</v>
      </c>
      <c r="AM1799" s="7" t="n">
        <v>22</v>
      </c>
      <c r="AN1799" s="7" t="n">
        <v>7</v>
      </c>
      <c r="AO1799" s="7" t="n">
        <v>7</v>
      </c>
      <c r="AP1799" s="7" t="n">
        <v>4</v>
      </c>
      <c r="AQ1799" s="7" t="n">
        <v>9</v>
      </c>
      <c r="AR1799" s="6" t="s">
        <v>63</v>
      </c>
      <c r="AS1799" s="6" t="s">
        <v>57</v>
      </c>
      <c r="AT1799" s="9" t="str">
        <f aca="false">HYPERLINK("http://catalog.hathitrust.org/Record/001395311","HathiTrust Record")</f>
        <v>HathiTrust Record</v>
      </c>
      <c r="AU1799" s="9" t="str">
        <f aca="false">HYPERLINK("https://creighton-primo.hosted.exlibrisgroup.com/primo-explore/search?tab=default_tab&amp;search_scope=EVERYTHING&amp;vid=01CRU&amp;lang=en_US&amp;offset=0&amp;query=any,contains,991001174779702656","Catalog Record")</f>
        <v>Catalog Record</v>
      </c>
      <c r="AV1799" s="9" t="str">
        <f aca="false">HYPERLINK("http://www.worldcat.org/oclc/369093","WorldCat Record")</f>
        <v>WorldCat Record</v>
      </c>
      <c r="AW1799" s="6" t="s">
        <v>15640</v>
      </c>
      <c r="AX1799" s="6" t="s">
        <v>15641</v>
      </c>
      <c r="AY1799" s="6" t="s">
        <v>15642</v>
      </c>
      <c r="AZ1799" s="6" t="s">
        <v>15642</v>
      </c>
      <c r="BA1799" s="6" t="s">
        <v>15643</v>
      </c>
      <c r="BB1799" s="28"/>
      <c r="BC1799" s="6" t="s">
        <v>15652</v>
      </c>
      <c r="BE1799" s="15" t="s">
        <v>2145</v>
      </c>
      <c r="BF1799" s="6" t="s">
        <v>15653</v>
      </c>
    </row>
    <row r="1800" customFormat="false" ht="94" hidden="false" customHeight="false" outlineLevel="0" collapsed="false">
      <c r="A1800" s="26" t="s">
        <v>63</v>
      </c>
      <c r="B1800" s="27" t="s">
        <v>2129</v>
      </c>
      <c r="C1800" s="27" t="s">
        <v>2130</v>
      </c>
      <c r="D1800" s="27" t="s">
        <v>15635</v>
      </c>
      <c r="E1800" s="27" t="s">
        <v>15636</v>
      </c>
      <c r="F1800" s="27" t="s">
        <v>15637</v>
      </c>
      <c r="G1800" s="6" t="s">
        <v>498</v>
      </c>
      <c r="H1800" s="6" t="s">
        <v>57</v>
      </c>
      <c r="I1800" s="6" t="s">
        <v>62</v>
      </c>
      <c r="J1800" s="6" t="s">
        <v>63</v>
      </c>
      <c r="K1800" s="6" t="s">
        <v>63</v>
      </c>
      <c r="L1800" s="6" t="s">
        <v>64</v>
      </c>
      <c r="M1800" s="28"/>
      <c r="N1800" s="27" t="s">
        <v>15638</v>
      </c>
      <c r="O1800" s="6" t="s">
        <v>2467</v>
      </c>
      <c r="P1800" s="28"/>
      <c r="Q1800" s="6" t="s">
        <v>67</v>
      </c>
      <c r="R1800" s="6" t="s">
        <v>68</v>
      </c>
      <c r="S1800" s="28"/>
      <c r="T1800" s="6" t="s">
        <v>6138</v>
      </c>
      <c r="U1800" s="7" t="n">
        <v>3</v>
      </c>
      <c r="V1800" s="7" t="n">
        <v>42</v>
      </c>
      <c r="W1800" s="8" t="s">
        <v>15654</v>
      </c>
      <c r="X1800" s="8" t="s">
        <v>11245</v>
      </c>
      <c r="Y1800" s="8" t="s">
        <v>10069</v>
      </c>
      <c r="Z1800" s="8" t="s">
        <v>8302</v>
      </c>
      <c r="AA1800" s="7" t="n">
        <v>2033</v>
      </c>
      <c r="AB1800" s="7" t="n">
        <v>1782</v>
      </c>
      <c r="AC1800" s="7" t="n">
        <v>2482</v>
      </c>
      <c r="AD1800" s="7" t="n">
        <v>12</v>
      </c>
      <c r="AE1800" s="7" t="n">
        <v>17</v>
      </c>
      <c r="AF1800" s="7" t="n">
        <v>30</v>
      </c>
      <c r="AG1800" s="7" t="n">
        <v>54</v>
      </c>
      <c r="AH1800" s="7" t="n">
        <v>10</v>
      </c>
      <c r="AI1800" s="7" t="n">
        <v>19</v>
      </c>
      <c r="AJ1800" s="7" t="n">
        <v>4</v>
      </c>
      <c r="AK1800" s="7" t="n">
        <v>7</v>
      </c>
      <c r="AL1800" s="7" t="n">
        <v>10</v>
      </c>
      <c r="AM1800" s="7" t="n">
        <v>22</v>
      </c>
      <c r="AN1800" s="7" t="n">
        <v>7</v>
      </c>
      <c r="AO1800" s="7" t="n">
        <v>7</v>
      </c>
      <c r="AP1800" s="7" t="n">
        <v>4</v>
      </c>
      <c r="AQ1800" s="7" t="n">
        <v>9</v>
      </c>
      <c r="AR1800" s="6" t="s">
        <v>63</v>
      </c>
      <c r="AS1800" s="6" t="s">
        <v>57</v>
      </c>
      <c r="AT1800" s="9" t="str">
        <f aca="false">HYPERLINK("http://catalog.hathitrust.org/Record/001395311","HathiTrust Record")</f>
        <v>HathiTrust Record</v>
      </c>
      <c r="AU1800" s="9" t="str">
        <f aca="false">HYPERLINK("https://creighton-primo.hosted.exlibrisgroup.com/primo-explore/search?tab=default_tab&amp;search_scope=EVERYTHING&amp;vid=01CRU&amp;lang=en_US&amp;offset=0&amp;query=any,contains,991001174779702656","Catalog Record")</f>
        <v>Catalog Record</v>
      </c>
      <c r="AV1800" s="9" t="str">
        <f aca="false">HYPERLINK("http://www.worldcat.org/oclc/369093","WorldCat Record")</f>
        <v>WorldCat Record</v>
      </c>
      <c r="AW1800" s="6" t="s">
        <v>15640</v>
      </c>
      <c r="AX1800" s="6" t="s">
        <v>15641</v>
      </c>
      <c r="AY1800" s="6" t="s">
        <v>15642</v>
      </c>
      <c r="AZ1800" s="6" t="s">
        <v>15642</v>
      </c>
      <c r="BA1800" s="6" t="s">
        <v>15643</v>
      </c>
      <c r="BB1800" s="28"/>
      <c r="BC1800" s="6" t="s">
        <v>15655</v>
      </c>
      <c r="BE1800" s="15" t="s">
        <v>2145</v>
      </c>
      <c r="BF1800" s="6" t="s">
        <v>15656</v>
      </c>
    </row>
    <row r="1801" customFormat="false" ht="140" hidden="false" customHeight="false" outlineLevel="0" collapsed="false">
      <c r="A1801" s="26" t="s">
        <v>63</v>
      </c>
      <c r="B1801" s="27" t="s">
        <v>2129</v>
      </c>
      <c r="C1801" s="27" t="s">
        <v>2130</v>
      </c>
      <c r="D1801" s="27" t="s">
        <v>15657</v>
      </c>
      <c r="E1801" s="27" t="s">
        <v>15658</v>
      </c>
      <c r="F1801" s="27" t="s">
        <v>15659</v>
      </c>
      <c r="G1801" s="28"/>
      <c r="H1801" s="6" t="s">
        <v>63</v>
      </c>
      <c r="I1801" s="6" t="s">
        <v>62</v>
      </c>
      <c r="J1801" s="6" t="s">
        <v>63</v>
      </c>
      <c r="K1801" s="6" t="s">
        <v>63</v>
      </c>
      <c r="L1801" s="6" t="s">
        <v>64</v>
      </c>
      <c r="M1801" s="27" t="s">
        <v>15660</v>
      </c>
      <c r="N1801" s="27" t="s">
        <v>15661</v>
      </c>
      <c r="O1801" s="6" t="s">
        <v>3340</v>
      </c>
      <c r="P1801" s="28"/>
      <c r="Q1801" s="6" t="s">
        <v>67</v>
      </c>
      <c r="R1801" s="6" t="s">
        <v>384</v>
      </c>
      <c r="S1801" s="28"/>
      <c r="T1801" s="6" t="s">
        <v>6138</v>
      </c>
      <c r="U1801" s="7" t="n">
        <v>7</v>
      </c>
      <c r="V1801" s="7" t="n">
        <v>7</v>
      </c>
      <c r="W1801" s="8" t="s">
        <v>15662</v>
      </c>
      <c r="X1801" s="8" t="s">
        <v>15662</v>
      </c>
      <c r="Y1801" s="8" t="s">
        <v>15447</v>
      </c>
      <c r="Z1801" s="8" t="s">
        <v>15447</v>
      </c>
      <c r="AA1801" s="7" t="n">
        <v>240</v>
      </c>
      <c r="AB1801" s="7" t="n">
        <v>98</v>
      </c>
      <c r="AC1801" s="7" t="n">
        <v>109</v>
      </c>
      <c r="AD1801" s="7" t="n">
        <v>1</v>
      </c>
      <c r="AE1801" s="7" t="n">
        <v>1</v>
      </c>
      <c r="AF1801" s="7" t="n">
        <v>6</v>
      </c>
      <c r="AG1801" s="7" t="n">
        <v>6</v>
      </c>
      <c r="AH1801" s="7" t="n">
        <v>1</v>
      </c>
      <c r="AI1801" s="7" t="n">
        <v>1</v>
      </c>
      <c r="AJ1801" s="7" t="n">
        <v>1</v>
      </c>
      <c r="AK1801" s="7" t="n">
        <v>1</v>
      </c>
      <c r="AL1801" s="7" t="n">
        <v>5</v>
      </c>
      <c r="AM1801" s="7" t="n">
        <v>5</v>
      </c>
      <c r="AN1801" s="7" t="n">
        <v>0</v>
      </c>
      <c r="AO1801" s="7" t="n">
        <v>0</v>
      </c>
      <c r="AP1801" s="7" t="n">
        <v>0</v>
      </c>
      <c r="AQ1801" s="7" t="n">
        <v>0</v>
      </c>
      <c r="AR1801" s="6" t="s">
        <v>63</v>
      </c>
      <c r="AS1801" s="6" t="s">
        <v>63</v>
      </c>
      <c r="AT1801" s="28"/>
      <c r="AU1801" s="9" t="str">
        <f aca="false">HYPERLINK("https://creighton-primo.hosted.exlibrisgroup.com/primo-explore/search?tab=default_tab&amp;search_scope=EVERYTHING&amp;vid=01CRU&amp;lang=en_US&amp;offset=0&amp;query=any,contains,991004255529702656","Catalog Record")</f>
        <v>Catalog Record</v>
      </c>
      <c r="AV1801" s="9" t="str">
        <f aca="false">HYPERLINK("http://www.worldcat.org/oclc/2822418","WorldCat Record")</f>
        <v>WorldCat Record</v>
      </c>
      <c r="AW1801" s="6" t="s">
        <v>15663</v>
      </c>
      <c r="AX1801" s="6" t="s">
        <v>15664</v>
      </c>
      <c r="AY1801" s="6" t="s">
        <v>15665</v>
      </c>
      <c r="AZ1801" s="6" t="s">
        <v>15665</v>
      </c>
      <c r="BA1801" s="6" t="s">
        <v>15666</v>
      </c>
      <c r="BB1801" s="6" t="s">
        <v>15667</v>
      </c>
      <c r="BC1801" s="6" t="s">
        <v>15668</v>
      </c>
      <c r="BE1801" s="15" t="s">
        <v>2145</v>
      </c>
      <c r="BF1801" s="6" t="s">
        <v>15669</v>
      </c>
    </row>
    <row r="1802" customFormat="false" ht="266.5" hidden="false" customHeight="false" outlineLevel="0" collapsed="false">
      <c r="A1802" s="26" t="s">
        <v>63</v>
      </c>
      <c r="B1802" s="27" t="s">
        <v>2129</v>
      </c>
      <c r="C1802" s="27" t="s">
        <v>2130</v>
      </c>
      <c r="D1802" s="27" t="s">
        <v>15670</v>
      </c>
      <c r="E1802" s="27" t="s">
        <v>15671</v>
      </c>
      <c r="F1802" s="27" t="s">
        <v>15672</v>
      </c>
      <c r="G1802" s="28"/>
      <c r="H1802" s="6" t="s">
        <v>63</v>
      </c>
      <c r="I1802" s="6" t="s">
        <v>62</v>
      </c>
      <c r="J1802" s="6" t="s">
        <v>63</v>
      </c>
      <c r="K1802" s="6" t="s">
        <v>63</v>
      </c>
      <c r="L1802" s="6" t="s">
        <v>64</v>
      </c>
      <c r="M1802" s="28"/>
      <c r="N1802" s="27" t="s">
        <v>15673</v>
      </c>
      <c r="O1802" s="6" t="s">
        <v>7428</v>
      </c>
      <c r="P1802" s="28"/>
      <c r="Q1802" s="6" t="s">
        <v>67</v>
      </c>
      <c r="R1802" s="6" t="s">
        <v>6601</v>
      </c>
      <c r="S1802" s="27" t="s">
        <v>15674</v>
      </c>
      <c r="T1802" s="6" t="s">
        <v>6138</v>
      </c>
      <c r="U1802" s="7" t="n">
        <v>4</v>
      </c>
      <c r="V1802" s="7" t="n">
        <v>4</v>
      </c>
      <c r="W1802" s="8" t="s">
        <v>7287</v>
      </c>
      <c r="X1802" s="8" t="s">
        <v>7287</v>
      </c>
      <c r="Y1802" s="8" t="s">
        <v>15447</v>
      </c>
      <c r="Z1802" s="8" t="s">
        <v>15447</v>
      </c>
      <c r="AA1802" s="7" t="n">
        <v>592</v>
      </c>
      <c r="AB1802" s="7" t="n">
        <v>484</v>
      </c>
      <c r="AC1802" s="7" t="n">
        <v>484</v>
      </c>
      <c r="AD1802" s="7" t="n">
        <v>5</v>
      </c>
      <c r="AE1802" s="7" t="n">
        <v>5</v>
      </c>
      <c r="AF1802" s="7" t="n">
        <v>30</v>
      </c>
      <c r="AG1802" s="7" t="n">
        <v>30</v>
      </c>
      <c r="AH1802" s="7" t="n">
        <v>11</v>
      </c>
      <c r="AI1802" s="7" t="n">
        <v>11</v>
      </c>
      <c r="AJ1802" s="7" t="n">
        <v>8</v>
      </c>
      <c r="AK1802" s="7" t="n">
        <v>8</v>
      </c>
      <c r="AL1802" s="7" t="n">
        <v>18</v>
      </c>
      <c r="AM1802" s="7" t="n">
        <v>18</v>
      </c>
      <c r="AN1802" s="7" t="n">
        <v>3</v>
      </c>
      <c r="AO1802" s="7" t="n">
        <v>3</v>
      </c>
      <c r="AP1802" s="7" t="n">
        <v>0</v>
      </c>
      <c r="AQ1802" s="7" t="n">
        <v>0</v>
      </c>
      <c r="AR1802" s="6" t="s">
        <v>63</v>
      </c>
      <c r="AS1802" s="6" t="s">
        <v>63</v>
      </c>
      <c r="AT1802" s="28"/>
      <c r="AU1802" s="9" t="str">
        <f aca="false">HYPERLINK("https://creighton-primo.hosted.exlibrisgroup.com/primo-explore/search?tab=default_tab&amp;search_scope=EVERYTHING&amp;vid=01CRU&amp;lang=en_US&amp;offset=0&amp;query=any,contains,991004085479702656","Catalog Record")</f>
        <v>Catalog Record</v>
      </c>
      <c r="AV1802" s="9" t="str">
        <f aca="false">HYPERLINK("http://www.worldcat.org/oclc/2331978","WorldCat Record")</f>
        <v>WorldCat Record</v>
      </c>
      <c r="AW1802" s="6" t="s">
        <v>15675</v>
      </c>
      <c r="AX1802" s="6" t="s">
        <v>15676</v>
      </c>
      <c r="AY1802" s="6" t="s">
        <v>15677</v>
      </c>
      <c r="AZ1802" s="6" t="s">
        <v>15677</v>
      </c>
      <c r="BA1802" s="6" t="s">
        <v>15678</v>
      </c>
      <c r="BB1802" s="6" t="s">
        <v>15679</v>
      </c>
      <c r="BC1802" s="6" t="s">
        <v>15680</v>
      </c>
      <c r="BE1802" s="15" t="s">
        <v>2145</v>
      </c>
      <c r="BF1802" s="6" t="s">
        <v>15681</v>
      </c>
    </row>
    <row r="1803" customFormat="false" ht="71" hidden="false" customHeight="false" outlineLevel="0" collapsed="false">
      <c r="A1803" s="26" t="s">
        <v>63</v>
      </c>
      <c r="B1803" s="27" t="s">
        <v>2129</v>
      </c>
      <c r="C1803" s="27" t="s">
        <v>2130</v>
      </c>
      <c r="D1803" s="27" t="s">
        <v>15682</v>
      </c>
      <c r="E1803" s="27" t="s">
        <v>15683</v>
      </c>
      <c r="F1803" s="27" t="s">
        <v>15684</v>
      </c>
      <c r="G1803" s="28"/>
      <c r="H1803" s="6" t="s">
        <v>63</v>
      </c>
      <c r="I1803" s="6" t="s">
        <v>62</v>
      </c>
      <c r="J1803" s="6" t="s">
        <v>63</v>
      </c>
      <c r="K1803" s="6" t="s">
        <v>63</v>
      </c>
      <c r="L1803" s="6" t="s">
        <v>64</v>
      </c>
      <c r="M1803" s="28"/>
      <c r="N1803" s="27" t="s">
        <v>15685</v>
      </c>
      <c r="O1803" s="6" t="s">
        <v>8465</v>
      </c>
      <c r="P1803" s="28"/>
      <c r="Q1803" s="6" t="s">
        <v>67</v>
      </c>
      <c r="R1803" s="6" t="s">
        <v>123</v>
      </c>
      <c r="S1803" s="28"/>
      <c r="T1803" s="6" t="s">
        <v>6138</v>
      </c>
      <c r="U1803" s="7" t="n">
        <v>2</v>
      </c>
      <c r="V1803" s="7" t="n">
        <v>2</v>
      </c>
      <c r="W1803" s="8" t="s">
        <v>15686</v>
      </c>
      <c r="X1803" s="8" t="s">
        <v>15686</v>
      </c>
      <c r="Y1803" s="8" t="s">
        <v>10069</v>
      </c>
      <c r="Z1803" s="8" t="s">
        <v>10069</v>
      </c>
      <c r="AA1803" s="7" t="n">
        <v>324</v>
      </c>
      <c r="AB1803" s="7" t="n">
        <v>308</v>
      </c>
      <c r="AC1803" s="7" t="n">
        <v>366</v>
      </c>
      <c r="AD1803" s="7" t="n">
        <v>1</v>
      </c>
      <c r="AE1803" s="7" t="n">
        <v>2</v>
      </c>
      <c r="AF1803" s="7" t="n">
        <v>17</v>
      </c>
      <c r="AG1803" s="7" t="n">
        <v>21</v>
      </c>
      <c r="AH1803" s="7" t="n">
        <v>5</v>
      </c>
      <c r="AI1803" s="7" t="n">
        <v>6</v>
      </c>
      <c r="AJ1803" s="7" t="n">
        <v>3</v>
      </c>
      <c r="AK1803" s="7" t="n">
        <v>3</v>
      </c>
      <c r="AL1803" s="7" t="n">
        <v>11</v>
      </c>
      <c r="AM1803" s="7" t="n">
        <v>14</v>
      </c>
      <c r="AN1803" s="7" t="n">
        <v>0</v>
      </c>
      <c r="AO1803" s="7" t="n">
        <v>1</v>
      </c>
      <c r="AP1803" s="7" t="n">
        <v>0</v>
      </c>
      <c r="AQ1803" s="7" t="n">
        <v>0</v>
      </c>
      <c r="AR1803" s="6" t="s">
        <v>63</v>
      </c>
      <c r="AS1803" s="6" t="s">
        <v>63</v>
      </c>
      <c r="AT1803" s="9" t="str">
        <f aca="false">HYPERLINK("http://catalog.hathitrust.org/Record/001379319","HathiTrust Record")</f>
        <v>HathiTrust Record</v>
      </c>
      <c r="AU1803" s="9" t="str">
        <f aca="false">HYPERLINK("https://creighton-primo.hosted.exlibrisgroup.com/primo-explore/search?tab=default_tab&amp;search_scope=EVERYTHING&amp;vid=01CRU&amp;lang=en_US&amp;offset=0&amp;query=any,contains,991002548519702656","Catalog Record")</f>
        <v>Catalog Record</v>
      </c>
      <c r="AV1803" s="9" t="str">
        <f aca="false">HYPERLINK("http://www.worldcat.org/oclc/369192","WorldCat Record")</f>
        <v>WorldCat Record</v>
      </c>
      <c r="AW1803" s="6" t="s">
        <v>15687</v>
      </c>
      <c r="AX1803" s="6" t="s">
        <v>15688</v>
      </c>
      <c r="AY1803" s="6" t="s">
        <v>15689</v>
      </c>
      <c r="AZ1803" s="6" t="s">
        <v>15689</v>
      </c>
      <c r="BA1803" s="6" t="s">
        <v>15690</v>
      </c>
      <c r="BB1803" s="28"/>
      <c r="BC1803" s="6" t="s">
        <v>15691</v>
      </c>
      <c r="BE1803" s="15" t="s">
        <v>2145</v>
      </c>
      <c r="BF1803" s="6" t="s">
        <v>15692</v>
      </c>
    </row>
    <row r="1804" customFormat="false" ht="71" hidden="false" customHeight="false" outlineLevel="0" collapsed="false">
      <c r="A1804" s="26" t="s">
        <v>63</v>
      </c>
      <c r="B1804" s="27" t="s">
        <v>2129</v>
      </c>
      <c r="C1804" s="27" t="s">
        <v>2130</v>
      </c>
      <c r="D1804" s="27" t="s">
        <v>15693</v>
      </c>
      <c r="E1804" s="27" t="s">
        <v>15694</v>
      </c>
      <c r="F1804" s="27" t="s">
        <v>15695</v>
      </c>
      <c r="G1804" s="28"/>
      <c r="H1804" s="6" t="s">
        <v>63</v>
      </c>
      <c r="I1804" s="6" t="s">
        <v>62</v>
      </c>
      <c r="J1804" s="6" t="s">
        <v>63</v>
      </c>
      <c r="K1804" s="6" t="s">
        <v>63</v>
      </c>
      <c r="L1804" s="6" t="s">
        <v>64</v>
      </c>
      <c r="M1804" s="27" t="s">
        <v>4691</v>
      </c>
      <c r="N1804" s="27" t="s">
        <v>7972</v>
      </c>
      <c r="O1804" s="6" t="s">
        <v>3029</v>
      </c>
      <c r="P1804" s="28"/>
      <c r="Q1804" s="6" t="s">
        <v>67</v>
      </c>
      <c r="R1804" s="6" t="s">
        <v>68</v>
      </c>
      <c r="S1804" s="27" t="s">
        <v>15696</v>
      </c>
      <c r="T1804" s="6" t="s">
        <v>6138</v>
      </c>
      <c r="U1804" s="7" t="n">
        <v>2</v>
      </c>
      <c r="V1804" s="7" t="n">
        <v>2</v>
      </c>
      <c r="W1804" s="8" t="s">
        <v>2250</v>
      </c>
      <c r="X1804" s="8" t="s">
        <v>2250</v>
      </c>
      <c r="Y1804" s="8" t="s">
        <v>10069</v>
      </c>
      <c r="Z1804" s="8" t="s">
        <v>10069</v>
      </c>
      <c r="AA1804" s="7" t="n">
        <v>753</v>
      </c>
      <c r="AB1804" s="7" t="n">
        <v>666</v>
      </c>
      <c r="AC1804" s="7" t="n">
        <v>676</v>
      </c>
      <c r="AD1804" s="7" t="n">
        <v>5</v>
      </c>
      <c r="AE1804" s="7" t="n">
        <v>5</v>
      </c>
      <c r="AF1804" s="7" t="n">
        <v>32</v>
      </c>
      <c r="AG1804" s="7" t="n">
        <v>32</v>
      </c>
      <c r="AH1804" s="7" t="n">
        <v>11</v>
      </c>
      <c r="AI1804" s="7" t="n">
        <v>11</v>
      </c>
      <c r="AJ1804" s="7" t="n">
        <v>7</v>
      </c>
      <c r="AK1804" s="7" t="n">
        <v>7</v>
      </c>
      <c r="AL1804" s="7" t="n">
        <v>23</v>
      </c>
      <c r="AM1804" s="7" t="n">
        <v>23</v>
      </c>
      <c r="AN1804" s="7" t="n">
        <v>3</v>
      </c>
      <c r="AO1804" s="7" t="n">
        <v>3</v>
      </c>
      <c r="AP1804" s="7" t="n">
        <v>0</v>
      </c>
      <c r="AQ1804" s="7" t="n">
        <v>0</v>
      </c>
      <c r="AR1804" s="6" t="s">
        <v>63</v>
      </c>
      <c r="AS1804" s="6" t="s">
        <v>63</v>
      </c>
      <c r="AT1804" s="28"/>
      <c r="AU1804" s="9" t="str">
        <f aca="false">HYPERLINK("https://creighton-primo.hosted.exlibrisgroup.com/primo-explore/search?tab=default_tab&amp;search_scope=EVERYTHING&amp;vid=01CRU&amp;lang=en_US&amp;offset=0&amp;query=any,contains,991002356889702656","Catalog Record")</f>
        <v>Catalog Record</v>
      </c>
      <c r="AV1804" s="9" t="str">
        <f aca="false">HYPERLINK("http://www.worldcat.org/oclc/325561","WorldCat Record")</f>
        <v>WorldCat Record</v>
      </c>
      <c r="AW1804" s="6" t="s">
        <v>15697</v>
      </c>
      <c r="AX1804" s="6" t="s">
        <v>15698</v>
      </c>
      <c r="AY1804" s="6" t="s">
        <v>15699</v>
      </c>
      <c r="AZ1804" s="6" t="s">
        <v>15699</v>
      </c>
      <c r="BA1804" s="6" t="s">
        <v>15700</v>
      </c>
      <c r="BB1804" s="28"/>
      <c r="BC1804" s="6" t="s">
        <v>15701</v>
      </c>
      <c r="BE1804" s="15" t="s">
        <v>2145</v>
      </c>
      <c r="BF1804" s="6" t="s">
        <v>15702</v>
      </c>
    </row>
    <row r="1805" customFormat="false" ht="117" hidden="false" customHeight="false" outlineLevel="0" collapsed="false">
      <c r="A1805" s="26" t="s">
        <v>63</v>
      </c>
      <c r="B1805" s="27" t="s">
        <v>2129</v>
      </c>
      <c r="C1805" s="27" t="s">
        <v>2130</v>
      </c>
      <c r="D1805" s="27" t="s">
        <v>15703</v>
      </c>
      <c r="E1805" s="27" t="s">
        <v>15704</v>
      </c>
      <c r="F1805" s="27" t="s">
        <v>15705</v>
      </c>
      <c r="G1805" s="28"/>
      <c r="H1805" s="6" t="s">
        <v>63</v>
      </c>
      <c r="I1805" s="6" t="s">
        <v>62</v>
      </c>
      <c r="J1805" s="6" t="s">
        <v>63</v>
      </c>
      <c r="K1805" s="6" t="s">
        <v>63</v>
      </c>
      <c r="L1805" s="6" t="s">
        <v>64</v>
      </c>
      <c r="M1805" s="27" t="s">
        <v>15706</v>
      </c>
      <c r="N1805" s="27" t="s">
        <v>15707</v>
      </c>
      <c r="O1805" s="6" t="s">
        <v>221</v>
      </c>
      <c r="P1805" s="28"/>
      <c r="Q1805" s="6" t="s">
        <v>67</v>
      </c>
      <c r="R1805" s="6" t="s">
        <v>1059</v>
      </c>
      <c r="S1805" s="27" t="s">
        <v>15708</v>
      </c>
      <c r="T1805" s="6" t="s">
        <v>6138</v>
      </c>
      <c r="U1805" s="7" t="n">
        <v>6</v>
      </c>
      <c r="V1805" s="7" t="n">
        <v>6</v>
      </c>
      <c r="W1805" s="8" t="s">
        <v>15709</v>
      </c>
      <c r="X1805" s="8" t="s">
        <v>15709</v>
      </c>
      <c r="Y1805" s="8" t="s">
        <v>15710</v>
      </c>
      <c r="Z1805" s="8" t="s">
        <v>15710</v>
      </c>
      <c r="AA1805" s="7" t="n">
        <v>875</v>
      </c>
      <c r="AB1805" s="7" t="n">
        <v>739</v>
      </c>
      <c r="AC1805" s="7" t="n">
        <v>745</v>
      </c>
      <c r="AD1805" s="7" t="n">
        <v>6</v>
      </c>
      <c r="AE1805" s="7" t="n">
        <v>6</v>
      </c>
      <c r="AF1805" s="7" t="n">
        <v>27</v>
      </c>
      <c r="AG1805" s="7" t="n">
        <v>27</v>
      </c>
      <c r="AH1805" s="7" t="n">
        <v>9</v>
      </c>
      <c r="AI1805" s="7" t="n">
        <v>9</v>
      </c>
      <c r="AJ1805" s="7" t="n">
        <v>6</v>
      </c>
      <c r="AK1805" s="7" t="n">
        <v>6</v>
      </c>
      <c r="AL1805" s="7" t="n">
        <v>14</v>
      </c>
      <c r="AM1805" s="7" t="n">
        <v>14</v>
      </c>
      <c r="AN1805" s="7" t="n">
        <v>4</v>
      </c>
      <c r="AO1805" s="7" t="n">
        <v>4</v>
      </c>
      <c r="AP1805" s="7" t="n">
        <v>0</v>
      </c>
      <c r="AQ1805" s="7" t="n">
        <v>0</v>
      </c>
      <c r="AR1805" s="6" t="s">
        <v>63</v>
      </c>
      <c r="AS1805" s="6" t="s">
        <v>57</v>
      </c>
      <c r="AT1805" s="9" t="str">
        <f aca="false">HYPERLINK("http://catalog.hathitrust.org/Record/000118991","HathiTrust Record")</f>
        <v>HathiTrust Record</v>
      </c>
      <c r="AU1805" s="9" t="str">
        <f aca="false">HYPERLINK("https://creighton-primo.hosted.exlibrisgroup.com/primo-explore/search?tab=default_tab&amp;search_scope=EVERYTHING&amp;vid=01CRU&amp;lang=en_US&amp;offset=0&amp;query=any,contains,991000254219702656","Catalog Record")</f>
        <v>Catalog Record</v>
      </c>
      <c r="AV1805" s="9" t="str">
        <f aca="false">HYPERLINK("http://www.worldcat.org/oclc/9762301","WorldCat Record")</f>
        <v>WorldCat Record</v>
      </c>
      <c r="AW1805" s="6" t="s">
        <v>15711</v>
      </c>
      <c r="AX1805" s="6" t="s">
        <v>15712</v>
      </c>
      <c r="AY1805" s="6" t="s">
        <v>15713</v>
      </c>
      <c r="AZ1805" s="6" t="s">
        <v>15713</v>
      </c>
      <c r="BA1805" s="6" t="s">
        <v>15714</v>
      </c>
      <c r="BB1805" s="6" t="s">
        <v>15715</v>
      </c>
      <c r="BC1805" s="6" t="s">
        <v>15716</v>
      </c>
      <c r="BE1805" s="15" t="s">
        <v>2145</v>
      </c>
      <c r="BF1805" s="6" t="s">
        <v>15717</v>
      </c>
    </row>
    <row r="1806" customFormat="false" ht="186" hidden="false" customHeight="false" outlineLevel="0" collapsed="false">
      <c r="A1806" s="26" t="s">
        <v>63</v>
      </c>
      <c r="B1806" s="27" t="s">
        <v>2129</v>
      </c>
      <c r="C1806" s="27" t="s">
        <v>2130</v>
      </c>
      <c r="D1806" s="27" t="s">
        <v>15718</v>
      </c>
      <c r="E1806" s="27" t="s">
        <v>15719</v>
      </c>
      <c r="F1806" s="27" t="s">
        <v>15720</v>
      </c>
      <c r="G1806" s="28"/>
      <c r="H1806" s="6" t="s">
        <v>63</v>
      </c>
      <c r="I1806" s="6" t="s">
        <v>62</v>
      </c>
      <c r="J1806" s="6" t="s">
        <v>63</v>
      </c>
      <c r="K1806" s="6" t="s">
        <v>63</v>
      </c>
      <c r="L1806" s="6" t="s">
        <v>64</v>
      </c>
      <c r="M1806" s="27" t="s">
        <v>15721</v>
      </c>
      <c r="N1806" s="27" t="s">
        <v>15722</v>
      </c>
      <c r="O1806" s="6" t="s">
        <v>2262</v>
      </c>
      <c r="P1806" s="28"/>
      <c r="Q1806" s="6" t="s">
        <v>67</v>
      </c>
      <c r="R1806" s="6" t="s">
        <v>1224</v>
      </c>
      <c r="S1806" s="28"/>
      <c r="T1806" s="6" t="s">
        <v>6138</v>
      </c>
      <c r="U1806" s="7" t="n">
        <v>3</v>
      </c>
      <c r="V1806" s="7" t="n">
        <v>3</v>
      </c>
      <c r="W1806" s="8" t="s">
        <v>15723</v>
      </c>
      <c r="X1806" s="8" t="s">
        <v>15723</v>
      </c>
      <c r="Y1806" s="8" t="s">
        <v>15724</v>
      </c>
      <c r="Z1806" s="8" t="s">
        <v>15724</v>
      </c>
      <c r="AA1806" s="7" t="n">
        <v>167</v>
      </c>
      <c r="AB1806" s="7" t="n">
        <v>144</v>
      </c>
      <c r="AC1806" s="7" t="n">
        <v>147</v>
      </c>
      <c r="AD1806" s="7" t="n">
        <v>2</v>
      </c>
      <c r="AE1806" s="7" t="n">
        <v>2</v>
      </c>
      <c r="AF1806" s="7" t="n">
        <v>6</v>
      </c>
      <c r="AG1806" s="7" t="n">
        <v>6</v>
      </c>
      <c r="AH1806" s="7" t="n">
        <v>2</v>
      </c>
      <c r="AI1806" s="7" t="n">
        <v>2</v>
      </c>
      <c r="AJ1806" s="7" t="n">
        <v>1</v>
      </c>
      <c r="AK1806" s="7" t="n">
        <v>1</v>
      </c>
      <c r="AL1806" s="7" t="n">
        <v>5</v>
      </c>
      <c r="AM1806" s="7" t="n">
        <v>5</v>
      </c>
      <c r="AN1806" s="7" t="n">
        <v>1</v>
      </c>
      <c r="AO1806" s="7" t="n">
        <v>1</v>
      </c>
      <c r="AP1806" s="7" t="n">
        <v>0</v>
      </c>
      <c r="AQ1806" s="7" t="n">
        <v>0</v>
      </c>
      <c r="AR1806" s="6" t="s">
        <v>63</v>
      </c>
      <c r="AS1806" s="6" t="s">
        <v>57</v>
      </c>
      <c r="AT1806" s="9" t="str">
        <f aca="false">HYPERLINK("http://catalog.hathitrust.org/Record/000436492","HathiTrust Record")</f>
        <v>HathiTrust Record</v>
      </c>
      <c r="AU1806" s="9" t="str">
        <f aca="false">HYPERLINK("https://creighton-primo.hosted.exlibrisgroup.com/primo-explore/search?tab=default_tab&amp;search_scope=EVERYTHING&amp;vid=01CRU&amp;lang=en_US&amp;offset=0&amp;query=any,contains,991000865939702656","Catalog Record")</f>
        <v>Catalog Record</v>
      </c>
      <c r="AV1806" s="9" t="str">
        <f aca="false">HYPERLINK("http://www.worldcat.org/oclc/13749454","WorldCat Record")</f>
        <v>WorldCat Record</v>
      </c>
      <c r="AW1806" s="6" t="s">
        <v>15725</v>
      </c>
      <c r="AX1806" s="6" t="s">
        <v>15726</v>
      </c>
      <c r="AY1806" s="6" t="s">
        <v>15727</v>
      </c>
      <c r="AZ1806" s="6" t="s">
        <v>15727</v>
      </c>
      <c r="BA1806" s="6" t="s">
        <v>15728</v>
      </c>
      <c r="BB1806" s="6" t="s">
        <v>15729</v>
      </c>
      <c r="BC1806" s="6" t="s">
        <v>15730</v>
      </c>
      <c r="BE1806" s="15" t="s">
        <v>2145</v>
      </c>
      <c r="BF1806" s="6" t="s">
        <v>15731</v>
      </c>
    </row>
    <row r="1807" customFormat="false" ht="105.5" hidden="false" customHeight="false" outlineLevel="0" collapsed="false">
      <c r="A1807" s="26" t="s">
        <v>63</v>
      </c>
      <c r="B1807" s="27" t="s">
        <v>2129</v>
      </c>
      <c r="C1807" s="27" t="s">
        <v>2130</v>
      </c>
      <c r="D1807" s="27" t="s">
        <v>15732</v>
      </c>
      <c r="E1807" s="27" t="s">
        <v>15733</v>
      </c>
      <c r="F1807" s="27" t="s">
        <v>15734</v>
      </c>
      <c r="G1807" s="28"/>
      <c r="H1807" s="6" t="s">
        <v>63</v>
      </c>
      <c r="I1807" s="6" t="s">
        <v>62</v>
      </c>
      <c r="J1807" s="6" t="s">
        <v>63</v>
      </c>
      <c r="K1807" s="6" t="s">
        <v>63</v>
      </c>
      <c r="L1807" s="6" t="s">
        <v>64</v>
      </c>
      <c r="M1807" s="27" t="s">
        <v>15735</v>
      </c>
      <c r="N1807" s="27" t="s">
        <v>13248</v>
      </c>
      <c r="O1807" s="6" t="s">
        <v>167</v>
      </c>
      <c r="P1807" s="28"/>
      <c r="Q1807" s="6" t="s">
        <v>67</v>
      </c>
      <c r="R1807" s="6" t="s">
        <v>181</v>
      </c>
      <c r="S1807" s="27" t="s">
        <v>15736</v>
      </c>
      <c r="T1807" s="6" t="s">
        <v>6138</v>
      </c>
      <c r="U1807" s="7" t="n">
        <v>1</v>
      </c>
      <c r="V1807" s="7" t="n">
        <v>1</v>
      </c>
      <c r="W1807" s="8" t="s">
        <v>15737</v>
      </c>
      <c r="X1807" s="8" t="s">
        <v>15737</v>
      </c>
      <c r="Y1807" s="8" t="s">
        <v>15724</v>
      </c>
      <c r="Z1807" s="8" t="s">
        <v>15724</v>
      </c>
      <c r="AA1807" s="7" t="n">
        <v>600</v>
      </c>
      <c r="AB1807" s="7" t="n">
        <v>507</v>
      </c>
      <c r="AC1807" s="7" t="n">
        <v>561</v>
      </c>
      <c r="AD1807" s="7" t="n">
        <v>3</v>
      </c>
      <c r="AE1807" s="7" t="n">
        <v>3</v>
      </c>
      <c r="AF1807" s="7" t="n">
        <v>20</v>
      </c>
      <c r="AG1807" s="7" t="n">
        <v>21</v>
      </c>
      <c r="AH1807" s="7" t="n">
        <v>7</v>
      </c>
      <c r="AI1807" s="7" t="n">
        <v>7</v>
      </c>
      <c r="AJ1807" s="7" t="n">
        <v>7</v>
      </c>
      <c r="AK1807" s="7" t="n">
        <v>7</v>
      </c>
      <c r="AL1807" s="7" t="n">
        <v>11</v>
      </c>
      <c r="AM1807" s="7" t="n">
        <v>12</v>
      </c>
      <c r="AN1807" s="7" t="n">
        <v>2</v>
      </c>
      <c r="AO1807" s="7" t="n">
        <v>2</v>
      </c>
      <c r="AP1807" s="7" t="n">
        <v>0</v>
      </c>
      <c r="AQ1807" s="7" t="n">
        <v>0</v>
      </c>
      <c r="AR1807" s="6" t="s">
        <v>63</v>
      </c>
      <c r="AS1807" s="6" t="s">
        <v>57</v>
      </c>
      <c r="AT1807" s="9" t="str">
        <f aca="false">HYPERLINK("http://catalog.hathitrust.org/Record/001387167","HathiTrust Record")</f>
        <v>HathiTrust Record</v>
      </c>
      <c r="AU1807" s="9" t="str">
        <f aca="false">HYPERLINK("https://creighton-primo.hosted.exlibrisgroup.com/primo-explore/search?tab=default_tab&amp;search_scope=EVERYTHING&amp;vid=01CRU&amp;lang=en_US&amp;offset=0&amp;query=any,contains,991002572419702656","Catalog Record")</f>
        <v>Catalog Record</v>
      </c>
      <c r="AV1807" s="9" t="str">
        <f aca="false">HYPERLINK("http://www.worldcat.org/oclc/374053","WorldCat Record")</f>
        <v>WorldCat Record</v>
      </c>
      <c r="AW1807" s="6" t="s">
        <v>15738</v>
      </c>
      <c r="AX1807" s="6" t="s">
        <v>15739</v>
      </c>
      <c r="AY1807" s="6" t="s">
        <v>15740</v>
      </c>
      <c r="AZ1807" s="6" t="s">
        <v>15740</v>
      </c>
      <c r="BA1807" s="6" t="s">
        <v>15741</v>
      </c>
      <c r="BB1807" s="28"/>
      <c r="BC1807" s="6" t="s">
        <v>15742</v>
      </c>
      <c r="BE1807" s="15" t="s">
        <v>2145</v>
      </c>
      <c r="BF1807" s="6" t="s">
        <v>15743</v>
      </c>
    </row>
    <row r="1808" customFormat="false" ht="140" hidden="false" customHeight="false" outlineLevel="0" collapsed="false">
      <c r="A1808" s="26" t="s">
        <v>63</v>
      </c>
      <c r="B1808" s="27" t="s">
        <v>2129</v>
      </c>
      <c r="C1808" s="27" t="s">
        <v>2130</v>
      </c>
      <c r="D1808" s="27" t="s">
        <v>15744</v>
      </c>
      <c r="E1808" s="27" t="s">
        <v>15745</v>
      </c>
      <c r="F1808" s="27" t="s">
        <v>15746</v>
      </c>
      <c r="G1808" s="28"/>
      <c r="H1808" s="6" t="s">
        <v>63</v>
      </c>
      <c r="I1808" s="6" t="s">
        <v>62</v>
      </c>
      <c r="J1808" s="6" t="s">
        <v>63</v>
      </c>
      <c r="K1808" s="6" t="s">
        <v>63</v>
      </c>
      <c r="L1808" s="6" t="s">
        <v>64</v>
      </c>
      <c r="M1808" s="27" t="s">
        <v>15747</v>
      </c>
      <c r="N1808" s="27" t="s">
        <v>15748</v>
      </c>
      <c r="O1808" s="6" t="s">
        <v>122</v>
      </c>
      <c r="P1808" s="28"/>
      <c r="Q1808" s="6" t="s">
        <v>67</v>
      </c>
      <c r="R1808" s="6" t="s">
        <v>123</v>
      </c>
      <c r="S1808" s="27" t="s">
        <v>15749</v>
      </c>
      <c r="T1808" s="6" t="s">
        <v>6138</v>
      </c>
      <c r="U1808" s="7" t="n">
        <v>3</v>
      </c>
      <c r="V1808" s="7" t="n">
        <v>3</v>
      </c>
      <c r="W1808" s="8" t="s">
        <v>9290</v>
      </c>
      <c r="X1808" s="8" t="s">
        <v>9290</v>
      </c>
      <c r="Y1808" s="8" t="s">
        <v>15447</v>
      </c>
      <c r="Z1808" s="8" t="s">
        <v>15447</v>
      </c>
      <c r="AA1808" s="7" t="n">
        <v>431</v>
      </c>
      <c r="AB1808" s="7" t="n">
        <v>316</v>
      </c>
      <c r="AC1808" s="7" t="n">
        <v>330</v>
      </c>
      <c r="AD1808" s="7" t="n">
        <v>3</v>
      </c>
      <c r="AE1808" s="7" t="n">
        <v>3</v>
      </c>
      <c r="AF1808" s="7" t="n">
        <v>25</v>
      </c>
      <c r="AG1808" s="7" t="n">
        <v>26</v>
      </c>
      <c r="AH1808" s="7" t="n">
        <v>5</v>
      </c>
      <c r="AI1808" s="7" t="n">
        <v>6</v>
      </c>
      <c r="AJ1808" s="7" t="n">
        <v>8</v>
      </c>
      <c r="AK1808" s="7" t="n">
        <v>8</v>
      </c>
      <c r="AL1808" s="7" t="n">
        <v>17</v>
      </c>
      <c r="AM1808" s="7" t="n">
        <v>18</v>
      </c>
      <c r="AN1808" s="7" t="n">
        <v>2</v>
      </c>
      <c r="AO1808" s="7" t="n">
        <v>2</v>
      </c>
      <c r="AP1808" s="7" t="n">
        <v>0</v>
      </c>
      <c r="AQ1808" s="7" t="n">
        <v>0</v>
      </c>
      <c r="AR1808" s="6" t="s">
        <v>63</v>
      </c>
      <c r="AS1808" s="6" t="s">
        <v>57</v>
      </c>
      <c r="AT1808" s="9" t="str">
        <f aca="false">HYPERLINK("http://catalog.hathitrust.org/Record/001915118","HathiTrust Record")</f>
        <v>HathiTrust Record</v>
      </c>
      <c r="AU1808" s="9" t="str">
        <f aca="false">HYPERLINK("https://creighton-primo.hosted.exlibrisgroup.com/primo-explore/search?tab=default_tab&amp;search_scope=EVERYTHING&amp;vid=01CRU&amp;lang=en_US&amp;offset=0&amp;query=any,contains,991002115119702656","Catalog Record")</f>
        <v>Catalog Record</v>
      </c>
      <c r="AV1808" s="9" t="str">
        <f aca="false">HYPERLINK("http://www.worldcat.org/oclc/268239","WorldCat Record")</f>
        <v>WorldCat Record</v>
      </c>
      <c r="AW1808" s="6" t="s">
        <v>15750</v>
      </c>
      <c r="AX1808" s="6" t="s">
        <v>15751</v>
      </c>
      <c r="AY1808" s="6" t="s">
        <v>15752</v>
      </c>
      <c r="AZ1808" s="6" t="s">
        <v>15752</v>
      </c>
      <c r="BA1808" s="6" t="s">
        <v>15753</v>
      </c>
      <c r="BB1808" s="28"/>
      <c r="BC1808" s="6" t="s">
        <v>15754</v>
      </c>
      <c r="BE1808" s="15" t="s">
        <v>2145</v>
      </c>
      <c r="BF1808" s="6" t="s">
        <v>15755</v>
      </c>
    </row>
    <row r="1809" customFormat="false" ht="186" hidden="false" customHeight="false" outlineLevel="0" collapsed="false">
      <c r="A1809" s="26" t="s">
        <v>57</v>
      </c>
      <c r="B1809" s="27" t="s">
        <v>2129</v>
      </c>
      <c r="C1809" s="27" t="s">
        <v>2130</v>
      </c>
      <c r="D1809" s="27" t="s">
        <v>15756</v>
      </c>
      <c r="E1809" s="27" t="s">
        <v>15757</v>
      </c>
      <c r="F1809" s="27" t="s">
        <v>15758</v>
      </c>
      <c r="G1809" s="28"/>
      <c r="H1809" s="6" t="s">
        <v>63</v>
      </c>
      <c r="I1809" s="6" t="s">
        <v>62</v>
      </c>
      <c r="J1809" s="6" t="s">
        <v>63</v>
      </c>
      <c r="K1809" s="6" t="s">
        <v>63</v>
      </c>
      <c r="L1809" s="6" t="s">
        <v>64</v>
      </c>
      <c r="M1809" s="28"/>
      <c r="N1809" s="27" t="s">
        <v>7852</v>
      </c>
      <c r="O1809" s="6" t="s">
        <v>2623</v>
      </c>
      <c r="P1809" s="28"/>
      <c r="Q1809" s="6" t="s">
        <v>67</v>
      </c>
      <c r="R1809" s="6" t="s">
        <v>384</v>
      </c>
      <c r="S1809" s="28"/>
      <c r="T1809" s="6" t="s">
        <v>6138</v>
      </c>
      <c r="U1809" s="7" t="n">
        <v>7</v>
      </c>
      <c r="V1809" s="7" t="n">
        <v>7</v>
      </c>
      <c r="W1809" s="8" t="s">
        <v>15759</v>
      </c>
      <c r="X1809" s="8" t="s">
        <v>15759</v>
      </c>
      <c r="Y1809" s="8" t="s">
        <v>3594</v>
      </c>
      <c r="Z1809" s="8" t="s">
        <v>3594</v>
      </c>
      <c r="AA1809" s="7" t="n">
        <v>635</v>
      </c>
      <c r="AB1809" s="7" t="n">
        <v>501</v>
      </c>
      <c r="AC1809" s="7" t="n">
        <v>528</v>
      </c>
      <c r="AD1809" s="7" t="n">
        <v>5</v>
      </c>
      <c r="AE1809" s="7" t="n">
        <v>5</v>
      </c>
      <c r="AF1809" s="7" t="n">
        <v>26</v>
      </c>
      <c r="AG1809" s="7" t="n">
        <v>28</v>
      </c>
      <c r="AH1809" s="7" t="n">
        <v>10</v>
      </c>
      <c r="AI1809" s="7" t="n">
        <v>11</v>
      </c>
      <c r="AJ1809" s="7" t="n">
        <v>7</v>
      </c>
      <c r="AK1809" s="7" t="n">
        <v>8</v>
      </c>
      <c r="AL1809" s="7" t="n">
        <v>14</v>
      </c>
      <c r="AM1809" s="7" t="n">
        <v>15</v>
      </c>
      <c r="AN1809" s="7" t="n">
        <v>4</v>
      </c>
      <c r="AO1809" s="7" t="n">
        <v>4</v>
      </c>
      <c r="AP1809" s="7" t="n">
        <v>0</v>
      </c>
      <c r="AQ1809" s="7" t="n">
        <v>0</v>
      </c>
      <c r="AR1809" s="6" t="s">
        <v>63</v>
      </c>
      <c r="AS1809" s="6" t="s">
        <v>57</v>
      </c>
      <c r="AT1809" s="9" t="str">
        <f aca="false">HYPERLINK("http://catalog.hathitrust.org/Record/000043212","HathiTrust Record")</f>
        <v>HathiTrust Record</v>
      </c>
      <c r="AU1809" s="9" t="str">
        <f aca="false">HYPERLINK("https://creighton-primo.hosted.exlibrisgroup.com/primo-explore/search?tab=default_tab&amp;search_scope=EVERYTHING&amp;vid=01CRU&amp;lang=en_US&amp;offset=0&amp;query=any,contains,991004830699702656","Catalog Record")</f>
        <v>Catalog Record</v>
      </c>
      <c r="AV1809" s="9" t="str">
        <f aca="false">HYPERLINK("http://www.worldcat.org/oclc/5410415","WorldCat Record")</f>
        <v>WorldCat Record</v>
      </c>
      <c r="AW1809" s="6" t="s">
        <v>15760</v>
      </c>
      <c r="AX1809" s="6" t="s">
        <v>15761</v>
      </c>
      <c r="AY1809" s="6" t="s">
        <v>15762</v>
      </c>
      <c r="AZ1809" s="6" t="s">
        <v>15762</v>
      </c>
      <c r="BA1809" s="6" t="s">
        <v>15763</v>
      </c>
      <c r="BB1809" s="6" t="s">
        <v>15764</v>
      </c>
      <c r="BC1809" s="6" t="s">
        <v>15765</v>
      </c>
      <c r="BE1809" s="15" t="s">
        <v>2145</v>
      </c>
      <c r="BF1809" s="6" t="s">
        <v>15766</v>
      </c>
    </row>
    <row r="1810" customFormat="false" ht="140" hidden="false" customHeight="false" outlineLevel="0" collapsed="false">
      <c r="A1810" s="26" t="s">
        <v>63</v>
      </c>
      <c r="B1810" s="27" t="s">
        <v>2129</v>
      </c>
      <c r="C1810" s="27" t="s">
        <v>2130</v>
      </c>
      <c r="D1810" s="27" t="s">
        <v>15767</v>
      </c>
      <c r="E1810" s="27" t="s">
        <v>15768</v>
      </c>
      <c r="F1810" s="27" t="s">
        <v>15769</v>
      </c>
      <c r="G1810" s="28"/>
      <c r="H1810" s="6" t="s">
        <v>63</v>
      </c>
      <c r="I1810" s="6" t="s">
        <v>62</v>
      </c>
      <c r="J1810" s="6" t="s">
        <v>63</v>
      </c>
      <c r="K1810" s="6" t="s">
        <v>63</v>
      </c>
      <c r="L1810" s="6" t="s">
        <v>64</v>
      </c>
      <c r="M1810" s="28"/>
      <c r="N1810" s="27" t="s">
        <v>15770</v>
      </c>
      <c r="O1810" s="6" t="s">
        <v>3301</v>
      </c>
      <c r="P1810" s="28"/>
      <c r="Q1810" s="6" t="s">
        <v>67</v>
      </c>
      <c r="R1810" s="6" t="s">
        <v>15771</v>
      </c>
      <c r="S1810" s="27" t="s">
        <v>15772</v>
      </c>
      <c r="T1810" s="6" t="s">
        <v>6138</v>
      </c>
      <c r="U1810" s="7" t="n">
        <v>5</v>
      </c>
      <c r="V1810" s="7" t="n">
        <v>5</v>
      </c>
      <c r="W1810" s="8" t="s">
        <v>12503</v>
      </c>
      <c r="X1810" s="8" t="s">
        <v>12503</v>
      </c>
      <c r="Y1810" s="8" t="s">
        <v>15724</v>
      </c>
      <c r="Z1810" s="8" t="s">
        <v>15724</v>
      </c>
      <c r="AA1810" s="7" t="n">
        <v>112</v>
      </c>
      <c r="AB1810" s="7" t="n">
        <v>78</v>
      </c>
      <c r="AC1810" s="7" t="n">
        <v>84</v>
      </c>
      <c r="AD1810" s="7" t="n">
        <v>1</v>
      </c>
      <c r="AE1810" s="7" t="n">
        <v>1</v>
      </c>
      <c r="AF1810" s="7" t="n">
        <v>5</v>
      </c>
      <c r="AG1810" s="7" t="n">
        <v>5</v>
      </c>
      <c r="AH1810" s="7" t="n">
        <v>2</v>
      </c>
      <c r="AI1810" s="7" t="n">
        <v>2</v>
      </c>
      <c r="AJ1810" s="7" t="n">
        <v>2</v>
      </c>
      <c r="AK1810" s="7" t="n">
        <v>2</v>
      </c>
      <c r="AL1810" s="7" t="n">
        <v>3</v>
      </c>
      <c r="AM1810" s="7" t="n">
        <v>3</v>
      </c>
      <c r="AN1810" s="7" t="n">
        <v>0</v>
      </c>
      <c r="AO1810" s="7" t="n">
        <v>0</v>
      </c>
      <c r="AP1810" s="7" t="n">
        <v>0</v>
      </c>
      <c r="AQ1810" s="7" t="n">
        <v>0</v>
      </c>
      <c r="AR1810" s="6" t="s">
        <v>63</v>
      </c>
      <c r="AS1810" s="6" t="s">
        <v>57</v>
      </c>
      <c r="AT1810" s="9" t="str">
        <f aca="false">HYPERLINK("http://catalog.hathitrust.org/Record/006011081","HathiTrust Record")</f>
        <v>HathiTrust Record</v>
      </c>
      <c r="AU1810" s="9" t="str">
        <f aca="false">HYPERLINK("https://creighton-primo.hosted.exlibrisgroup.com/primo-explore/search?tab=default_tab&amp;search_scope=EVERYTHING&amp;vid=01CRU&amp;lang=en_US&amp;offset=0&amp;query=any,contains,991000203489702656","Catalog Record")</f>
        <v>Catalog Record</v>
      </c>
      <c r="AV1810" s="9" t="str">
        <f aca="false">HYPERLINK("http://www.worldcat.org/oclc/9474219","WorldCat Record")</f>
        <v>WorldCat Record</v>
      </c>
      <c r="AW1810" s="6" t="s">
        <v>15773</v>
      </c>
      <c r="AX1810" s="6" t="s">
        <v>15774</v>
      </c>
      <c r="AY1810" s="6" t="s">
        <v>15775</v>
      </c>
      <c r="AZ1810" s="6" t="s">
        <v>15775</v>
      </c>
      <c r="BA1810" s="6" t="s">
        <v>15776</v>
      </c>
      <c r="BB1810" s="28"/>
      <c r="BC1810" s="6" t="s">
        <v>15777</v>
      </c>
      <c r="BE1810" s="15" t="s">
        <v>2145</v>
      </c>
      <c r="BF1810" s="6" t="s">
        <v>15778</v>
      </c>
    </row>
    <row r="1811" customFormat="false" ht="151.5" hidden="false" customHeight="false" outlineLevel="0" collapsed="false">
      <c r="A1811" s="26" t="s">
        <v>63</v>
      </c>
      <c r="B1811" s="27" t="s">
        <v>2129</v>
      </c>
      <c r="C1811" s="27" t="s">
        <v>2130</v>
      </c>
      <c r="D1811" s="27" t="s">
        <v>15779</v>
      </c>
      <c r="E1811" s="27" t="s">
        <v>15780</v>
      </c>
      <c r="F1811" s="27" t="s">
        <v>15781</v>
      </c>
      <c r="G1811" s="28"/>
      <c r="H1811" s="6" t="s">
        <v>63</v>
      </c>
      <c r="I1811" s="6" t="s">
        <v>62</v>
      </c>
      <c r="J1811" s="6" t="s">
        <v>63</v>
      </c>
      <c r="K1811" s="6" t="s">
        <v>63</v>
      </c>
      <c r="L1811" s="6" t="s">
        <v>64</v>
      </c>
      <c r="M1811" s="28"/>
      <c r="N1811" s="27" t="s">
        <v>15782</v>
      </c>
      <c r="O1811" s="6" t="s">
        <v>221</v>
      </c>
      <c r="P1811" s="27" t="s">
        <v>15783</v>
      </c>
      <c r="Q1811" s="6" t="s">
        <v>67</v>
      </c>
      <c r="R1811" s="6" t="s">
        <v>15771</v>
      </c>
      <c r="S1811" s="28"/>
      <c r="T1811" s="6" t="s">
        <v>6138</v>
      </c>
      <c r="U1811" s="7" t="n">
        <v>2</v>
      </c>
      <c r="V1811" s="7" t="n">
        <v>2</v>
      </c>
      <c r="W1811" s="8" t="s">
        <v>14122</v>
      </c>
      <c r="X1811" s="8" t="s">
        <v>14122</v>
      </c>
      <c r="Y1811" s="8" t="s">
        <v>15724</v>
      </c>
      <c r="Z1811" s="8" t="s">
        <v>15724</v>
      </c>
      <c r="AA1811" s="7" t="n">
        <v>247</v>
      </c>
      <c r="AB1811" s="7" t="n">
        <v>197</v>
      </c>
      <c r="AC1811" s="7" t="n">
        <v>204</v>
      </c>
      <c r="AD1811" s="7" t="n">
        <v>1</v>
      </c>
      <c r="AE1811" s="7" t="n">
        <v>1</v>
      </c>
      <c r="AF1811" s="7" t="n">
        <v>6</v>
      </c>
      <c r="AG1811" s="7" t="n">
        <v>6</v>
      </c>
      <c r="AH1811" s="7" t="n">
        <v>4</v>
      </c>
      <c r="AI1811" s="7" t="n">
        <v>4</v>
      </c>
      <c r="AJ1811" s="7" t="n">
        <v>2</v>
      </c>
      <c r="AK1811" s="7" t="n">
        <v>2</v>
      </c>
      <c r="AL1811" s="7" t="n">
        <v>4</v>
      </c>
      <c r="AM1811" s="7" t="n">
        <v>4</v>
      </c>
      <c r="AN1811" s="7" t="n">
        <v>0</v>
      </c>
      <c r="AO1811" s="7" t="n">
        <v>0</v>
      </c>
      <c r="AP1811" s="7" t="n">
        <v>0</v>
      </c>
      <c r="AQ1811" s="7" t="n">
        <v>0</v>
      </c>
      <c r="AR1811" s="6" t="s">
        <v>63</v>
      </c>
      <c r="AS1811" s="6" t="s">
        <v>57</v>
      </c>
      <c r="AT1811" s="9" t="str">
        <f aca="false">HYPERLINK("http://catalog.hathitrust.org/Record/000562024","HathiTrust Record")</f>
        <v>HathiTrust Record</v>
      </c>
      <c r="AU1811" s="9" t="str">
        <f aca="false">HYPERLINK("https://creighton-primo.hosted.exlibrisgroup.com/primo-explore/search?tab=default_tab&amp;search_scope=EVERYTHING&amp;vid=01CRU&amp;lang=en_US&amp;offset=0&amp;query=any,contains,991000401809702656","Catalog Record")</f>
        <v>Catalog Record</v>
      </c>
      <c r="AV1811" s="9" t="str">
        <f aca="false">HYPERLINK("http://www.worldcat.org/oclc/10614863","WorldCat Record")</f>
        <v>WorldCat Record</v>
      </c>
      <c r="AW1811" s="6" t="s">
        <v>15784</v>
      </c>
      <c r="AX1811" s="6" t="s">
        <v>15785</v>
      </c>
      <c r="AY1811" s="6" t="s">
        <v>15786</v>
      </c>
      <c r="AZ1811" s="6" t="s">
        <v>15786</v>
      </c>
      <c r="BA1811" s="6" t="s">
        <v>15787</v>
      </c>
      <c r="BB1811" s="6" t="s">
        <v>15788</v>
      </c>
      <c r="BC1811" s="6" t="s">
        <v>15789</v>
      </c>
      <c r="BE1811" s="15" t="s">
        <v>2145</v>
      </c>
      <c r="BF1811" s="6" t="s">
        <v>15790</v>
      </c>
    </row>
    <row r="1812" customFormat="false" ht="232" hidden="false" customHeight="false" outlineLevel="0" collapsed="false">
      <c r="A1812" s="26" t="s">
        <v>63</v>
      </c>
      <c r="B1812" s="27" t="s">
        <v>2129</v>
      </c>
      <c r="C1812" s="27" t="s">
        <v>2130</v>
      </c>
      <c r="D1812" s="27" t="s">
        <v>15791</v>
      </c>
      <c r="E1812" s="27" t="s">
        <v>15792</v>
      </c>
      <c r="F1812" s="27" t="s">
        <v>15793</v>
      </c>
      <c r="G1812" s="28"/>
      <c r="H1812" s="6" t="s">
        <v>63</v>
      </c>
      <c r="I1812" s="6" t="s">
        <v>62</v>
      </c>
      <c r="J1812" s="6" t="s">
        <v>63</v>
      </c>
      <c r="K1812" s="6" t="s">
        <v>63</v>
      </c>
      <c r="L1812" s="6" t="s">
        <v>64</v>
      </c>
      <c r="M1812" s="27" t="s">
        <v>15794</v>
      </c>
      <c r="N1812" s="27" t="s">
        <v>15795</v>
      </c>
      <c r="O1812" s="6" t="s">
        <v>3934</v>
      </c>
      <c r="P1812" s="27" t="s">
        <v>15796</v>
      </c>
      <c r="Q1812" s="6" t="s">
        <v>9090</v>
      </c>
      <c r="R1812" s="6" t="s">
        <v>9091</v>
      </c>
      <c r="S1812" s="28"/>
      <c r="T1812" s="6" t="s">
        <v>6138</v>
      </c>
      <c r="U1812" s="7" t="n">
        <v>3</v>
      </c>
      <c r="V1812" s="7" t="n">
        <v>3</v>
      </c>
      <c r="W1812" s="8" t="s">
        <v>15797</v>
      </c>
      <c r="X1812" s="8" t="s">
        <v>15797</v>
      </c>
      <c r="Y1812" s="8" t="s">
        <v>15798</v>
      </c>
      <c r="Z1812" s="8" t="s">
        <v>15798</v>
      </c>
      <c r="AA1812" s="7" t="n">
        <v>54</v>
      </c>
      <c r="AB1812" s="7" t="n">
        <v>22</v>
      </c>
      <c r="AC1812" s="7" t="n">
        <v>60</v>
      </c>
      <c r="AD1812" s="7" t="n">
        <v>1</v>
      </c>
      <c r="AE1812" s="7" t="n">
        <v>1</v>
      </c>
      <c r="AF1812" s="7" t="n">
        <v>4</v>
      </c>
      <c r="AG1812" s="7" t="n">
        <v>6</v>
      </c>
      <c r="AH1812" s="7" t="n">
        <v>1</v>
      </c>
      <c r="AI1812" s="7" t="n">
        <v>1</v>
      </c>
      <c r="AJ1812" s="7" t="n">
        <v>1</v>
      </c>
      <c r="AK1812" s="7" t="n">
        <v>2</v>
      </c>
      <c r="AL1812" s="7" t="n">
        <v>4</v>
      </c>
      <c r="AM1812" s="7" t="n">
        <v>6</v>
      </c>
      <c r="AN1812" s="7" t="n">
        <v>0</v>
      </c>
      <c r="AO1812" s="7" t="n">
        <v>0</v>
      </c>
      <c r="AP1812" s="7" t="n">
        <v>0</v>
      </c>
      <c r="AQ1812" s="7" t="n">
        <v>0</v>
      </c>
      <c r="AR1812" s="6" t="s">
        <v>63</v>
      </c>
      <c r="AS1812" s="6" t="s">
        <v>57</v>
      </c>
      <c r="AT1812" s="9" t="str">
        <f aca="false">HYPERLINK("http://catalog.hathitrust.org/Record/101985090","HathiTrust Record")</f>
        <v>HathiTrust Record</v>
      </c>
      <c r="AU1812" s="9" t="str">
        <f aca="false">HYPERLINK("https://creighton-primo.hosted.exlibrisgroup.com/primo-explore/search?tab=default_tab&amp;search_scope=EVERYTHING&amp;vid=01CRU&amp;lang=en_US&amp;offset=0&amp;query=any,contains,991002568779702656","Catalog Record")</f>
        <v>Catalog Record</v>
      </c>
      <c r="AV1812" s="9" t="str">
        <f aca="false">HYPERLINK("http://www.worldcat.org/oclc/33390325","WorldCat Record")</f>
        <v>WorldCat Record</v>
      </c>
      <c r="AW1812" s="6" t="s">
        <v>15799</v>
      </c>
      <c r="AX1812" s="6" t="s">
        <v>15800</v>
      </c>
      <c r="AY1812" s="6" t="s">
        <v>15801</v>
      </c>
      <c r="AZ1812" s="6" t="s">
        <v>15801</v>
      </c>
      <c r="BA1812" s="6" t="s">
        <v>15802</v>
      </c>
      <c r="BB1812" s="6" t="s">
        <v>15803</v>
      </c>
      <c r="BC1812" s="6" t="s">
        <v>15804</v>
      </c>
      <c r="BE1812" s="15" t="s">
        <v>2145</v>
      </c>
      <c r="BF1812" s="6" t="s">
        <v>15805</v>
      </c>
    </row>
    <row r="1813" customFormat="false" ht="151.5" hidden="false" customHeight="false" outlineLevel="0" collapsed="false">
      <c r="A1813" s="26" t="s">
        <v>63</v>
      </c>
      <c r="B1813" s="27" t="s">
        <v>2129</v>
      </c>
      <c r="C1813" s="27" t="s">
        <v>2130</v>
      </c>
      <c r="D1813" s="27" t="s">
        <v>15806</v>
      </c>
      <c r="E1813" s="27" t="s">
        <v>15807</v>
      </c>
      <c r="F1813" s="27" t="s">
        <v>15808</v>
      </c>
      <c r="G1813" s="28"/>
      <c r="H1813" s="6" t="s">
        <v>63</v>
      </c>
      <c r="I1813" s="6" t="s">
        <v>62</v>
      </c>
      <c r="J1813" s="6" t="s">
        <v>63</v>
      </c>
      <c r="K1813" s="6" t="s">
        <v>63</v>
      </c>
      <c r="L1813" s="6" t="s">
        <v>64</v>
      </c>
      <c r="M1813" s="27" t="s">
        <v>15809</v>
      </c>
      <c r="N1813" s="27" t="s">
        <v>15810</v>
      </c>
      <c r="O1813" s="6" t="s">
        <v>7428</v>
      </c>
      <c r="P1813" s="28"/>
      <c r="Q1813" s="6" t="s">
        <v>67</v>
      </c>
      <c r="R1813" s="6" t="s">
        <v>68</v>
      </c>
      <c r="S1813" s="28"/>
      <c r="T1813" s="6" t="s">
        <v>6138</v>
      </c>
      <c r="U1813" s="7" t="n">
        <v>1</v>
      </c>
      <c r="V1813" s="7" t="n">
        <v>1</v>
      </c>
      <c r="W1813" s="8" t="s">
        <v>15811</v>
      </c>
      <c r="X1813" s="8" t="s">
        <v>15811</v>
      </c>
      <c r="Y1813" s="8" t="s">
        <v>15710</v>
      </c>
      <c r="Z1813" s="8" t="s">
        <v>15710</v>
      </c>
      <c r="AA1813" s="7" t="n">
        <v>831</v>
      </c>
      <c r="AB1813" s="7" t="n">
        <v>716</v>
      </c>
      <c r="AC1813" s="7" t="n">
        <v>746</v>
      </c>
      <c r="AD1813" s="7" t="n">
        <v>4</v>
      </c>
      <c r="AE1813" s="7" t="n">
        <v>4</v>
      </c>
      <c r="AF1813" s="7" t="n">
        <v>31</v>
      </c>
      <c r="AG1813" s="7" t="n">
        <v>31</v>
      </c>
      <c r="AH1813" s="7" t="n">
        <v>12</v>
      </c>
      <c r="AI1813" s="7" t="n">
        <v>12</v>
      </c>
      <c r="AJ1813" s="7" t="n">
        <v>5</v>
      </c>
      <c r="AK1813" s="7" t="n">
        <v>5</v>
      </c>
      <c r="AL1813" s="7" t="n">
        <v>20</v>
      </c>
      <c r="AM1813" s="7" t="n">
        <v>20</v>
      </c>
      <c r="AN1813" s="7" t="n">
        <v>2</v>
      </c>
      <c r="AO1813" s="7" t="n">
        <v>2</v>
      </c>
      <c r="AP1813" s="7" t="n">
        <v>0</v>
      </c>
      <c r="AQ1813" s="7" t="n">
        <v>0</v>
      </c>
      <c r="AR1813" s="6" t="s">
        <v>63</v>
      </c>
      <c r="AS1813" s="6" t="s">
        <v>57</v>
      </c>
      <c r="AT1813" s="9" t="str">
        <f aca="false">HYPERLINK("http://catalog.hathitrust.org/Record/000687454","HathiTrust Record")</f>
        <v>HathiTrust Record</v>
      </c>
      <c r="AU1813" s="9" t="str">
        <f aca="false">HYPERLINK("https://creighton-primo.hosted.exlibrisgroup.com/primo-explore/search?tab=default_tab&amp;search_scope=EVERYTHING&amp;vid=01CRU&amp;lang=en_US&amp;offset=0&amp;query=any,contains,991003909509702656","Catalog Record")</f>
        <v>Catalog Record</v>
      </c>
      <c r="AV1813" s="9" t="str">
        <f aca="false">HYPERLINK("http://www.worldcat.org/oclc/1848942","WorldCat Record")</f>
        <v>WorldCat Record</v>
      </c>
      <c r="AW1813" s="6" t="s">
        <v>15812</v>
      </c>
      <c r="AX1813" s="6" t="s">
        <v>15813</v>
      </c>
      <c r="AY1813" s="6" t="s">
        <v>15814</v>
      </c>
      <c r="AZ1813" s="6" t="s">
        <v>15814</v>
      </c>
      <c r="BA1813" s="6" t="s">
        <v>15815</v>
      </c>
      <c r="BB1813" s="6" t="s">
        <v>15816</v>
      </c>
      <c r="BC1813" s="6" t="s">
        <v>15817</v>
      </c>
      <c r="BE1813" s="15" t="s">
        <v>2145</v>
      </c>
      <c r="BF1813" s="6" t="s">
        <v>15818</v>
      </c>
    </row>
    <row r="1814" customFormat="false" ht="94" hidden="false" customHeight="false" outlineLevel="0" collapsed="false">
      <c r="A1814" s="26" t="s">
        <v>63</v>
      </c>
      <c r="B1814" s="27" t="s">
        <v>2129</v>
      </c>
      <c r="C1814" s="27" t="s">
        <v>2130</v>
      </c>
      <c r="D1814" s="27" t="s">
        <v>15819</v>
      </c>
      <c r="E1814" s="27" t="s">
        <v>15820</v>
      </c>
      <c r="F1814" s="27" t="s">
        <v>15821</v>
      </c>
      <c r="G1814" s="28"/>
      <c r="H1814" s="6" t="s">
        <v>63</v>
      </c>
      <c r="I1814" s="6" t="s">
        <v>62</v>
      </c>
      <c r="J1814" s="6" t="s">
        <v>63</v>
      </c>
      <c r="K1814" s="6" t="s">
        <v>63</v>
      </c>
      <c r="L1814" s="6" t="s">
        <v>64</v>
      </c>
      <c r="M1814" s="27" t="s">
        <v>15822</v>
      </c>
      <c r="N1814" s="27" t="s">
        <v>15823</v>
      </c>
      <c r="O1814" s="6" t="s">
        <v>2623</v>
      </c>
      <c r="P1814" s="27" t="s">
        <v>15824</v>
      </c>
      <c r="Q1814" s="6" t="s">
        <v>67</v>
      </c>
      <c r="R1814" s="6" t="s">
        <v>500</v>
      </c>
      <c r="S1814" s="28"/>
      <c r="T1814" s="6" t="s">
        <v>6138</v>
      </c>
      <c r="U1814" s="7" t="n">
        <v>1</v>
      </c>
      <c r="V1814" s="7" t="n">
        <v>1</v>
      </c>
      <c r="W1814" s="8" t="s">
        <v>4651</v>
      </c>
      <c r="X1814" s="8" t="s">
        <v>4651</v>
      </c>
      <c r="Y1814" s="8" t="s">
        <v>15825</v>
      </c>
      <c r="Z1814" s="8" t="s">
        <v>15825</v>
      </c>
      <c r="AA1814" s="7" t="n">
        <v>95</v>
      </c>
      <c r="AB1814" s="7" t="n">
        <v>80</v>
      </c>
      <c r="AC1814" s="7" t="n">
        <v>619</v>
      </c>
      <c r="AD1814" s="7" t="n">
        <v>1</v>
      </c>
      <c r="AE1814" s="7" t="n">
        <v>4</v>
      </c>
      <c r="AF1814" s="7" t="n">
        <v>1</v>
      </c>
      <c r="AG1814" s="7" t="n">
        <v>27</v>
      </c>
      <c r="AH1814" s="7" t="n">
        <v>0</v>
      </c>
      <c r="AI1814" s="7" t="n">
        <v>6</v>
      </c>
      <c r="AJ1814" s="7" t="n">
        <v>1</v>
      </c>
      <c r="AK1814" s="7" t="n">
        <v>8</v>
      </c>
      <c r="AL1814" s="7" t="n">
        <v>1</v>
      </c>
      <c r="AM1814" s="7" t="n">
        <v>17</v>
      </c>
      <c r="AN1814" s="7" t="n">
        <v>0</v>
      </c>
      <c r="AO1814" s="7" t="n">
        <v>3</v>
      </c>
      <c r="AP1814" s="7" t="n">
        <v>0</v>
      </c>
      <c r="AQ1814" s="7" t="n">
        <v>1</v>
      </c>
      <c r="AR1814" s="6" t="s">
        <v>63</v>
      </c>
      <c r="AS1814" s="6" t="s">
        <v>57</v>
      </c>
      <c r="AT1814" s="9" t="str">
        <f aca="false">HYPERLINK("http://catalog.hathitrust.org/Record/007051312","HathiTrust Record")</f>
        <v>HathiTrust Record</v>
      </c>
      <c r="AU1814" s="9" t="str">
        <f aca="false">HYPERLINK("https://creighton-primo.hosted.exlibrisgroup.com/primo-explore/search?tab=default_tab&amp;search_scope=EVERYTHING&amp;vid=01CRU&amp;lang=en_US&amp;offset=0&amp;query=any,contains,991005016289702656","Catalog Record")</f>
        <v>Catalog Record</v>
      </c>
      <c r="AV1814" s="9" t="str">
        <f aca="false">HYPERLINK("http://www.worldcat.org/oclc/6626518","WorldCat Record")</f>
        <v>WorldCat Record</v>
      </c>
      <c r="AW1814" s="6" t="s">
        <v>15826</v>
      </c>
      <c r="AX1814" s="6" t="s">
        <v>15827</v>
      </c>
      <c r="AY1814" s="6" t="s">
        <v>15828</v>
      </c>
      <c r="AZ1814" s="6" t="s">
        <v>15828</v>
      </c>
      <c r="BA1814" s="6" t="s">
        <v>15829</v>
      </c>
      <c r="BB1814" s="6" t="s">
        <v>15830</v>
      </c>
      <c r="BC1814" s="6" t="s">
        <v>15831</v>
      </c>
      <c r="BE1814" s="15" t="s">
        <v>2145</v>
      </c>
      <c r="BF1814" s="6" t="s">
        <v>15832</v>
      </c>
    </row>
    <row r="1815" customFormat="false" ht="105.5" hidden="false" customHeight="false" outlineLevel="0" collapsed="false">
      <c r="A1815" s="26" t="s">
        <v>63</v>
      </c>
      <c r="B1815" s="27" t="s">
        <v>2129</v>
      </c>
      <c r="C1815" s="27" t="s">
        <v>2130</v>
      </c>
      <c r="D1815" s="27" t="s">
        <v>15833</v>
      </c>
      <c r="E1815" s="27" t="s">
        <v>15834</v>
      </c>
      <c r="F1815" s="27" t="s">
        <v>15835</v>
      </c>
      <c r="G1815" s="28"/>
      <c r="H1815" s="6" t="s">
        <v>63</v>
      </c>
      <c r="I1815" s="6" t="s">
        <v>62</v>
      </c>
      <c r="J1815" s="6" t="s">
        <v>63</v>
      </c>
      <c r="K1815" s="6" t="s">
        <v>57</v>
      </c>
      <c r="L1815" s="6" t="s">
        <v>64</v>
      </c>
      <c r="M1815" s="27" t="s">
        <v>15836</v>
      </c>
      <c r="N1815" s="27" t="s">
        <v>9460</v>
      </c>
      <c r="O1815" s="6" t="s">
        <v>4833</v>
      </c>
      <c r="P1815" s="27" t="s">
        <v>4343</v>
      </c>
      <c r="Q1815" s="6" t="s">
        <v>67</v>
      </c>
      <c r="R1815" s="6" t="s">
        <v>68</v>
      </c>
      <c r="S1815" s="28"/>
      <c r="T1815" s="6" t="s">
        <v>6138</v>
      </c>
      <c r="U1815" s="7" t="n">
        <v>3</v>
      </c>
      <c r="V1815" s="7" t="n">
        <v>3</v>
      </c>
      <c r="W1815" s="8" t="s">
        <v>15837</v>
      </c>
      <c r="X1815" s="8" t="s">
        <v>15837</v>
      </c>
      <c r="Y1815" s="8" t="s">
        <v>6522</v>
      </c>
      <c r="Z1815" s="8" t="s">
        <v>6522</v>
      </c>
      <c r="AA1815" s="7" t="n">
        <v>681</v>
      </c>
      <c r="AB1815" s="7" t="n">
        <v>605</v>
      </c>
      <c r="AC1815" s="7" t="n">
        <v>1188</v>
      </c>
      <c r="AD1815" s="7" t="n">
        <v>7</v>
      </c>
      <c r="AE1815" s="7" t="n">
        <v>11</v>
      </c>
      <c r="AF1815" s="7" t="n">
        <v>22</v>
      </c>
      <c r="AG1815" s="7" t="n">
        <v>49</v>
      </c>
      <c r="AH1815" s="7" t="n">
        <v>7</v>
      </c>
      <c r="AI1815" s="7" t="n">
        <v>18</v>
      </c>
      <c r="AJ1815" s="7" t="n">
        <v>3</v>
      </c>
      <c r="AK1815" s="7" t="n">
        <v>10</v>
      </c>
      <c r="AL1815" s="7" t="n">
        <v>9</v>
      </c>
      <c r="AM1815" s="7" t="n">
        <v>25</v>
      </c>
      <c r="AN1815" s="7" t="n">
        <v>5</v>
      </c>
      <c r="AO1815" s="7" t="n">
        <v>8</v>
      </c>
      <c r="AP1815" s="7" t="n">
        <v>0</v>
      </c>
      <c r="AQ1815" s="7" t="n">
        <v>0</v>
      </c>
      <c r="AR1815" s="6" t="s">
        <v>63</v>
      </c>
      <c r="AS1815" s="6" t="s">
        <v>57</v>
      </c>
      <c r="AT1815" s="9" t="str">
        <f aca="false">HYPERLINK("http://catalog.hathitrust.org/Record/001395314","HathiTrust Record")</f>
        <v>HathiTrust Record</v>
      </c>
      <c r="AU1815" s="9" t="str">
        <f aca="false">HYPERLINK("https://creighton-primo.hosted.exlibrisgroup.com/primo-explore/search?tab=default_tab&amp;search_scope=EVERYTHING&amp;vid=01CRU&amp;lang=en_US&amp;offset=0&amp;query=any,contains,991001545549702656","Catalog Record")</f>
        <v>Catalog Record</v>
      </c>
      <c r="AV1815" s="9" t="str">
        <f aca="false">HYPERLINK("http://www.worldcat.org/oclc/232523","WorldCat Record")</f>
        <v>WorldCat Record</v>
      </c>
      <c r="AW1815" s="6" t="s">
        <v>15838</v>
      </c>
      <c r="AX1815" s="6" t="s">
        <v>15839</v>
      </c>
      <c r="AY1815" s="6" t="s">
        <v>15840</v>
      </c>
      <c r="AZ1815" s="6" t="s">
        <v>15840</v>
      </c>
      <c r="BA1815" s="6" t="s">
        <v>15841</v>
      </c>
      <c r="BB1815" s="28"/>
      <c r="BC1815" s="6" t="s">
        <v>15842</v>
      </c>
      <c r="BE1815" s="15" t="s">
        <v>2145</v>
      </c>
      <c r="BF1815" s="6" t="s">
        <v>15843</v>
      </c>
    </row>
    <row r="1816" customFormat="false" ht="71" hidden="false" customHeight="false" outlineLevel="0" collapsed="false">
      <c r="A1816" s="26" t="s">
        <v>63</v>
      </c>
      <c r="B1816" s="27" t="s">
        <v>2129</v>
      </c>
      <c r="C1816" s="27" t="s">
        <v>2130</v>
      </c>
      <c r="D1816" s="27" t="s">
        <v>15844</v>
      </c>
      <c r="E1816" s="27" t="s">
        <v>15845</v>
      </c>
      <c r="F1816" s="27" t="s">
        <v>15846</v>
      </c>
      <c r="G1816" s="28"/>
      <c r="H1816" s="6" t="s">
        <v>63</v>
      </c>
      <c r="I1816" s="6" t="s">
        <v>62</v>
      </c>
      <c r="J1816" s="6" t="s">
        <v>63</v>
      </c>
      <c r="K1816" s="6" t="s">
        <v>63</v>
      </c>
      <c r="L1816" s="6" t="s">
        <v>64</v>
      </c>
      <c r="M1816" s="27" t="s">
        <v>15847</v>
      </c>
      <c r="N1816" s="27" t="s">
        <v>15848</v>
      </c>
      <c r="O1816" s="6" t="s">
        <v>2975</v>
      </c>
      <c r="P1816" s="28"/>
      <c r="Q1816" s="6" t="s">
        <v>67</v>
      </c>
      <c r="R1816" s="6" t="s">
        <v>384</v>
      </c>
      <c r="S1816" s="28"/>
      <c r="T1816" s="6" t="s">
        <v>6138</v>
      </c>
      <c r="U1816" s="7" t="n">
        <v>4</v>
      </c>
      <c r="V1816" s="7" t="n">
        <v>4</v>
      </c>
      <c r="W1816" s="8" t="s">
        <v>15849</v>
      </c>
      <c r="X1816" s="8" t="s">
        <v>15849</v>
      </c>
      <c r="Y1816" s="8" t="s">
        <v>15850</v>
      </c>
      <c r="Z1816" s="8" t="s">
        <v>15850</v>
      </c>
      <c r="AA1816" s="7" t="n">
        <v>330</v>
      </c>
      <c r="AB1816" s="7" t="n">
        <v>199</v>
      </c>
      <c r="AC1816" s="7" t="n">
        <v>206</v>
      </c>
      <c r="AD1816" s="7" t="n">
        <v>2</v>
      </c>
      <c r="AE1816" s="7" t="n">
        <v>2</v>
      </c>
      <c r="AF1816" s="7" t="n">
        <v>13</v>
      </c>
      <c r="AG1816" s="7" t="n">
        <v>13</v>
      </c>
      <c r="AH1816" s="7" t="n">
        <v>3</v>
      </c>
      <c r="AI1816" s="7" t="n">
        <v>3</v>
      </c>
      <c r="AJ1816" s="7" t="n">
        <v>3</v>
      </c>
      <c r="AK1816" s="7" t="n">
        <v>3</v>
      </c>
      <c r="AL1816" s="7" t="n">
        <v>8</v>
      </c>
      <c r="AM1816" s="7" t="n">
        <v>8</v>
      </c>
      <c r="AN1816" s="7" t="n">
        <v>1</v>
      </c>
      <c r="AO1816" s="7" t="n">
        <v>1</v>
      </c>
      <c r="AP1816" s="7" t="n">
        <v>0</v>
      </c>
      <c r="AQ1816" s="7" t="n">
        <v>0</v>
      </c>
      <c r="AR1816" s="6" t="s">
        <v>63</v>
      </c>
      <c r="AS1816" s="6" t="s">
        <v>63</v>
      </c>
      <c r="AT1816" s="28"/>
      <c r="AU1816" s="9" t="str">
        <f aca="false">HYPERLINK("https://creighton-primo.hosted.exlibrisgroup.com/primo-explore/search?tab=default_tab&amp;search_scope=EVERYTHING&amp;vid=01CRU&amp;lang=en_US&amp;offset=0&amp;query=any,contains,991000029109702656","Catalog Record")</f>
        <v>Catalog Record</v>
      </c>
      <c r="AV1816" s="9" t="str">
        <f aca="false">HYPERLINK("http://www.worldcat.org/oclc/18914","WorldCat Record")</f>
        <v>WorldCat Record</v>
      </c>
      <c r="AW1816" s="6" t="s">
        <v>15851</v>
      </c>
      <c r="AX1816" s="6" t="s">
        <v>15852</v>
      </c>
      <c r="AY1816" s="6" t="s">
        <v>15853</v>
      </c>
      <c r="AZ1816" s="6" t="s">
        <v>15853</v>
      </c>
      <c r="BA1816" s="6" t="s">
        <v>15854</v>
      </c>
      <c r="BB1816" s="6" t="s">
        <v>15855</v>
      </c>
      <c r="BC1816" s="6" t="s">
        <v>15856</v>
      </c>
      <c r="BE1816" s="15" t="s">
        <v>2145</v>
      </c>
      <c r="BF1816" s="6" t="s">
        <v>15857</v>
      </c>
    </row>
    <row r="1817" customFormat="false" ht="71" hidden="false" customHeight="false" outlineLevel="0" collapsed="false">
      <c r="A1817" s="26" t="s">
        <v>63</v>
      </c>
      <c r="B1817" s="27" t="s">
        <v>2129</v>
      </c>
      <c r="C1817" s="27" t="s">
        <v>2130</v>
      </c>
      <c r="D1817" s="27" t="s">
        <v>15858</v>
      </c>
      <c r="E1817" s="27" t="s">
        <v>15859</v>
      </c>
      <c r="F1817" s="27" t="s">
        <v>15860</v>
      </c>
      <c r="G1817" s="28"/>
      <c r="H1817" s="6" t="s">
        <v>63</v>
      </c>
      <c r="I1817" s="6" t="s">
        <v>62</v>
      </c>
      <c r="J1817" s="6" t="s">
        <v>63</v>
      </c>
      <c r="K1817" s="6" t="s">
        <v>63</v>
      </c>
      <c r="L1817" s="6" t="s">
        <v>64</v>
      </c>
      <c r="M1817" s="27" t="s">
        <v>15861</v>
      </c>
      <c r="N1817" s="27" t="s">
        <v>15862</v>
      </c>
      <c r="O1817" s="6" t="s">
        <v>2343</v>
      </c>
      <c r="P1817" s="28"/>
      <c r="Q1817" s="6" t="s">
        <v>67</v>
      </c>
      <c r="R1817" s="6" t="s">
        <v>384</v>
      </c>
      <c r="S1817" s="28"/>
      <c r="T1817" s="6" t="s">
        <v>6138</v>
      </c>
      <c r="U1817" s="7" t="n">
        <v>2</v>
      </c>
      <c r="V1817" s="7" t="n">
        <v>2</v>
      </c>
      <c r="W1817" s="8" t="s">
        <v>13783</v>
      </c>
      <c r="X1817" s="8" t="s">
        <v>13783</v>
      </c>
      <c r="Y1817" s="8" t="s">
        <v>15850</v>
      </c>
      <c r="Z1817" s="8" t="s">
        <v>15850</v>
      </c>
      <c r="AA1817" s="7" t="n">
        <v>505</v>
      </c>
      <c r="AB1817" s="7" t="n">
        <v>355</v>
      </c>
      <c r="AC1817" s="7" t="n">
        <v>380</v>
      </c>
      <c r="AD1817" s="7" t="n">
        <v>3</v>
      </c>
      <c r="AE1817" s="7" t="n">
        <v>3</v>
      </c>
      <c r="AF1817" s="7" t="n">
        <v>24</v>
      </c>
      <c r="AG1817" s="7" t="n">
        <v>25</v>
      </c>
      <c r="AH1817" s="7" t="n">
        <v>11</v>
      </c>
      <c r="AI1817" s="7" t="n">
        <v>12</v>
      </c>
      <c r="AJ1817" s="7" t="n">
        <v>5</v>
      </c>
      <c r="AK1817" s="7" t="n">
        <v>5</v>
      </c>
      <c r="AL1817" s="7" t="n">
        <v>15</v>
      </c>
      <c r="AM1817" s="7" t="n">
        <v>16</v>
      </c>
      <c r="AN1817" s="7" t="n">
        <v>2</v>
      </c>
      <c r="AO1817" s="7" t="n">
        <v>2</v>
      </c>
      <c r="AP1817" s="7" t="n">
        <v>0</v>
      </c>
      <c r="AQ1817" s="7" t="n">
        <v>0</v>
      </c>
      <c r="AR1817" s="6" t="s">
        <v>63</v>
      </c>
      <c r="AS1817" s="6" t="s">
        <v>63</v>
      </c>
      <c r="AT1817" s="28"/>
      <c r="AU1817" s="9" t="str">
        <f aca="false">HYPERLINK("https://creighton-primo.hosted.exlibrisgroup.com/primo-explore/search?tab=default_tab&amp;search_scope=EVERYTHING&amp;vid=01CRU&amp;lang=en_US&amp;offset=0&amp;query=any,contains,991005132189702656","Catalog Record")</f>
        <v>Catalog Record</v>
      </c>
      <c r="AV1817" s="9" t="str">
        <f aca="false">HYPERLINK("http://www.worldcat.org/oclc/7573423","WorldCat Record")</f>
        <v>WorldCat Record</v>
      </c>
      <c r="AW1817" s="6" t="s">
        <v>15863</v>
      </c>
      <c r="AX1817" s="6" t="s">
        <v>15864</v>
      </c>
      <c r="AY1817" s="6" t="s">
        <v>15865</v>
      </c>
      <c r="AZ1817" s="6" t="s">
        <v>15865</v>
      </c>
      <c r="BA1817" s="6" t="s">
        <v>15866</v>
      </c>
      <c r="BB1817" s="6" t="s">
        <v>15867</v>
      </c>
      <c r="BC1817" s="6" t="s">
        <v>15868</v>
      </c>
      <c r="BE1817" s="15" t="s">
        <v>2145</v>
      </c>
      <c r="BF1817" s="6" t="s">
        <v>15869</v>
      </c>
    </row>
    <row r="1818" customFormat="false" ht="71" hidden="false" customHeight="false" outlineLevel="0" collapsed="false">
      <c r="A1818" s="26" t="s">
        <v>63</v>
      </c>
      <c r="B1818" s="27" t="s">
        <v>2129</v>
      </c>
      <c r="C1818" s="27" t="s">
        <v>2130</v>
      </c>
      <c r="D1818" s="27" t="s">
        <v>15870</v>
      </c>
      <c r="E1818" s="27" t="s">
        <v>15871</v>
      </c>
      <c r="F1818" s="27" t="s">
        <v>15872</v>
      </c>
      <c r="G1818" s="28"/>
      <c r="H1818" s="6" t="s">
        <v>63</v>
      </c>
      <c r="I1818" s="6" t="s">
        <v>62</v>
      </c>
      <c r="J1818" s="6" t="s">
        <v>63</v>
      </c>
      <c r="K1818" s="6" t="s">
        <v>63</v>
      </c>
      <c r="L1818" s="6" t="s">
        <v>64</v>
      </c>
      <c r="M1818" s="27" t="s">
        <v>15873</v>
      </c>
      <c r="N1818" s="27" t="s">
        <v>4891</v>
      </c>
      <c r="O1818" s="6" t="s">
        <v>2811</v>
      </c>
      <c r="P1818" s="28"/>
      <c r="Q1818" s="6" t="s">
        <v>67</v>
      </c>
      <c r="R1818" s="6" t="s">
        <v>68</v>
      </c>
      <c r="S1818" s="28"/>
      <c r="T1818" s="6" t="s">
        <v>6138</v>
      </c>
      <c r="U1818" s="7" t="n">
        <v>1</v>
      </c>
      <c r="V1818" s="7" t="n">
        <v>1</v>
      </c>
      <c r="W1818" s="8" t="s">
        <v>15874</v>
      </c>
      <c r="X1818" s="8" t="s">
        <v>15874</v>
      </c>
      <c r="Y1818" s="8" t="s">
        <v>15850</v>
      </c>
      <c r="Z1818" s="8" t="s">
        <v>15850</v>
      </c>
      <c r="AA1818" s="7" t="n">
        <v>331</v>
      </c>
      <c r="AB1818" s="7" t="n">
        <v>306</v>
      </c>
      <c r="AC1818" s="7" t="n">
        <v>461</v>
      </c>
      <c r="AD1818" s="7" t="n">
        <v>2</v>
      </c>
      <c r="AE1818" s="7" t="n">
        <v>3</v>
      </c>
      <c r="AF1818" s="7" t="n">
        <v>19</v>
      </c>
      <c r="AG1818" s="7" t="n">
        <v>23</v>
      </c>
      <c r="AH1818" s="7" t="n">
        <v>6</v>
      </c>
      <c r="AI1818" s="7" t="n">
        <v>6</v>
      </c>
      <c r="AJ1818" s="7" t="n">
        <v>4</v>
      </c>
      <c r="AK1818" s="7" t="n">
        <v>5</v>
      </c>
      <c r="AL1818" s="7" t="n">
        <v>15</v>
      </c>
      <c r="AM1818" s="7" t="n">
        <v>18</v>
      </c>
      <c r="AN1818" s="7" t="n">
        <v>0</v>
      </c>
      <c r="AO1818" s="7" t="n">
        <v>1</v>
      </c>
      <c r="AP1818" s="7" t="n">
        <v>0</v>
      </c>
      <c r="AQ1818" s="7" t="n">
        <v>0</v>
      </c>
      <c r="AR1818" s="6" t="s">
        <v>63</v>
      </c>
      <c r="AS1818" s="6" t="s">
        <v>63</v>
      </c>
      <c r="AT1818" s="28"/>
      <c r="AU1818" s="9" t="str">
        <f aca="false">HYPERLINK("https://creighton-primo.hosted.exlibrisgroup.com/primo-explore/search?tab=default_tab&amp;search_scope=EVERYTHING&amp;vid=01CRU&amp;lang=en_US&amp;offset=0&amp;query=any,contains,991002341569702656","Catalog Record")</f>
        <v>Catalog Record</v>
      </c>
      <c r="AV1818" s="9" t="str">
        <f aca="false">HYPERLINK("http://www.worldcat.org/oclc/323650","WorldCat Record")</f>
        <v>WorldCat Record</v>
      </c>
      <c r="AW1818" s="6" t="s">
        <v>15875</v>
      </c>
      <c r="AX1818" s="6" t="s">
        <v>15876</v>
      </c>
      <c r="AY1818" s="6" t="s">
        <v>15877</v>
      </c>
      <c r="AZ1818" s="6" t="s">
        <v>15877</v>
      </c>
      <c r="BA1818" s="6" t="s">
        <v>15878</v>
      </c>
      <c r="BB1818" s="6" t="s">
        <v>15879</v>
      </c>
      <c r="BC1818" s="6" t="s">
        <v>15880</v>
      </c>
      <c r="BE1818" s="15" t="s">
        <v>2145</v>
      </c>
      <c r="BF1818" s="6" t="s">
        <v>15881</v>
      </c>
    </row>
    <row r="1819" customFormat="false" ht="71" hidden="false" customHeight="false" outlineLevel="0" collapsed="false">
      <c r="A1819" s="26" t="s">
        <v>57</v>
      </c>
      <c r="B1819" s="27" t="s">
        <v>2129</v>
      </c>
      <c r="C1819" s="27" t="s">
        <v>2130</v>
      </c>
      <c r="D1819" s="27" t="s">
        <v>15882</v>
      </c>
      <c r="E1819" s="27" t="s">
        <v>15883</v>
      </c>
      <c r="F1819" s="27" t="s">
        <v>15884</v>
      </c>
      <c r="G1819" s="28"/>
      <c r="H1819" s="6" t="s">
        <v>63</v>
      </c>
      <c r="I1819" s="6" t="s">
        <v>62</v>
      </c>
      <c r="J1819" s="6" t="s">
        <v>57</v>
      </c>
      <c r="K1819" s="6" t="s">
        <v>63</v>
      </c>
      <c r="L1819" s="6" t="s">
        <v>64</v>
      </c>
      <c r="M1819" s="27" t="s">
        <v>15885</v>
      </c>
      <c r="N1819" s="27" t="s">
        <v>6364</v>
      </c>
      <c r="O1819" s="6" t="s">
        <v>2343</v>
      </c>
      <c r="P1819" s="28"/>
      <c r="Q1819" s="6" t="s">
        <v>67</v>
      </c>
      <c r="R1819" s="6" t="s">
        <v>222</v>
      </c>
      <c r="S1819" s="28"/>
      <c r="T1819" s="6" t="s">
        <v>6138</v>
      </c>
      <c r="U1819" s="7" t="n">
        <v>3</v>
      </c>
      <c r="V1819" s="7" t="n">
        <v>3</v>
      </c>
      <c r="W1819" s="8" t="s">
        <v>15886</v>
      </c>
      <c r="X1819" s="8" t="s">
        <v>15886</v>
      </c>
      <c r="Y1819" s="8" t="s">
        <v>15850</v>
      </c>
      <c r="Z1819" s="8" t="s">
        <v>2383</v>
      </c>
      <c r="AA1819" s="7" t="n">
        <v>1570</v>
      </c>
      <c r="AB1819" s="7" t="n">
        <v>1373</v>
      </c>
      <c r="AC1819" s="7" t="n">
        <v>1386</v>
      </c>
      <c r="AD1819" s="7" t="n">
        <v>10</v>
      </c>
      <c r="AE1819" s="7" t="n">
        <v>11</v>
      </c>
      <c r="AF1819" s="7" t="n">
        <v>58</v>
      </c>
      <c r="AG1819" s="7" t="n">
        <v>59</v>
      </c>
      <c r="AH1819" s="7" t="n">
        <v>22</v>
      </c>
      <c r="AI1819" s="7" t="n">
        <v>22</v>
      </c>
      <c r="AJ1819" s="7" t="n">
        <v>11</v>
      </c>
      <c r="AK1819" s="7" t="n">
        <v>11</v>
      </c>
      <c r="AL1819" s="7" t="n">
        <v>26</v>
      </c>
      <c r="AM1819" s="7" t="n">
        <v>26</v>
      </c>
      <c r="AN1819" s="7" t="n">
        <v>7</v>
      </c>
      <c r="AO1819" s="7" t="n">
        <v>8</v>
      </c>
      <c r="AP1819" s="7" t="n">
        <v>6</v>
      </c>
      <c r="AQ1819" s="7" t="n">
        <v>6</v>
      </c>
      <c r="AR1819" s="6" t="s">
        <v>63</v>
      </c>
      <c r="AS1819" s="6" t="s">
        <v>57</v>
      </c>
      <c r="AT1819" s="9" t="str">
        <f aca="false">HYPERLINK("http://catalog.hathitrust.org/Record/000100554","HathiTrust Record")</f>
        <v>HathiTrust Record</v>
      </c>
      <c r="AU1819" s="9" t="str">
        <f aca="false">HYPERLINK("https://creighton-primo.hosted.exlibrisgroup.com/primo-explore/search?tab=default_tab&amp;search_scope=EVERYTHING&amp;vid=01CRU&amp;lang=en_US&amp;offset=0&amp;query=any,contains,991001620149702656","Catalog Record")</f>
        <v>Catalog Record</v>
      </c>
      <c r="AV1819" s="9" t="str">
        <f aca="false">HYPERLINK("http://www.worldcat.org/oclc/7283862","WorldCat Record")</f>
        <v>WorldCat Record</v>
      </c>
      <c r="AW1819" s="6" t="s">
        <v>15887</v>
      </c>
      <c r="AX1819" s="6" t="s">
        <v>15888</v>
      </c>
      <c r="AY1819" s="6" t="s">
        <v>15889</v>
      </c>
      <c r="AZ1819" s="6" t="s">
        <v>15889</v>
      </c>
      <c r="BA1819" s="6" t="s">
        <v>15890</v>
      </c>
      <c r="BB1819" s="6" t="s">
        <v>15891</v>
      </c>
      <c r="BC1819" s="6" t="s">
        <v>15892</v>
      </c>
      <c r="BE1819" s="15" t="s">
        <v>2145</v>
      </c>
      <c r="BF1819" s="6" t="s">
        <v>15893</v>
      </c>
    </row>
    <row r="1820" customFormat="false" ht="71" hidden="false" customHeight="false" outlineLevel="0" collapsed="false">
      <c r="A1820" s="26" t="s">
        <v>63</v>
      </c>
      <c r="B1820" s="27" t="s">
        <v>2129</v>
      </c>
      <c r="C1820" s="27" t="s">
        <v>2130</v>
      </c>
      <c r="D1820" s="27" t="s">
        <v>15894</v>
      </c>
      <c r="E1820" s="27" t="s">
        <v>15895</v>
      </c>
      <c r="F1820" s="27" t="s">
        <v>15896</v>
      </c>
      <c r="G1820" s="28"/>
      <c r="H1820" s="6" t="s">
        <v>63</v>
      </c>
      <c r="I1820" s="6" t="s">
        <v>62</v>
      </c>
      <c r="J1820" s="6" t="s">
        <v>63</v>
      </c>
      <c r="K1820" s="6" t="s">
        <v>63</v>
      </c>
      <c r="L1820" s="6" t="s">
        <v>64</v>
      </c>
      <c r="M1820" s="27" t="s">
        <v>15897</v>
      </c>
      <c r="N1820" s="27" t="s">
        <v>15898</v>
      </c>
      <c r="O1820" s="6" t="s">
        <v>4833</v>
      </c>
      <c r="P1820" s="28"/>
      <c r="Q1820" s="6" t="s">
        <v>67</v>
      </c>
      <c r="R1820" s="6" t="s">
        <v>123</v>
      </c>
      <c r="S1820" s="28"/>
      <c r="T1820" s="6" t="s">
        <v>6138</v>
      </c>
      <c r="U1820" s="7" t="n">
        <v>4</v>
      </c>
      <c r="V1820" s="7" t="n">
        <v>4</v>
      </c>
      <c r="W1820" s="8" t="s">
        <v>13783</v>
      </c>
      <c r="X1820" s="8" t="s">
        <v>13783</v>
      </c>
      <c r="Y1820" s="8" t="s">
        <v>6522</v>
      </c>
      <c r="Z1820" s="8" t="s">
        <v>6522</v>
      </c>
      <c r="AA1820" s="7" t="n">
        <v>196</v>
      </c>
      <c r="AB1820" s="7" t="n">
        <v>153</v>
      </c>
      <c r="AC1820" s="7" t="n">
        <v>397</v>
      </c>
      <c r="AD1820" s="7" t="n">
        <v>2</v>
      </c>
      <c r="AE1820" s="7" t="n">
        <v>3</v>
      </c>
      <c r="AF1820" s="7" t="n">
        <v>4</v>
      </c>
      <c r="AG1820" s="7" t="n">
        <v>18</v>
      </c>
      <c r="AH1820" s="7" t="n">
        <v>1</v>
      </c>
      <c r="AI1820" s="7" t="n">
        <v>7</v>
      </c>
      <c r="AJ1820" s="7" t="n">
        <v>0</v>
      </c>
      <c r="AK1820" s="7" t="n">
        <v>5</v>
      </c>
      <c r="AL1820" s="7" t="n">
        <v>3</v>
      </c>
      <c r="AM1820" s="7" t="n">
        <v>10</v>
      </c>
      <c r="AN1820" s="7" t="n">
        <v>1</v>
      </c>
      <c r="AO1820" s="7" t="n">
        <v>2</v>
      </c>
      <c r="AP1820" s="7" t="n">
        <v>0</v>
      </c>
      <c r="AQ1820" s="7" t="n">
        <v>0</v>
      </c>
      <c r="AR1820" s="6" t="s">
        <v>63</v>
      </c>
      <c r="AS1820" s="6" t="s">
        <v>57</v>
      </c>
      <c r="AT1820" s="9" t="str">
        <f aca="false">HYPERLINK("http://catalog.hathitrust.org/Record/001379367","HathiTrust Record")</f>
        <v>HathiTrust Record</v>
      </c>
      <c r="AU1820" s="9" t="str">
        <f aca="false">HYPERLINK("https://creighton-primo.hosted.exlibrisgroup.com/primo-explore/search?tab=default_tab&amp;search_scope=EVERYTHING&amp;vid=01CRU&amp;lang=en_US&amp;offset=0&amp;query=any,contains,991003706669702656","Catalog Record")</f>
        <v>Catalog Record</v>
      </c>
      <c r="AV1820" s="9" t="str">
        <f aca="false">HYPERLINK("http://www.worldcat.org/oclc/1344668","WorldCat Record")</f>
        <v>WorldCat Record</v>
      </c>
      <c r="AW1820" s="6" t="s">
        <v>15899</v>
      </c>
      <c r="AX1820" s="6" t="s">
        <v>15900</v>
      </c>
      <c r="AY1820" s="6" t="s">
        <v>15901</v>
      </c>
      <c r="AZ1820" s="6" t="s">
        <v>15901</v>
      </c>
      <c r="BA1820" s="6" t="s">
        <v>15902</v>
      </c>
      <c r="BB1820" s="28"/>
      <c r="BC1820" s="6" t="s">
        <v>15903</v>
      </c>
      <c r="BE1820" s="15" t="s">
        <v>2145</v>
      </c>
      <c r="BF1820" s="6" t="s">
        <v>15904</v>
      </c>
    </row>
    <row r="1821" customFormat="false" ht="140" hidden="false" customHeight="false" outlineLevel="0" collapsed="false">
      <c r="A1821" s="26" t="s">
        <v>57</v>
      </c>
      <c r="B1821" s="27" t="s">
        <v>2129</v>
      </c>
      <c r="C1821" s="27" t="s">
        <v>2130</v>
      </c>
      <c r="D1821" s="27" t="s">
        <v>15905</v>
      </c>
      <c r="E1821" s="27" t="s">
        <v>15906</v>
      </c>
      <c r="F1821" s="27" t="s">
        <v>15907</v>
      </c>
      <c r="G1821" s="28"/>
      <c r="H1821" s="6" t="s">
        <v>63</v>
      </c>
      <c r="I1821" s="6" t="s">
        <v>62</v>
      </c>
      <c r="J1821" s="6" t="s">
        <v>63</v>
      </c>
      <c r="K1821" s="6" t="s">
        <v>63</v>
      </c>
      <c r="L1821" s="6" t="s">
        <v>64</v>
      </c>
      <c r="M1821" s="27" t="s">
        <v>15908</v>
      </c>
      <c r="N1821" s="27" t="s">
        <v>15909</v>
      </c>
      <c r="O1821" s="6" t="s">
        <v>208</v>
      </c>
      <c r="P1821" s="28"/>
      <c r="Q1821" s="6" t="s">
        <v>67</v>
      </c>
      <c r="R1821" s="6" t="s">
        <v>384</v>
      </c>
      <c r="S1821" s="28"/>
      <c r="T1821" s="6" t="s">
        <v>6138</v>
      </c>
      <c r="U1821" s="7" t="n">
        <v>3</v>
      </c>
      <c r="V1821" s="7" t="n">
        <v>3</v>
      </c>
      <c r="W1821" s="8" t="s">
        <v>9139</v>
      </c>
      <c r="X1821" s="8" t="s">
        <v>9139</v>
      </c>
      <c r="Y1821" s="8" t="s">
        <v>15724</v>
      </c>
      <c r="Z1821" s="8" t="s">
        <v>15724</v>
      </c>
      <c r="AA1821" s="7" t="n">
        <v>378</v>
      </c>
      <c r="AB1821" s="7" t="n">
        <v>278</v>
      </c>
      <c r="AC1821" s="7" t="n">
        <v>505</v>
      </c>
      <c r="AD1821" s="7" t="n">
        <v>4</v>
      </c>
      <c r="AE1821" s="7" t="n">
        <v>4</v>
      </c>
      <c r="AF1821" s="7" t="n">
        <v>14</v>
      </c>
      <c r="AG1821" s="7" t="n">
        <v>24</v>
      </c>
      <c r="AH1821" s="7" t="n">
        <v>1</v>
      </c>
      <c r="AI1821" s="7" t="n">
        <v>6</v>
      </c>
      <c r="AJ1821" s="7" t="n">
        <v>4</v>
      </c>
      <c r="AK1821" s="7" t="n">
        <v>4</v>
      </c>
      <c r="AL1821" s="7" t="n">
        <v>8</v>
      </c>
      <c r="AM1821" s="7" t="n">
        <v>14</v>
      </c>
      <c r="AN1821" s="7" t="n">
        <v>3</v>
      </c>
      <c r="AO1821" s="7" t="n">
        <v>3</v>
      </c>
      <c r="AP1821" s="7" t="n">
        <v>0</v>
      </c>
      <c r="AQ1821" s="7" t="n">
        <v>0</v>
      </c>
      <c r="AR1821" s="6" t="s">
        <v>63</v>
      </c>
      <c r="AS1821" s="6" t="s">
        <v>63</v>
      </c>
      <c r="AT1821" s="28"/>
      <c r="AU1821" s="9" t="str">
        <f aca="false">HYPERLINK("https://creighton-primo.hosted.exlibrisgroup.com/primo-explore/search?tab=default_tab&amp;search_scope=EVERYTHING&amp;vid=01CRU&amp;lang=en_US&amp;offset=0&amp;query=any,contains,991001011339702656","Catalog Record")</f>
        <v>Catalog Record</v>
      </c>
      <c r="AV1821" s="9" t="str">
        <f aca="false">HYPERLINK("http://www.worldcat.org/oclc/15283918","WorldCat Record")</f>
        <v>WorldCat Record</v>
      </c>
      <c r="AW1821" s="6" t="s">
        <v>15910</v>
      </c>
      <c r="AX1821" s="6" t="s">
        <v>15911</v>
      </c>
      <c r="AY1821" s="6" t="s">
        <v>15912</v>
      </c>
      <c r="AZ1821" s="6" t="s">
        <v>15912</v>
      </c>
      <c r="BA1821" s="6" t="s">
        <v>15913</v>
      </c>
      <c r="BB1821" s="6" t="s">
        <v>15914</v>
      </c>
      <c r="BC1821" s="6" t="s">
        <v>15915</v>
      </c>
      <c r="BE1821" s="15" t="s">
        <v>2145</v>
      </c>
      <c r="BF1821" s="6" t="s">
        <v>15916</v>
      </c>
    </row>
    <row r="1822" customFormat="false" ht="151.5" hidden="false" customHeight="false" outlineLevel="0" collapsed="false">
      <c r="A1822" s="26" t="s">
        <v>63</v>
      </c>
      <c r="B1822" s="27" t="s">
        <v>2129</v>
      </c>
      <c r="C1822" s="27" t="s">
        <v>2130</v>
      </c>
      <c r="D1822" s="27" t="s">
        <v>15917</v>
      </c>
      <c r="E1822" s="27" t="s">
        <v>15918</v>
      </c>
      <c r="F1822" s="27" t="s">
        <v>15919</v>
      </c>
      <c r="G1822" s="28"/>
      <c r="H1822" s="6" t="s">
        <v>63</v>
      </c>
      <c r="I1822" s="6" t="s">
        <v>62</v>
      </c>
      <c r="J1822" s="6" t="s">
        <v>63</v>
      </c>
      <c r="K1822" s="6" t="s">
        <v>63</v>
      </c>
      <c r="L1822" s="6" t="s">
        <v>64</v>
      </c>
      <c r="M1822" s="27" t="s">
        <v>15920</v>
      </c>
      <c r="N1822" s="27" t="s">
        <v>15921</v>
      </c>
      <c r="O1822" s="6" t="s">
        <v>2411</v>
      </c>
      <c r="P1822" s="28"/>
      <c r="Q1822" s="6" t="s">
        <v>67</v>
      </c>
      <c r="R1822" s="6" t="s">
        <v>384</v>
      </c>
      <c r="S1822" s="28"/>
      <c r="T1822" s="6" t="s">
        <v>6138</v>
      </c>
      <c r="U1822" s="7" t="n">
        <v>1</v>
      </c>
      <c r="V1822" s="7" t="n">
        <v>1</v>
      </c>
      <c r="W1822" s="8" t="s">
        <v>15922</v>
      </c>
      <c r="X1822" s="8" t="s">
        <v>15922</v>
      </c>
      <c r="Y1822" s="8" t="s">
        <v>9204</v>
      </c>
      <c r="Z1822" s="8" t="s">
        <v>9204</v>
      </c>
      <c r="AA1822" s="7" t="n">
        <v>135</v>
      </c>
      <c r="AB1822" s="7" t="n">
        <v>51</v>
      </c>
      <c r="AC1822" s="7" t="n">
        <v>311</v>
      </c>
      <c r="AD1822" s="7" t="n">
        <v>2</v>
      </c>
      <c r="AE1822" s="7" t="n">
        <v>3</v>
      </c>
      <c r="AF1822" s="7" t="n">
        <v>2</v>
      </c>
      <c r="AG1822" s="7" t="n">
        <v>25</v>
      </c>
      <c r="AH1822" s="7" t="n">
        <v>0</v>
      </c>
      <c r="AI1822" s="7" t="n">
        <v>7</v>
      </c>
      <c r="AJ1822" s="7" t="n">
        <v>0</v>
      </c>
      <c r="AK1822" s="7" t="n">
        <v>7</v>
      </c>
      <c r="AL1822" s="7" t="n">
        <v>1</v>
      </c>
      <c r="AM1822" s="7" t="n">
        <v>15</v>
      </c>
      <c r="AN1822" s="7" t="n">
        <v>1</v>
      </c>
      <c r="AO1822" s="7" t="n">
        <v>2</v>
      </c>
      <c r="AP1822" s="7" t="n">
        <v>0</v>
      </c>
      <c r="AQ1822" s="7" t="n">
        <v>0</v>
      </c>
      <c r="AR1822" s="6" t="s">
        <v>63</v>
      </c>
      <c r="AS1822" s="6" t="s">
        <v>57</v>
      </c>
      <c r="AT1822" s="9" t="str">
        <f aca="false">HYPERLINK("http://catalog.hathitrust.org/Record/001834484","HathiTrust Record")</f>
        <v>HathiTrust Record</v>
      </c>
      <c r="AU1822" s="9" t="str">
        <f aca="false">HYPERLINK("https://creighton-primo.hosted.exlibrisgroup.com/primo-explore/search?tab=default_tab&amp;search_scope=EVERYTHING&amp;vid=01CRU&amp;lang=en_US&amp;offset=0&amp;query=any,contains,991001376869702656","Catalog Record")</f>
        <v>Catalog Record</v>
      </c>
      <c r="AV1822" s="9" t="str">
        <f aca="false">HYPERLINK("http://www.worldcat.org/oclc/18624986","WorldCat Record")</f>
        <v>WorldCat Record</v>
      </c>
      <c r="AW1822" s="6" t="s">
        <v>15923</v>
      </c>
      <c r="AX1822" s="6" t="s">
        <v>15924</v>
      </c>
      <c r="AY1822" s="6" t="s">
        <v>15925</v>
      </c>
      <c r="AZ1822" s="6" t="s">
        <v>15925</v>
      </c>
      <c r="BA1822" s="6" t="s">
        <v>15926</v>
      </c>
      <c r="BB1822" s="6" t="s">
        <v>15927</v>
      </c>
      <c r="BC1822" s="6" t="s">
        <v>15928</v>
      </c>
      <c r="BE1822" s="15" t="s">
        <v>2145</v>
      </c>
      <c r="BF1822" s="6" t="s">
        <v>15929</v>
      </c>
    </row>
    <row r="1823" customFormat="false" ht="71" hidden="false" customHeight="false" outlineLevel="0" collapsed="false">
      <c r="A1823" s="26" t="s">
        <v>63</v>
      </c>
      <c r="B1823" s="27" t="s">
        <v>2129</v>
      </c>
      <c r="C1823" s="27" t="s">
        <v>2130</v>
      </c>
      <c r="D1823" s="27" t="s">
        <v>15930</v>
      </c>
      <c r="E1823" s="27" t="s">
        <v>15931</v>
      </c>
      <c r="F1823" s="27" t="s">
        <v>15932</v>
      </c>
      <c r="G1823" s="28"/>
      <c r="H1823" s="6" t="s">
        <v>63</v>
      </c>
      <c r="I1823" s="6" t="s">
        <v>62</v>
      </c>
      <c r="J1823" s="6" t="s">
        <v>63</v>
      </c>
      <c r="K1823" s="6" t="s">
        <v>57</v>
      </c>
      <c r="L1823" s="6" t="s">
        <v>64</v>
      </c>
      <c r="M1823" s="27" t="s">
        <v>9065</v>
      </c>
      <c r="N1823" s="27" t="s">
        <v>15933</v>
      </c>
      <c r="O1823" s="6" t="s">
        <v>3094</v>
      </c>
      <c r="P1823" s="28"/>
      <c r="Q1823" s="6" t="s">
        <v>67</v>
      </c>
      <c r="R1823" s="6" t="s">
        <v>123</v>
      </c>
      <c r="S1823" s="28"/>
      <c r="T1823" s="6" t="s">
        <v>6138</v>
      </c>
      <c r="U1823" s="7" t="n">
        <v>7</v>
      </c>
      <c r="V1823" s="7" t="n">
        <v>7</v>
      </c>
      <c r="W1823" s="8" t="s">
        <v>15934</v>
      </c>
      <c r="X1823" s="8" t="s">
        <v>15934</v>
      </c>
      <c r="Y1823" s="8" t="s">
        <v>15850</v>
      </c>
      <c r="Z1823" s="8" t="s">
        <v>15850</v>
      </c>
      <c r="AA1823" s="7" t="n">
        <v>182</v>
      </c>
      <c r="AB1823" s="7" t="n">
        <v>94</v>
      </c>
      <c r="AC1823" s="7" t="n">
        <v>806</v>
      </c>
      <c r="AD1823" s="7" t="n">
        <v>2</v>
      </c>
      <c r="AE1823" s="7" t="n">
        <v>9</v>
      </c>
      <c r="AF1823" s="7" t="n">
        <v>5</v>
      </c>
      <c r="AG1823" s="7" t="n">
        <v>43</v>
      </c>
      <c r="AH1823" s="7" t="n">
        <v>3</v>
      </c>
      <c r="AI1823" s="7" t="n">
        <v>18</v>
      </c>
      <c r="AJ1823" s="7" t="n">
        <v>0</v>
      </c>
      <c r="AK1823" s="7" t="n">
        <v>8</v>
      </c>
      <c r="AL1823" s="7" t="n">
        <v>3</v>
      </c>
      <c r="AM1823" s="7" t="n">
        <v>19</v>
      </c>
      <c r="AN1823" s="7" t="n">
        <v>1</v>
      </c>
      <c r="AO1823" s="7" t="n">
        <v>7</v>
      </c>
      <c r="AP1823" s="7" t="n">
        <v>0</v>
      </c>
      <c r="AQ1823" s="7" t="n">
        <v>0</v>
      </c>
      <c r="AR1823" s="6" t="s">
        <v>63</v>
      </c>
      <c r="AS1823" s="6" t="s">
        <v>63</v>
      </c>
      <c r="AT1823" s="28"/>
      <c r="AU1823" s="9" t="str">
        <f aca="false">HYPERLINK("https://creighton-primo.hosted.exlibrisgroup.com/primo-explore/search?tab=default_tab&amp;search_scope=EVERYTHING&amp;vid=01CRU&amp;lang=en_US&amp;offset=0&amp;query=any,contains,991002434789702656","Catalog Record")</f>
        <v>Catalog Record</v>
      </c>
      <c r="AV1823" s="9" t="str">
        <f aca="false">HYPERLINK("http://www.worldcat.org/oclc/348519","WorldCat Record")</f>
        <v>WorldCat Record</v>
      </c>
      <c r="AW1823" s="6" t="s">
        <v>15935</v>
      </c>
      <c r="AX1823" s="6" t="s">
        <v>15936</v>
      </c>
      <c r="AY1823" s="6" t="s">
        <v>15937</v>
      </c>
      <c r="AZ1823" s="6" t="s">
        <v>15937</v>
      </c>
      <c r="BA1823" s="6" t="s">
        <v>15938</v>
      </c>
      <c r="BB1823" s="28"/>
      <c r="BC1823" s="6" t="s">
        <v>15939</v>
      </c>
      <c r="BE1823" s="15" t="s">
        <v>2145</v>
      </c>
      <c r="BF1823" s="6" t="s">
        <v>15940</v>
      </c>
    </row>
    <row r="1824" customFormat="false" ht="82.5" hidden="false" customHeight="false" outlineLevel="0" collapsed="false">
      <c r="A1824" s="26" t="s">
        <v>57</v>
      </c>
      <c r="B1824" s="27" t="s">
        <v>2129</v>
      </c>
      <c r="C1824" s="27" t="s">
        <v>2130</v>
      </c>
      <c r="D1824" s="27" t="s">
        <v>15941</v>
      </c>
      <c r="E1824" s="27" t="s">
        <v>15942</v>
      </c>
      <c r="F1824" s="27" t="s">
        <v>15943</v>
      </c>
      <c r="G1824" s="28"/>
      <c r="H1824" s="6" t="s">
        <v>63</v>
      </c>
      <c r="I1824" s="6" t="s">
        <v>62</v>
      </c>
      <c r="J1824" s="6" t="s">
        <v>63</v>
      </c>
      <c r="K1824" s="6" t="s">
        <v>63</v>
      </c>
      <c r="L1824" s="6" t="s">
        <v>64</v>
      </c>
      <c r="M1824" s="28"/>
      <c r="N1824" s="27" t="s">
        <v>15944</v>
      </c>
      <c r="O1824" s="6" t="s">
        <v>15945</v>
      </c>
      <c r="P1824" s="28"/>
      <c r="Q1824" s="6" t="s">
        <v>67</v>
      </c>
      <c r="R1824" s="6" t="s">
        <v>384</v>
      </c>
      <c r="S1824" s="27" t="s">
        <v>15946</v>
      </c>
      <c r="T1824" s="6" t="s">
        <v>6138</v>
      </c>
      <c r="U1824" s="7" t="n">
        <v>0</v>
      </c>
      <c r="V1824" s="7" t="n">
        <v>0</v>
      </c>
      <c r="W1824" s="8" t="s">
        <v>15947</v>
      </c>
      <c r="X1824" s="8" t="s">
        <v>15947</v>
      </c>
      <c r="Y1824" s="8" t="s">
        <v>15948</v>
      </c>
      <c r="Z1824" s="8" t="s">
        <v>15948</v>
      </c>
      <c r="AA1824" s="7" t="n">
        <v>677</v>
      </c>
      <c r="AB1824" s="7" t="n">
        <v>503</v>
      </c>
      <c r="AC1824" s="7" t="n">
        <v>1088</v>
      </c>
      <c r="AD1824" s="7" t="n">
        <v>3</v>
      </c>
      <c r="AE1824" s="7" t="n">
        <v>5</v>
      </c>
      <c r="AF1824" s="7" t="n">
        <v>30</v>
      </c>
      <c r="AG1824" s="7" t="n">
        <v>35</v>
      </c>
      <c r="AH1824" s="7" t="n">
        <v>12</v>
      </c>
      <c r="AI1824" s="7" t="n">
        <v>15</v>
      </c>
      <c r="AJ1824" s="7" t="n">
        <v>7</v>
      </c>
      <c r="AK1824" s="7" t="n">
        <v>7</v>
      </c>
      <c r="AL1824" s="7" t="n">
        <v>17</v>
      </c>
      <c r="AM1824" s="7" t="n">
        <v>18</v>
      </c>
      <c r="AN1824" s="7" t="n">
        <v>2</v>
      </c>
      <c r="AO1824" s="7" t="n">
        <v>3</v>
      </c>
      <c r="AP1824" s="7" t="n">
        <v>1</v>
      </c>
      <c r="AQ1824" s="7" t="n">
        <v>1</v>
      </c>
      <c r="AR1824" s="6" t="s">
        <v>63</v>
      </c>
      <c r="AS1824" s="6" t="s">
        <v>63</v>
      </c>
      <c r="AT1824" s="28"/>
      <c r="AU1824" s="9" t="str">
        <f aca="false">HYPERLINK("https://creighton-primo.hosted.exlibrisgroup.com/primo-explore/search?tab=default_tab&amp;search_scope=EVERYTHING&amp;vid=01CRU&amp;lang=en_US&amp;offset=0&amp;query=any,contains,991004580659702656","Catalog Record")</f>
        <v>Catalog Record</v>
      </c>
      <c r="AV1824" s="9" t="str">
        <f aca="false">HYPERLINK("http://www.worldcat.org/oclc/39897330","WorldCat Record")</f>
        <v>WorldCat Record</v>
      </c>
      <c r="AW1824" s="6" t="s">
        <v>15949</v>
      </c>
      <c r="AX1824" s="6" t="s">
        <v>15950</v>
      </c>
      <c r="AY1824" s="6" t="s">
        <v>15951</v>
      </c>
      <c r="AZ1824" s="6" t="s">
        <v>15951</v>
      </c>
      <c r="BA1824" s="6" t="s">
        <v>15952</v>
      </c>
      <c r="BB1824" s="6" t="s">
        <v>15953</v>
      </c>
      <c r="BC1824" s="6" t="s">
        <v>15954</v>
      </c>
      <c r="BE1824" s="15" t="s">
        <v>2145</v>
      </c>
      <c r="BF1824" s="6" t="s">
        <v>15955</v>
      </c>
    </row>
    <row r="1825" customFormat="false" ht="151.5" hidden="false" customHeight="false" outlineLevel="0" collapsed="false">
      <c r="A1825" s="26" t="s">
        <v>63</v>
      </c>
      <c r="B1825" s="27" t="s">
        <v>2129</v>
      </c>
      <c r="C1825" s="27" t="s">
        <v>2130</v>
      </c>
      <c r="D1825" s="27" t="s">
        <v>15956</v>
      </c>
      <c r="E1825" s="27" t="s">
        <v>15957</v>
      </c>
      <c r="F1825" s="27" t="s">
        <v>15958</v>
      </c>
      <c r="G1825" s="28"/>
      <c r="H1825" s="6" t="s">
        <v>63</v>
      </c>
      <c r="I1825" s="6" t="s">
        <v>62</v>
      </c>
      <c r="J1825" s="6" t="s">
        <v>63</v>
      </c>
      <c r="K1825" s="6" t="s">
        <v>63</v>
      </c>
      <c r="L1825" s="6" t="s">
        <v>64</v>
      </c>
      <c r="M1825" s="27" t="s">
        <v>15959</v>
      </c>
      <c r="N1825" s="27" t="s">
        <v>15960</v>
      </c>
      <c r="O1825" s="6" t="s">
        <v>180</v>
      </c>
      <c r="P1825" s="28"/>
      <c r="Q1825" s="6" t="s">
        <v>67</v>
      </c>
      <c r="R1825" s="6" t="s">
        <v>123</v>
      </c>
      <c r="S1825" s="28"/>
      <c r="T1825" s="6" t="s">
        <v>6138</v>
      </c>
      <c r="U1825" s="7" t="n">
        <v>4</v>
      </c>
      <c r="V1825" s="7" t="n">
        <v>4</v>
      </c>
      <c r="W1825" s="8" t="s">
        <v>15961</v>
      </c>
      <c r="X1825" s="8" t="s">
        <v>15961</v>
      </c>
      <c r="Y1825" s="8" t="s">
        <v>15447</v>
      </c>
      <c r="Z1825" s="8" t="s">
        <v>15447</v>
      </c>
      <c r="AA1825" s="7" t="n">
        <v>316</v>
      </c>
      <c r="AB1825" s="7" t="n">
        <v>232</v>
      </c>
      <c r="AC1825" s="7" t="n">
        <v>708</v>
      </c>
      <c r="AD1825" s="7" t="n">
        <v>2</v>
      </c>
      <c r="AE1825" s="7" t="n">
        <v>4</v>
      </c>
      <c r="AF1825" s="7" t="n">
        <v>17</v>
      </c>
      <c r="AG1825" s="7" t="n">
        <v>45</v>
      </c>
      <c r="AH1825" s="7" t="n">
        <v>3</v>
      </c>
      <c r="AI1825" s="7" t="n">
        <v>19</v>
      </c>
      <c r="AJ1825" s="7" t="n">
        <v>6</v>
      </c>
      <c r="AK1825" s="7" t="n">
        <v>11</v>
      </c>
      <c r="AL1825" s="7" t="n">
        <v>13</v>
      </c>
      <c r="AM1825" s="7" t="n">
        <v>25</v>
      </c>
      <c r="AN1825" s="7" t="n">
        <v>1</v>
      </c>
      <c r="AO1825" s="7" t="n">
        <v>3</v>
      </c>
      <c r="AP1825" s="7" t="n">
        <v>0</v>
      </c>
      <c r="AQ1825" s="7" t="n">
        <v>0</v>
      </c>
      <c r="AR1825" s="6" t="s">
        <v>63</v>
      </c>
      <c r="AS1825" s="6" t="s">
        <v>63</v>
      </c>
      <c r="AT1825" s="28"/>
      <c r="AU1825" s="9" t="str">
        <f aca="false">HYPERLINK("https://creighton-primo.hosted.exlibrisgroup.com/primo-explore/search?tab=default_tab&amp;search_scope=EVERYTHING&amp;vid=01CRU&amp;lang=en_US&amp;offset=0&amp;query=any,contains,991003845629702656","Catalog Record")</f>
        <v>Catalog Record</v>
      </c>
      <c r="AV1825" s="9" t="str">
        <f aca="false">HYPERLINK("http://www.worldcat.org/oclc/1629608","WorldCat Record")</f>
        <v>WorldCat Record</v>
      </c>
      <c r="AW1825" s="6" t="s">
        <v>15962</v>
      </c>
      <c r="AX1825" s="6" t="s">
        <v>15963</v>
      </c>
      <c r="AY1825" s="6" t="s">
        <v>15964</v>
      </c>
      <c r="AZ1825" s="6" t="s">
        <v>15964</v>
      </c>
      <c r="BA1825" s="6" t="s">
        <v>15965</v>
      </c>
      <c r="BB1825" s="28"/>
      <c r="BC1825" s="6" t="s">
        <v>15966</v>
      </c>
      <c r="BE1825" s="15" t="s">
        <v>2145</v>
      </c>
      <c r="BF1825" s="6" t="s">
        <v>15967</v>
      </c>
    </row>
    <row r="1826" customFormat="false" ht="220.5" hidden="false" customHeight="false" outlineLevel="0" collapsed="false">
      <c r="A1826" s="26" t="s">
        <v>63</v>
      </c>
      <c r="B1826" s="27" t="s">
        <v>2129</v>
      </c>
      <c r="C1826" s="27" t="s">
        <v>2130</v>
      </c>
      <c r="D1826" s="27" t="s">
        <v>15968</v>
      </c>
      <c r="E1826" s="27" t="s">
        <v>15969</v>
      </c>
      <c r="F1826" s="27" t="s">
        <v>15970</v>
      </c>
      <c r="G1826" s="28"/>
      <c r="H1826" s="6" t="s">
        <v>63</v>
      </c>
      <c r="I1826" s="6" t="s">
        <v>62</v>
      </c>
      <c r="J1826" s="6" t="s">
        <v>63</v>
      </c>
      <c r="K1826" s="6" t="s">
        <v>63</v>
      </c>
      <c r="L1826" s="6" t="s">
        <v>64</v>
      </c>
      <c r="M1826" s="27" t="s">
        <v>5360</v>
      </c>
      <c r="N1826" s="27" t="s">
        <v>15971</v>
      </c>
      <c r="O1826" s="6" t="s">
        <v>2467</v>
      </c>
      <c r="P1826" s="28"/>
      <c r="Q1826" s="6" t="s">
        <v>67</v>
      </c>
      <c r="R1826" s="6" t="s">
        <v>1108</v>
      </c>
      <c r="S1826" s="28"/>
      <c r="T1826" s="6" t="s">
        <v>6138</v>
      </c>
      <c r="U1826" s="7" t="n">
        <v>5</v>
      </c>
      <c r="V1826" s="7" t="n">
        <v>5</v>
      </c>
      <c r="W1826" s="8" t="s">
        <v>15972</v>
      </c>
      <c r="X1826" s="8" t="s">
        <v>15972</v>
      </c>
      <c r="Y1826" s="8" t="s">
        <v>15447</v>
      </c>
      <c r="Z1826" s="8" t="s">
        <v>15447</v>
      </c>
      <c r="AA1826" s="7" t="n">
        <v>541</v>
      </c>
      <c r="AB1826" s="7" t="n">
        <v>453</v>
      </c>
      <c r="AC1826" s="7" t="n">
        <v>640</v>
      </c>
      <c r="AD1826" s="7" t="n">
        <v>2</v>
      </c>
      <c r="AE1826" s="7" t="n">
        <v>2</v>
      </c>
      <c r="AF1826" s="7" t="n">
        <v>26</v>
      </c>
      <c r="AG1826" s="7" t="n">
        <v>32</v>
      </c>
      <c r="AH1826" s="7" t="n">
        <v>10</v>
      </c>
      <c r="AI1826" s="7" t="n">
        <v>14</v>
      </c>
      <c r="AJ1826" s="7" t="n">
        <v>8</v>
      </c>
      <c r="AK1826" s="7" t="n">
        <v>10</v>
      </c>
      <c r="AL1826" s="7" t="n">
        <v>18</v>
      </c>
      <c r="AM1826" s="7" t="n">
        <v>20</v>
      </c>
      <c r="AN1826" s="7" t="n">
        <v>1</v>
      </c>
      <c r="AO1826" s="7" t="n">
        <v>1</v>
      </c>
      <c r="AP1826" s="7" t="n">
        <v>0</v>
      </c>
      <c r="AQ1826" s="7" t="n">
        <v>0</v>
      </c>
      <c r="AR1826" s="6" t="s">
        <v>63</v>
      </c>
      <c r="AS1826" s="6" t="s">
        <v>57</v>
      </c>
      <c r="AT1826" s="9" t="str">
        <f aca="false">HYPERLINK("http://catalog.hathitrust.org/Record/001381099","HathiTrust Record")</f>
        <v>HathiTrust Record</v>
      </c>
      <c r="AU1826" s="9" t="str">
        <f aca="false">HYPERLINK("https://creighton-primo.hosted.exlibrisgroup.com/primo-explore/search?tab=default_tab&amp;search_scope=EVERYTHING&amp;vid=01CRU&amp;lang=en_US&amp;offset=0&amp;query=any,contains,991003341749702656","Catalog Record")</f>
        <v>Catalog Record</v>
      </c>
      <c r="AV1826" s="9" t="str">
        <f aca="false">HYPERLINK("http://www.worldcat.org/oclc/873320","WorldCat Record")</f>
        <v>WorldCat Record</v>
      </c>
      <c r="AW1826" s="6" t="s">
        <v>15973</v>
      </c>
      <c r="AX1826" s="6" t="s">
        <v>15974</v>
      </c>
      <c r="AY1826" s="6" t="s">
        <v>15975</v>
      </c>
      <c r="AZ1826" s="6" t="s">
        <v>15975</v>
      </c>
      <c r="BA1826" s="6" t="s">
        <v>15976</v>
      </c>
      <c r="BB1826" s="28"/>
      <c r="BC1826" s="6" t="s">
        <v>15977</v>
      </c>
      <c r="BE1826" s="15" t="s">
        <v>2145</v>
      </c>
      <c r="BF1826" s="6" t="s">
        <v>15978</v>
      </c>
    </row>
    <row r="1827" customFormat="false" ht="105.5" hidden="false" customHeight="false" outlineLevel="0" collapsed="false">
      <c r="A1827" s="26" t="s">
        <v>63</v>
      </c>
      <c r="B1827" s="27" t="s">
        <v>2129</v>
      </c>
      <c r="C1827" s="27" t="s">
        <v>2130</v>
      </c>
      <c r="D1827" s="27" t="s">
        <v>15979</v>
      </c>
      <c r="E1827" s="27" t="s">
        <v>15980</v>
      </c>
      <c r="F1827" s="27" t="s">
        <v>15981</v>
      </c>
      <c r="G1827" s="28"/>
      <c r="H1827" s="6" t="s">
        <v>63</v>
      </c>
      <c r="I1827" s="6" t="s">
        <v>62</v>
      </c>
      <c r="J1827" s="6" t="s">
        <v>63</v>
      </c>
      <c r="K1827" s="6" t="s">
        <v>63</v>
      </c>
      <c r="L1827" s="6" t="s">
        <v>64</v>
      </c>
      <c r="M1827" s="27" t="s">
        <v>15982</v>
      </c>
      <c r="N1827" s="27" t="s">
        <v>15983</v>
      </c>
      <c r="O1827" s="6" t="s">
        <v>66</v>
      </c>
      <c r="P1827" s="28"/>
      <c r="Q1827" s="6" t="s">
        <v>67</v>
      </c>
      <c r="R1827" s="6" t="s">
        <v>384</v>
      </c>
      <c r="S1827" s="28"/>
      <c r="T1827" s="6" t="s">
        <v>6138</v>
      </c>
      <c r="U1827" s="7" t="n">
        <v>2</v>
      </c>
      <c r="V1827" s="7" t="n">
        <v>2</v>
      </c>
      <c r="W1827" s="8" t="s">
        <v>8656</v>
      </c>
      <c r="X1827" s="8" t="s">
        <v>8656</v>
      </c>
      <c r="Y1827" s="8" t="s">
        <v>15984</v>
      </c>
      <c r="Z1827" s="8" t="s">
        <v>15984</v>
      </c>
      <c r="AA1827" s="7" t="n">
        <v>286</v>
      </c>
      <c r="AB1827" s="7" t="n">
        <v>174</v>
      </c>
      <c r="AC1827" s="7" t="n">
        <v>213</v>
      </c>
      <c r="AD1827" s="7" t="n">
        <v>1</v>
      </c>
      <c r="AE1827" s="7" t="n">
        <v>1</v>
      </c>
      <c r="AF1827" s="7" t="n">
        <v>12</v>
      </c>
      <c r="AG1827" s="7" t="n">
        <v>12</v>
      </c>
      <c r="AH1827" s="7" t="n">
        <v>4</v>
      </c>
      <c r="AI1827" s="7" t="n">
        <v>4</v>
      </c>
      <c r="AJ1827" s="7" t="n">
        <v>5</v>
      </c>
      <c r="AK1827" s="7" t="n">
        <v>5</v>
      </c>
      <c r="AL1827" s="7" t="n">
        <v>6</v>
      </c>
      <c r="AM1827" s="7" t="n">
        <v>6</v>
      </c>
      <c r="AN1827" s="7" t="n">
        <v>0</v>
      </c>
      <c r="AO1827" s="7" t="n">
        <v>0</v>
      </c>
      <c r="AP1827" s="7" t="n">
        <v>0</v>
      </c>
      <c r="AQ1827" s="7" t="n">
        <v>0</v>
      </c>
      <c r="AR1827" s="6" t="s">
        <v>63</v>
      </c>
      <c r="AS1827" s="6" t="s">
        <v>63</v>
      </c>
      <c r="AT1827" s="28"/>
      <c r="AU1827" s="9" t="str">
        <f aca="false">HYPERLINK("https://creighton-primo.hosted.exlibrisgroup.com/primo-explore/search?tab=default_tab&amp;search_scope=EVERYTHING&amp;vid=01CRU&amp;lang=en_US&amp;offset=0&amp;query=any,contains,991002158969702656","Catalog Record")</f>
        <v>Catalog Record</v>
      </c>
      <c r="AV1827" s="9" t="str">
        <f aca="false">HYPERLINK("http://www.worldcat.org/oclc/27812010","WorldCat Record")</f>
        <v>WorldCat Record</v>
      </c>
      <c r="AW1827" s="6" t="s">
        <v>15985</v>
      </c>
      <c r="AX1827" s="6" t="s">
        <v>15986</v>
      </c>
      <c r="AY1827" s="6" t="s">
        <v>15987</v>
      </c>
      <c r="AZ1827" s="6" t="s">
        <v>15987</v>
      </c>
      <c r="BA1827" s="6" t="s">
        <v>15988</v>
      </c>
      <c r="BB1827" s="6" t="s">
        <v>15989</v>
      </c>
      <c r="BC1827" s="6" t="s">
        <v>15990</v>
      </c>
      <c r="BE1827" s="15" t="s">
        <v>2145</v>
      </c>
      <c r="BF1827" s="6" t="s">
        <v>15991</v>
      </c>
    </row>
    <row r="1828" customFormat="false" ht="105.5" hidden="false" customHeight="false" outlineLevel="0" collapsed="false">
      <c r="A1828" s="26" t="s">
        <v>63</v>
      </c>
      <c r="B1828" s="27" t="s">
        <v>2129</v>
      </c>
      <c r="C1828" s="27" t="s">
        <v>2130</v>
      </c>
      <c r="D1828" s="27" t="s">
        <v>15992</v>
      </c>
      <c r="E1828" s="27" t="s">
        <v>15993</v>
      </c>
      <c r="F1828" s="27" t="s">
        <v>15994</v>
      </c>
      <c r="G1828" s="28"/>
      <c r="H1828" s="6" t="s">
        <v>63</v>
      </c>
      <c r="I1828" s="6" t="s">
        <v>62</v>
      </c>
      <c r="J1828" s="6" t="s">
        <v>63</v>
      </c>
      <c r="K1828" s="6" t="s">
        <v>63</v>
      </c>
      <c r="L1828" s="6" t="s">
        <v>64</v>
      </c>
      <c r="M1828" s="27" t="s">
        <v>15995</v>
      </c>
      <c r="N1828" s="27" t="s">
        <v>15996</v>
      </c>
      <c r="O1828" s="6" t="s">
        <v>2411</v>
      </c>
      <c r="P1828" s="28"/>
      <c r="Q1828" s="6" t="s">
        <v>67</v>
      </c>
      <c r="R1828" s="6" t="s">
        <v>384</v>
      </c>
      <c r="S1828" s="27" t="s">
        <v>15997</v>
      </c>
      <c r="T1828" s="6" t="s">
        <v>6138</v>
      </c>
      <c r="U1828" s="7" t="n">
        <v>1</v>
      </c>
      <c r="V1828" s="7" t="n">
        <v>1</v>
      </c>
      <c r="W1828" s="8" t="s">
        <v>15998</v>
      </c>
      <c r="X1828" s="8" t="s">
        <v>15998</v>
      </c>
      <c r="Y1828" s="8" t="s">
        <v>10182</v>
      </c>
      <c r="Z1828" s="8" t="s">
        <v>10182</v>
      </c>
      <c r="AA1828" s="7" t="n">
        <v>537</v>
      </c>
      <c r="AB1828" s="7" t="n">
        <v>432</v>
      </c>
      <c r="AC1828" s="7" t="n">
        <v>483</v>
      </c>
      <c r="AD1828" s="7" t="n">
        <v>3</v>
      </c>
      <c r="AE1828" s="7" t="n">
        <v>3</v>
      </c>
      <c r="AF1828" s="7" t="n">
        <v>26</v>
      </c>
      <c r="AG1828" s="7" t="n">
        <v>30</v>
      </c>
      <c r="AH1828" s="7" t="n">
        <v>11</v>
      </c>
      <c r="AI1828" s="7" t="n">
        <v>13</v>
      </c>
      <c r="AJ1828" s="7" t="n">
        <v>5</v>
      </c>
      <c r="AK1828" s="7" t="n">
        <v>6</v>
      </c>
      <c r="AL1828" s="7" t="n">
        <v>17</v>
      </c>
      <c r="AM1828" s="7" t="n">
        <v>19</v>
      </c>
      <c r="AN1828" s="7" t="n">
        <v>2</v>
      </c>
      <c r="AO1828" s="7" t="n">
        <v>2</v>
      </c>
      <c r="AP1828" s="7" t="n">
        <v>0</v>
      </c>
      <c r="AQ1828" s="7" t="n">
        <v>0</v>
      </c>
      <c r="AR1828" s="6" t="s">
        <v>63</v>
      </c>
      <c r="AS1828" s="6" t="s">
        <v>57</v>
      </c>
      <c r="AT1828" s="9" t="str">
        <f aca="false">HYPERLINK("http://catalog.hathitrust.org/Record/001536124","HathiTrust Record")</f>
        <v>HathiTrust Record</v>
      </c>
      <c r="AU1828" s="9" t="str">
        <f aca="false">HYPERLINK("https://creighton-primo.hosted.exlibrisgroup.com/primo-explore/search?tab=default_tab&amp;search_scope=EVERYTHING&amp;vid=01CRU&amp;lang=en_US&amp;offset=0&amp;query=any,contains,991001339289702656","Catalog Record")</f>
        <v>Catalog Record</v>
      </c>
      <c r="AV1828" s="9" t="str">
        <f aca="false">HYPERLINK("http://www.worldcat.org/oclc/18380652","WorldCat Record")</f>
        <v>WorldCat Record</v>
      </c>
      <c r="AW1828" s="6" t="s">
        <v>15999</v>
      </c>
      <c r="AX1828" s="6" t="s">
        <v>16000</v>
      </c>
      <c r="AY1828" s="6" t="s">
        <v>16001</v>
      </c>
      <c r="AZ1828" s="6" t="s">
        <v>16001</v>
      </c>
      <c r="BA1828" s="6" t="s">
        <v>16002</v>
      </c>
      <c r="BB1828" s="6" t="s">
        <v>16003</v>
      </c>
      <c r="BC1828" s="6" t="s">
        <v>16004</v>
      </c>
      <c r="BE1828" s="15" t="s">
        <v>2145</v>
      </c>
      <c r="BF1828" s="6" t="s">
        <v>16005</v>
      </c>
    </row>
    <row r="1829" customFormat="false" ht="128.5" hidden="false" customHeight="false" outlineLevel="0" collapsed="false">
      <c r="A1829" s="26" t="s">
        <v>57</v>
      </c>
      <c r="B1829" s="27" t="s">
        <v>2129</v>
      </c>
      <c r="C1829" s="27" t="s">
        <v>2130</v>
      </c>
      <c r="D1829" s="27" t="s">
        <v>16006</v>
      </c>
      <c r="E1829" s="27" t="s">
        <v>16007</v>
      </c>
      <c r="F1829" s="27" t="s">
        <v>16008</v>
      </c>
      <c r="G1829" s="28"/>
      <c r="H1829" s="6" t="s">
        <v>63</v>
      </c>
      <c r="I1829" s="6" t="s">
        <v>62</v>
      </c>
      <c r="J1829" s="6" t="s">
        <v>63</v>
      </c>
      <c r="K1829" s="6" t="s">
        <v>63</v>
      </c>
      <c r="L1829" s="6" t="s">
        <v>64</v>
      </c>
      <c r="M1829" s="27" t="s">
        <v>12414</v>
      </c>
      <c r="N1829" s="27" t="s">
        <v>16009</v>
      </c>
      <c r="O1829" s="6" t="s">
        <v>2315</v>
      </c>
      <c r="P1829" s="28"/>
      <c r="Q1829" s="6" t="s">
        <v>67</v>
      </c>
      <c r="R1829" s="6" t="s">
        <v>384</v>
      </c>
      <c r="S1829" s="27" t="s">
        <v>16010</v>
      </c>
      <c r="T1829" s="6" t="s">
        <v>6138</v>
      </c>
      <c r="U1829" s="7" t="n">
        <v>8</v>
      </c>
      <c r="V1829" s="7" t="n">
        <v>8</v>
      </c>
      <c r="W1829" s="8" t="s">
        <v>7061</v>
      </c>
      <c r="X1829" s="8" t="s">
        <v>7061</v>
      </c>
      <c r="Y1829" s="8" t="s">
        <v>15850</v>
      </c>
      <c r="Z1829" s="8" t="s">
        <v>15850</v>
      </c>
      <c r="AA1829" s="7" t="n">
        <v>815</v>
      </c>
      <c r="AB1829" s="7" t="n">
        <v>591</v>
      </c>
      <c r="AC1829" s="7" t="n">
        <v>598</v>
      </c>
      <c r="AD1829" s="7" t="n">
        <v>5</v>
      </c>
      <c r="AE1829" s="7" t="n">
        <v>5</v>
      </c>
      <c r="AF1829" s="7" t="n">
        <v>40</v>
      </c>
      <c r="AG1829" s="7" t="n">
        <v>40</v>
      </c>
      <c r="AH1829" s="7" t="n">
        <v>17</v>
      </c>
      <c r="AI1829" s="7" t="n">
        <v>17</v>
      </c>
      <c r="AJ1829" s="7" t="n">
        <v>9</v>
      </c>
      <c r="AK1829" s="7" t="n">
        <v>9</v>
      </c>
      <c r="AL1829" s="7" t="n">
        <v>21</v>
      </c>
      <c r="AM1829" s="7" t="n">
        <v>21</v>
      </c>
      <c r="AN1829" s="7" t="n">
        <v>4</v>
      </c>
      <c r="AO1829" s="7" t="n">
        <v>4</v>
      </c>
      <c r="AP1829" s="7" t="n">
        <v>0</v>
      </c>
      <c r="AQ1829" s="7" t="n">
        <v>0</v>
      </c>
      <c r="AR1829" s="6" t="s">
        <v>63</v>
      </c>
      <c r="AS1829" s="6" t="s">
        <v>63</v>
      </c>
      <c r="AT1829" s="28"/>
      <c r="AU1829" s="9" t="str">
        <f aca="false">HYPERLINK("https://creighton-primo.hosted.exlibrisgroup.com/primo-explore/search?tab=default_tab&amp;search_scope=EVERYTHING&amp;vid=01CRU&amp;lang=en_US&amp;offset=0&amp;query=any,contains,991000479799702656","Catalog Record")</f>
        <v>Catalog Record</v>
      </c>
      <c r="AV1829" s="9" t="str">
        <f aca="false">HYPERLINK("http://www.worldcat.org/oclc/11045018","WorldCat Record")</f>
        <v>WorldCat Record</v>
      </c>
      <c r="AW1829" s="6" t="s">
        <v>16011</v>
      </c>
      <c r="AX1829" s="6" t="s">
        <v>16012</v>
      </c>
      <c r="AY1829" s="6" t="s">
        <v>16013</v>
      </c>
      <c r="AZ1829" s="6" t="s">
        <v>16013</v>
      </c>
      <c r="BA1829" s="6" t="s">
        <v>16014</v>
      </c>
      <c r="BB1829" s="6" t="s">
        <v>16015</v>
      </c>
      <c r="BC1829" s="6" t="s">
        <v>16016</v>
      </c>
      <c r="BE1829" s="15" t="s">
        <v>2145</v>
      </c>
      <c r="BF1829" s="6" t="s">
        <v>16017</v>
      </c>
    </row>
    <row r="1830" customFormat="false" ht="105.5" hidden="false" customHeight="false" outlineLevel="0" collapsed="false">
      <c r="A1830" s="26" t="s">
        <v>63</v>
      </c>
      <c r="B1830" s="27" t="s">
        <v>2129</v>
      </c>
      <c r="C1830" s="27" t="s">
        <v>2130</v>
      </c>
      <c r="D1830" s="27" t="s">
        <v>16018</v>
      </c>
      <c r="E1830" s="27" t="s">
        <v>16019</v>
      </c>
      <c r="F1830" s="27" t="s">
        <v>16020</v>
      </c>
      <c r="G1830" s="28"/>
      <c r="H1830" s="6" t="s">
        <v>63</v>
      </c>
      <c r="I1830" s="6" t="s">
        <v>62</v>
      </c>
      <c r="J1830" s="6" t="s">
        <v>63</v>
      </c>
      <c r="K1830" s="6" t="s">
        <v>63</v>
      </c>
      <c r="L1830" s="6" t="s">
        <v>64</v>
      </c>
      <c r="M1830" s="27" t="s">
        <v>16021</v>
      </c>
      <c r="N1830" s="27" t="s">
        <v>16022</v>
      </c>
      <c r="O1830" s="6" t="s">
        <v>2315</v>
      </c>
      <c r="P1830" s="28"/>
      <c r="Q1830" s="6" t="s">
        <v>67</v>
      </c>
      <c r="R1830" s="6" t="s">
        <v>415</v>
      </c>
      <c r="S1830" s="27" t="s">
        <v>16023</v>
      </c>
      <c r="T1830" s="6" t="s">
        <v>6138</v>
      </c>
      <c r="U1830" s="7" t="n">
        <v>2</v>
      </c>
      <c r="V1830" s="7" t="n">
        <v>2</v>
      </c>
      <c r="W1830" s="8" t="s">
        <v>16024</v>
      </c>
      <c r="X1830" s="8" t="s">
        <v>16024</v>
      </c>
      <c r="Y1830" s="8" t="s">
        <v>15447</v>
      </c>
      <c r="Z1830" s="8" t="s">
        <v>15447</v>
      </c>
      <c r="AA1830" s="7" t="n">
        <v>379</v>
      </c>
      <c r="AB1830" s="7" t="n">
        <v>280</v>
      </c>
      <c r="AC1830" s="7" t="n">
        <v>283</v>
      </c>
      <c r="AD1830" s="7" t="n">
        <v>1</v>
      </c>
      <c r="AE1830" s="7" t="n">
        <v>1</v>
      </c>
      <c r="AF1830" s="7" t="n">
        <v>19</v>
      </c>
      <c r="AG1830" s="7" t="n">
        <v>19</v>
      </c>
      <c r="AH1830" s="7" t="n">
        <v>7</v>
      </c>
      <c r="AI1830" s="7" t="n">
        <v>7</v>
      </c>
      <c r="AJ1830" s="7" t="n">
        <v>7</v>
      </c>
      <c r="AK1830" s="7" t="n">
        <v>7</v>
      </c>
      <c r="AL1830" s="7" t="n">
        <v>9</v>
      </c>
      <c r="AM1830" s="7" t="n">
        <v>9</v>
      </c>
      <c r="AN1830" s="7" t="n">
        <v>0</v>
      </c>
      <c r="AO1830" s="7" t="n">
        <v>0</v>
      </c>
      <c r="AP1830" s="7" t="n">
        <v>0</v>
      </c>
      <c r="AQ1830" s="7" t="n">
        <v>0</v>
      </c>
      <c r="AR1830" s="6" t="s">
        <v>63</v>
      </c>
      <c r="AS1830" s="6" t="s">
        <v>57</v>
      </c>
      <c r="AT1830" s="9" t="str">
        <f aca="false">HYPERLINK("http://catalog.hathitrust.org/Record/000434622","HathiTrust Record")</f>
        <v>HathiTrust Record</v>
      </c>
      <c r="AU1830" s="9" t="str">
        <f aca="false">HYPERLINK("https://creighton-primo.hosted.exlibrisgroup.com/primo-explore/search?tab=default_tab&amp;search_scope=EVERYTHING&amp;vid=01CRU&amp;lang=en_US&amp;offset=0&amp;query=any,contains,991000674869702656","Catalog Record")</f>
        <v>Catalog Record</v>
      </c>
      <c r="AV1830" s="9" t="str">
        <f aca="false">HYPERLINK("http://www.worldcat.org/oclc/12343633","WorldCat Record")</f>
        <v>WorldCat Record</v>
      </c>
      <c r="AW1830" s="6" t="s">
        <v>16025</v>
      </c>
      <c r="AX1830" s="6" t="s">
        <v>16026</v>
      </c>
      <c r="AY1830" s="6" t="s">
        <v>16027</v>
      </c>
      <c r="AZ1830" s="6" t="s">
        <v>16027</v>
      </c>
      <c r="BA1830" s="6" t="s">
        <v>16028</v>
      </c>
      <c r="BB1830" s="6" t="s">
        <v>16029</v>
      </c>
      <c r="BC1830" s="6" t="s">
        <v>16030</v>
      </c>
      <c r="BE1830" s="15" t="s">
        <v>2145</v>
      </c>
      <c r="BF1830" s="6" t="s">
        <v>16031</v>
      </c>
    </row>
    <row r="1831" customFormat="false" ht="128.5" hidden="false" customHeight="false" outlineLevel="0" collapsed="false">
      <c r="A1831" s="26" t="s">
        <v>63</v>
      </c>
      <c r="B1831" s="27" t="s">
        <v>2129</v>
      </c>
      <c r="C1831" s="27" t="s">
        <v>2130</v>
      </c>
      <c r="D1831" s="27" t="s">
        <v>16032</v>
      </c>
      <c r="E1831" s="27" t="s">
        <v>16033</v>
      </c>
      <c r="F1831" s="27" t="s">
        <v>16034</v>
      </c>
      <c r="G1831" s="28"/>
      <c r="H1831" s="6" t="s">
        <v>63</v>
      </c>
      <c r="I1831" s="6" t="s">
        <v>62</v>
      </c>
      <c r="J1831" s="6" t="s">
        <v>63</v>
      </c>
      <c r="K1831" s="6" t="s">
        <v>63</v>
      </c>
      <c r="L1831" s="6" t="s">
        <v>64</v>
      </c>
      <c r="M1831" s="28"/>
      <c r="N1831" s="27" t="s">
        <v>16035</v>
      </c>
      <c r="O1831" s="6" t="s">
        <v>3301</v>
      </c>
      <c r="P1831" s="28"/>
      <c r="Q1831" s="6" t="s">
        <v>67</v>
      </c>
      <c r="R1831" s="6" t="s">
        <v>6601</v>
      </c>
      <c r="S1831" s="27" t="s">
        <v>16036</v>
      </c>
      <c r="T1831" s="6" t="s">
        <v>6138</v>
      </c>
      <c r="U1831" s="7" t="n">
        <v>1</v>
      </c>
      <c r="V1831" s="7" t="n">
        <v>1</v>
      </c>
      <c r="W1831" s="8" t="s">
        <v>15029</v>
      </c>
      <c r="X1831" s="8" t="s">
        <v>15029</v>
      </c>
      <c r="Y1831" s="8" t="s">
        <v>15447</v>
      </c>
      <c r="Z1831" s="8" t="s">
        <v>15447</v>
      </c>
      <c r="AA1831" s="7" t="n">
        <v>439</v>
      </c>
      <c r="AB1831" s="7" t="n">
        <v>368</v>
      </c>
      <c r="AC1831" s="7" t="n">
        <v>368</v>
      </c>
      <c r="AD1831" s="7" t="n">
        <v>2</v>
      </c>
      <c r="AE1831" s="7" t="n">
        <v>2</v>
      </c>
      <c r="AF1831" s="7" t="n">
        <v>18</v>
      </c>
      <c r="AG1831" s="7" t="n">
        <v>18</v>
      </c>
      <c r="AH1831" s="7" t="n">
        <v>5</v>
      </c>
      <c r="AI1831" s="7" t="n">
        <v>5</v>
      </c>
      <c r="AJ1831" s="7" t="n">
        <v>6</v>
      </c>
      <c r="AK1831" s="7" t="n">
        <v>6</v>
      </c>
      <c r="AL1831" s="7" t="n">
        <v>14</v>
      </c>
      <c r="AM1831" s="7" t="n">
        <v>14</v>
      </c>
      <c r="AN1831" s="7" t="n">
        <v>1</v>
      </c>
      <c r="AO1831" s="7" t="n">
        <v>1</v>
      </c>
      <c r="AP1831" s="7" t="n">
        <v>0</v>
      </c>
      <c r="AQ1831" s="7" t="n">
        <v>0</v>
      </c>
      <c r="AR1831" s="6" t="s">
        <v>63</v>
      </c>
      <c r="AS1831" s="6" t="s">
        <v>63</v>
      </c>
      <c r="AT1831" s="28"/>
      <c r="AU1831" s="9" t="str">
        <f aca="false">HYPERLINK("https://creighton-primo.hosted.exlibrisgroup.com/primo-explore/search?tab=default_tab&amp;search_scope=EVERYTHING&amp;vid=01CRU&amp;lang=en_US&amp;offset=0&amp;query=any,contains,991005127369702656","Catalog Record")</f>
        <v>Catalog Record</v>
      </c>
      <c r="AV1831" s="9" t="str">
        <f aca="false">HYPERLINK("http://www.worldcat.org/oclc/7554491","WorldCat Record")</f>
        <v>WorldCat Record</v>
      </c>
      <c r="AW1831" s="6" t="s">
        <v>16037</v>
      </c>
      <c r="AX1831" s="6" t="s">
        <v>16038</v>
      </c>
      <c r="AY1831" s="6" t="s">
        <v>16039</v>
      </c>
      <c r="AZ1831" s="6" t="s">
        <v>16039</v>
      </c>
      <c r="BA1831" s="6" t="s">
        <v>16040</v>
      </c>
      <c r="BB1831" s="6" t="s">
        <v>16041</v>
      </c>
      <c r="BC1831" s="6" t="s">
        <v>16042</v>
      </c>
      <c r="BE1831" s="15" t="s">
        <v>2145</v>
      </c>
      <c r="BF1831" s="6" t="s">
        <v>16043</v>
      </c>
    </row>
    <row r="1832" customFormat="false" ht="128.5" hidden="false" customHeight="false" outlineLevel="0" collapsed="false">
      <c r="A1832" s="26" t="s">
        <v>63</v>
      </c>
      <c r="B1832" s="27" t="s">
        <v>2129</v>
      </c>
      <c r="C1832" s="27" t="s">
        <v>2130</v>
      </c>
      <c r="D1832" s="27" t="s">
        <v>16044</v>
      </c>
      <c r="E1832" s="27" t="s">
        <v>16045</v>
      </c>
      <c r="F1832" s="27" t="s">
        <v>16046</v>
      </c>
      <c r="G1832" s="28"/>
      <c r="H1832" s="6" t="s">
        <v>63</v>
      </c>
      <c r="I1832" s="6" t="s">
        <v>62</v>
      </c>
      <c r="J1832" s="6" t="s">
        <v>63</v>
      </c>
      <c r="K1832" s="6" t="s">
        <v>63</v>
      </c>
      <c r="L1832" s="6" t="s">
        <v>64</v>
      </c>
      <c r="M1832" s="27" t="s">
        <v>16047</v>
      </c>
      <c r="N1832" s="27" t="s">
        <v>16048</v>
      </c>
      <c r="O1832" s="6" t="s">
        <v>233</v>
      </c>
      <c r="P1832" s="28"/>
      <c r="Q1832" s="6" t="s">
        <v>67</v>
      </c>
      <c r="R1832" s="6" t="s">
        <v>16049</v>
      </c>
      <c r="S1832" s="27" t="s">
        <v>16050</v>
      </c>
      <c r="T1832" s="6" t="s">
        <v>6138</v>
      </c>
      <c r="U1832" s="7" t="n">
        <v>4</v>
      </c>
      <c r="V1832" s="7" t="n">
        <v>4</v>
      </c>
      <c r="W1832" s="8" t="s">
        <v>16051</v>
      </c>
      <c r="X1832" s="8" t="s">
        <v>16051</v>
      </c>
      <c r="Y1832" s="8" t="s">
        <v>15447</v>
      </c>
      <c r="Z1832" s="8" t="s">
        <v>15447</v>
      </c>
      <c r="AA1832" s="7" t="n">
        <v>360</v>
      </c>
      <c r="AB1832" s="7" t="n">
        <v>304</v>
      </c>
      <c r="AC1832" s="7" t="n">
        <v>305</v>
      </c>
      <c r="AD1832" s="7" t="n">
        <v>3</v>
      </c>
      <c r="AE1832" s="7" t="n">
        <v>3</v>
      </c>
      <c r="AF1832" s="7" t="n">
        <v>32</v>
      </c>
      <c r="AG1832" s="7" t="n">
        <v>32</v>
      </c>
      <c r="AH1832" s="7" t="n">
        <v>10</v>
      </c>
      <c r="AI1832" s="7" t="n">
        <v>10</v>
      </c>
      <c r="AJ1832" s="7" t="n">
        <v>8</v>
      </c>
      <c r="AK1832" s="7" t="n">
        <v>8</v>
      </c>
      <c r="AL1832" s="7" t="n">
        <v>24</v>
      </c>
      <c r="AM1832" s="7" t="n">
        <v>24</v>
      </c>
      <c r="AN1832" s="7" t="n">
        <v>1</v>
      </c>
      <c r="AO1832" s="7" t="n">
        <v>1</v>
      </c>
      <c r="AP1832" s="7" t="n">
        <v>0</v>
      </c>
      <c r="AQ1832" s="7" t="n">
        <v>0</v>
      </c>
      <c r="AR1832" s="6" t="s">
        <v>63</v>
      </c>
      <c r="AS1832" s="6" t="s">
        <v>63</v>
      </c>
      <c r="AT1832" s="28"/>
      <c r="AU1832" s="9" t="str">
        <f aca="false">HYPERLINK("https://creighton-primo.hosted.exlibrisgroup.com/primo-explore/search?tab=default_tab&amp;search_scope=EVERYTHING&amp;vid=01CRU&amp;lang=en_US&amp;offset=0&amp;query=any,contains,991001484399702656","Catalog Record")</f>
        <v>Catalog Record</v>
      </c>
      <c r="AV1832" s="9" t="str">
        <f aca="false">HYPERLINK("http://www.worldcat.org/oclc/231624","WorldCat Record")</f>
        <v>WorldCat Record</v>
      </c>
      <c r="AW1832" s="6" t="s">
        <v>16052</v>
      </c>
      <c r="AX1832" s="6" t="s">
        <v>16053</v>
      </c>
      <c r="AY1832" s="6" t="s">
        <v>16054</v>
      </c>
      <c r="AZ1832" s="6" t="s">
        <v>16054</v>
      </c>
      <c r="BA1832" s="6" t="s">
        <v>16055</v>
      </c>
      <c r="BB1832" s="28"/>
      <c r="BC1832" s="6" t="s">
        <v>16056</v>
      </c>
      <c r="BE1832" s="15" t="s">
        <v>2145</v>
      </c>
      <c r="BF1832" s="6" t="s">
        <v>16057</v>
      </c>
    </row>
    <row r="1833" customFormat="false" ht="94" hidden="false" customHeight="false" outlineLevel="0" collapsed="false">
      <c r="A1833" s="26" t="s">
        <v>63</v>
      </c>
      <c r="B1833" s="27" t="s">
        <v>2129</v>
      </c>
      <c r="C1833" s="27" t="s">
        <v>2130</v>
      </c>
      <c r="D1833" s="27" t="s">
        <v>16058</v>
      </c>
      <c r="E1833" s="27" t="s">
        <v>16059</v>
      </c>
      <c r="F1833" s="27" t="s">
        <v>16060</v>
      </c>
      <c r="G1833" s="28"/>
      <c r="H1833" s="6" t="s">
        <v>63</v>
      </c>
      <c r="I1833" s="6" t="s">
        <v>62</v>
      </c>
      <c r="J1833" s="6" t="s">
        <v>63</v>
      </c>
      <c r="K1833" s="6" t="s">
        <v>63</v>
      </c>
      <c r="L1833" s="6" t="s">
        <v>64</v>
      </c>
      <c r="M1833" s="27" t="s">
        <v>16061</v>
      </c>
      <c r="N1833" s="27" t="s">
        <v>16062</v>
      </c>
      <c r="O1833" s="6" t="s">
        <v>4869</v>
      </c>
      <c r="P1833" s="28"/>
      <c r="Q1833" s="6" t="s">
        <v>67</v>
      </c>
      <c r="R1833" s="6" t="s">
        <v>367</v>
      </c>
      <c r="S1833" s="28"/>
      <c r="T1833" s="6" t="s">
        <v>6138</v>
      </c>
      <c r="U1833" s="7" t="n">
        <v>4</v>
      </c>
      <c r="V1833" s="7" t="n">
        <v>4</v>
      </c>
      <c r="W1833" s="8" t="s">
        <v>16063</v>
      </c>
      <c r="X1833" s="8" t="s">
        <v>16063</v>
      </c>
      <c r="Y1833" s="8" t="s">
        <v>16064</v>
      </c>
      <c r="Z1833" s="8" t="s">
        <v>16064</v>
      </c>
      <c r="AA1833" s="7" t="n">
        <v>347</v>
      </c>
      <c r="AB1833" s="7" t="n">
        <v>250</v>
      </c>
      <c r="AC1833" s="7" t="n">
        <v>260</v>
      </c>
      <c r="AD1833" s="7" t="n">
        <v>2</v>
      </c>
      <c r="AE1833" s="7" t="n">
        <v>2</v>
      </c>
      <c r="AF1833" s="7" t="n">
        <v>28</v>
      </c>
      <c r="AG1833" s="7" t="n">
        <v>28</v>
      </c>
      <c r="AH1833" s="7" t="n">
        <v>11</v>
      </c>
      <c r="AI1833" s="7" t="n">
        <v>11</v>
      </c>
      <c r="AJ1833" s="7" t="n">
        <v>5</v>
      </c>
      <c r="AK1833" s="7" t="n">
        <v>5</v>
      </c>
      <c r="AL1833" s="7" t="n">
        <v>21</v>
      </c>
      <c r="AM1833" s="7" t="n">
        <v>21</v>
      </c>
      <c r="AN1833" s="7" t="n">
        <v>1</v>
      </c>
      <c r="AO1833" s="7" t="n">
        <v>1</v>
      </c>
      <c r="AP1833" s="7" t="n">
        <v>0</v>
      </c>
      <c r="AQ1833" s="7" t="n">
        <v>0</v>
      </c>
      <c r="AR1833" s="6" t="s">
        <v>63</v>
      </c>
      <c r="AS1833" s="6" t="s">
        <v>57</v>
      </c>
      <c r="AT1833" s="9" t="str">
        <f aca="false">HYPERLINK("http://catalog.hathitrust.org/Record/001379413","HathiTrust Record")</f>
        <v>HathiTrust Record</v>
      </c>
      <c r="AU1833" s="9" t="str">
        <f aca="false">HYPERLINK("https://creighton-primo.hosted.exlibrisgroup.com/primo-explore/search?tab=default_tab&amp;search_scope=EVERYTHING&amp;vid=01CRU&amp;lang=en_US&amp;offset=0&amp;query=any,contains,991003436399702656","Catalog Record")</f>
        <v>Catalog Record</v>
      </c>
      <c r="AV1833" s="9" t="str">
        <f aca="false">HYPERLINK("http://www.worldcat.org/oclc/971876","WorldCat Record")</f>
        <v>WorldCat Record</v>
      </c>
      <c r="AW1833" s="6" t="s">
        <v>16065</v>
      </c>
      <c r="AX1833" s="6" t="s">
        <v>16066</v>
      </c>
      <c r="AY1833" s="6" t="s">
        <v>16067</v>
      </c>
      <c r="AZ1833" s="6" t="s">
        <v>16067</v>
      </c>
      <c r="BA1833" s="6" t="s">
        <v>16068</v>
      </c>
      <c r="BB1833" s="28"/>
      <c r="BC1833" s="6" t="s">
        <v>16069</v>
      </c>
      <c r="BE1833" s="15" t="s">
        <v>2145</v>
      </c>
      <c r="BF1833" s="6" t="s">
        <v>16070</v>
      </c>
    </row>
    <row r="1834" customFormat="false" ht="71" hidden="false" customHeight="false" outlineLevel="0" collapsed="false">
      <c r="A1834" s="26" t="s">
        <v>63</v>
      </c>
      <c r="B1834" s="27" t="s">
        <v>2129</v>
      </c>
      <c r="C1834" s="27" t="s">
        <v>2130</v>
      </c>
      <c r="D1834" s="27" t="s">
        <v>16071</v>
      </c>
      <c r="E1834" s="27" t="s">
        <v>16072</v>
      </c>
      <c r="F1834" s="27" t="s">
        <v>16073</v>
      </c>
      <c r="G1834" s="28"/>
      <c r="H1834" s="6" t="s">
        <v>63</v>
      </c>
      <c r="I1834" s="6" t="s">
        <v>62</v>
      </c>
      <c r="J1834" s="6" t="s">
        <v>63</v>
      </c>
      <c r="K1834" s="6" t="s">
        <v>63</v>
      </c>
      <c r="L1834" s="6" t="s">
        <v>64</v>
      </c>
      <c r="M1834" s="27" t="s">
        <v>16074</v>
      </c>
      <c r="N1834" s="27" t="s">
        <v>16075</v>
      </c>
      <c r="O1834" s="6" t="s">
        <v>4833</v>
      </c>
      <c r="P1834" s="28"/>
      <c r="Q1834" s="6" t="s">
        <v>67</v>
      </c>
      <c r="R1834" s="6" t="s">
        <v>68</v>
      </c>
      <c r="S1834" s="28"/>
      <c r="T1834" s="6" t="s">
        <v>6138</v>
      </c>
      <c r="U1834" s="7" t="n">
        <v>5</v>
      </c>
      <c r="V1834" s="7" t="n">
        <v>5</v>
      </c>
      <c r="W1834" s="8" t="s">
        <v>2207</v>
      </c>
      <c r="X1834" s="8" t="s">
        <v>2207</v>
      </c>
      <c r="Y1834" s="8" t="s">
        <v>16064</v>
      </c>
      <c r="Z1834" s="8" t="s">
        <v>16064</v>
      </c>
      <c r="AA1834" s="7" t="n">
        <v>153</v>
      </c>
      <c r="AB1834" s="7" t="n">
        <v>132</v>
      </c>
      <c r="AC1834" s="7" t="n">
        <v>138</v>
      </c>
      <c r="AD1834" s="7" t="n">
        <v>1</v>
      </c>
      <c r="AE1834" s="7" t="n">
        <v>1</v>
      </c>
      <c r="AF1834" s="7" t="n">
        <v>14</v>
      </c>
      <c r="AG1834" s="7" t="n">
        <v>14</v>
      </c>
      <c r="AH1834" s="7" t="n">
        <v>4</v>
      </c>
      <c r="AI1834" s="7" t="n">
        <v>4</v>
      </c>
      <c r="AJ1834" s="7" t="n">
        <v>3</v>
      </c>
      <c r="AK1834" s="7" t="n">
        <v>3</v>
      </c>
      <c r="AL1834" s="7" t="n">
        <v>12</v>
      </c>
      <c r="AM1834" s="7" t="n">
        <v>12</v>
      </c>
      <c r="AN1834" s="7" t="n">
        <v>0</v>
      </c>
      <c r="AO1834" s="7" t="n">
        <v>0</v>
      </c>
      <c r="AP1834" s="7" t="n">
        <v>0</v>
      </c>
      <c r="AQ1834" s="7" t="n">
        <v>0</v>
      </c>
      <c r="AR1834" s="6" t="s">
        <v>63</v>
      </c>
      <c r="AS1834" s="6" t="s">
        <v>57</v>
      </c>
      <c r="AT1834" s="9" t="str">
        <f aca="false">HYPERLINK("http://catalog.hathitrust.org/Record/101707622","HathiTrust Record")</f>
        <v>HathiTrust Record</v>
      </c>
      <c r="AU1834" s="9" t="str">
        <f aca="false">HYPERLINK("https://creighton-primo.hosted.exlibrisgroup.com/primo-explore/search?tab=default_tab&amp;search_scope=EVERYTHING&amp;vid=01CRU&amp;lang=en_US&amp;offset=0&amp;query=any,contains,991002895419702656","Catalog Record")</f>
        <v>Catalog Record</v>
      </c>
      <c r="AV1834" s="9" t="str">
        <f aca="false">HYPERLINK("http://www.worldcat.org/oclc/513970","WorldCat Record")</f>
        <v>WorldCat Record</v>
      </c>
      <c r="AW1834" s="6" t="s">
        <v>16076</v>
      </c>
      <c r="AX1834" s="6" t="s">
        <v>16077</v>
      </c>
      <c r="AY1834" s="6" t="s">
        <v>16078</v>
      </c>
      <c r="AZ1834" s="6" t="s">
        <v>16078</v>
      </c>
      <c r="BA1834" s="6" t="s">
        <v>16079</v>
      </c>
      <c r="BB1834" s="28"/>
      <c r="BC1834" s="6" t="s">
        <v>16080</v>
      </c>
      <c r="BE1834" s="15" t="s">
        <v>2145</v>
      </c>
      <c r="BF1834" s="6" t="s">
        <v>16081</v>
      </c>
    </row>
    <row r="1835" customFormat="false" ht="128.5" hidden="false" customHeight="false" outlineLevel="0" collapsed="false">
      <c r="A1835" s="26" t="s">
        <v>63</v>
      </c>
      <c r="B1835" s="27" t="s">
        <v>2129</v>
      </c>
      <c r="C1835" s="27" t="s">
        <v>2130</v>
      </c>
      <c r="D1835" s="27" t="s">
        <v>16082</v>
      </c>
      <c r="E1835" s="27" t="s">
        <v>16083</v>
      </c>
      <c r="F1835" s="27" t="s">
        <v>16084</v>
      </c>
      <c r="G1835" s="28"/>
      <c r="H1835" s="6" t="s">
        <v>63</v>
      </c>
      <c r="I1835" s="6" t="s">
        <v>62</v>
      </c>
      <c r="J1835" s="6" t="s">
        <v>63</v>
      </c>
      <c r="K1835" s="6" t="s">
        <v>63</v>
      </c>
      <c r="L1835" s="6" t="s">
        <v>64</v>
      </c>
      <c r="M1835" s="27" t="s">
        <v>16085</v>
      </c>
      <c r="N1835" s="27" t="s">
        <v>16086</v>
      </c>
      <c r="O1835" s="6" t="s">
        <v>2623</v>
      </c>
      <c r="P1835" s="28"/>
      <c r="Q1835" s="6" t="s">
        <v>67</v>
      </c>
      <c r="R1835" s="6" t="s">
        <v>68</v>
      </c>
      <c r="S1835" s="28"/>
      <c r="T1835" s="6" t="s">
        <v>6138</v>
      </c>
      <c r="U1835" s="7" t="n">
        <v>11</v>
      </c>
      <c r="V1835" s="7" t="n">
        <v>11</v>
      </c>
      <c r="W1835" s="8" t="s">
        <v>16087</v>
      </c>
      <c r="X1835" s="8" t="s">
        <v>16087</v>
      </c>
      <c r="Y1835" s="8" t="s">
        <v>16064</v>
      </c>
      <c r="Z1835" s="8" t="s">
        <v>16064</v>
      </c>
      <c r="AA1835" s="7" t="n">
        <v>809</v>
      </c>
      <c r="AB1835" s="7" t="n">
        <v>765</v>
      </c>
      <c r="AC1835" s="7" t="n">
        <v>877</v>
      </c>
      <c r="AD1835" s="7" t="n">
        <v>5</v>
      </c>
      <c r="AE1835" s="7" t="n">
        <v>7</v>
      </c>
      <c r="AF1835" s="7" t="n">
        <v>28</v>
      </c>
      <c r="AG1835" s="7" t="n">
        <v>34</v>
      </c>
      <c r="AH1835" s="7" t="n">
        <v>10</v>
      </c>
      <c r="AI1835" s="7" t="n">
        <v>12</v>
      </c>
      <c r="AJ1835" s="7" t="n">
        <v>8</v>
      </c>
      <c r="AK1835" s="7" t="n">
        <v>9</v>
      </c>
      <c r="AL1835" s="7" t="n">
        <v>15</v>
      </c>
      <c r="AM1835" s="7" t="n">
        <v>17</v>
      </c>
      <c r="AN1835" s="7" t="n">
        <v>3</v>
      </c>
      <c r="AO1835" s="7" t="n">
        <v>5</v>
      </c>
      <c r="AP1835" s="7" t="n">
        <v>0</v>
      </c>
      <c r="AQ1835" s="7" t="n">
        <v>0</v>
      </c>
      <c r="AR1835" s="6" t="s">
        <v>63</v>
      </c>
      <c r="AS1835" s="6" t="s">
        <v>63</v>
      </c>
      <c r="AT1835" s="28"/>
      <c r="AU1835" s="9" t="str">
        <f aca="false">HYPERLINK("https://creighton-primo.hosted.exlibrisgroup.com/primo-explore/search?tab=default_tab&amp;search_scope=EVERYTHING&amp;vid=01CRU&amp;lang=en_US&amp;offset=0&amp;query=any,contains,991005009829702656","Catalog Record")</f>
        <v>Catalog Record</v>
      </c>
      <c r="AV1835" s="9" t="str">
        <f aca="false">HYPERLINK("http://www.worldcat.org/oclc/6595334","WorldCat Record")</f>
        <v>WorldCat Record</v>
      </c>
      <c r="AW1835" s="6" t="s">
        <v>16088</v>
      </c>
      <c r="AX1835" s="6" t="s">
        <v>16089</v>
      </c>
      <c r="AY1835" s="6" t="s">
        <v>16090</v>
      </c>
      <c r="AZ1835" s="6" t="s">
        <v>16090</v>
      </c>
      <c r="BA1835" s="6" t="s">
        <v>16091</v>
      </c>
      <c r="BB1835" s="6" t="s">
        <v>16092</v>
      </c>
      <c r="BC1835" s="6" t="s">
        <v>16093</v>
      </c>
      <c r="BE1835" s="15" t="s">
        <v>2145</v>
      </c>
      <c r="BF1835" s="6" t="s">
        <v>16094</v>
      </c>
    </row>
    <row r="1836" customFormat="false" ht="554.5" hidden="false" customHeight="false" outlineLevel="0" collapsed="false">
      <c r="A1836" s="26" t="s">
        <v>63</v>
      </c>
      <c r="B1836" s="27" t="s">
        <v>2129</v>
      </c>
      <c r="C1836" s="27" t="s">
        <v>2130</v>
      </c>
      <c r="D1836" s="27" t="s">
        <v>16095</v>
      </c>
      <c r="E1836" s="27" t="s">
        <v>16096</v>
      </c>
      <c r="F1836" s="27" t="s">
        <v>16097</v>
      </c>
      <c r="G1836" s="28"/>
      <c r="H1836" s="6" t="s">
        <v>63</v>
      </c>
      <c r="I1836" s="6" t="s">
        <v>62</v>
      </c>
      <c r="J1836" s="6" t="s">
        <v>63</v>
      </c>
      <c r="K1836" s="6" t="s">
        <v>63</v>
      </c>
      <c r="L1836" s="6" t="s">
        <v>64</v>
      </c>
      <c r="M1836" s="27" t="s">
        <v>16098</v>
      </c>
      <c r="N1836" s="27" t="s">
        <v>16099</v>
      </c>
      <c r="O1836" s="6" t="s">
        <v>4500</v>
      </c>
      <c r="P1836" s="28"/>
      <c r="Q1836" s="6" t="s">
        <v>67</v>
      </c>
      <c r="R1836" s="6" t="s">
        <v>68</v>
      </c>
      <c r="S1836" s="28"/>
      <c r="T1836" s="6" t="s">
        <v>6138</v>
      </c>
      <c r="U1836" s="7" t="n">
        <v>2</v>
      </c>
      <c r="V1836" s="7" t="n">
        <v>2</v>
      </c>
      <c r="W1836" s="8" t="s">
        <v>16100</v>
      </c>
      <c r="X1836" s="8" t="s">
        <v>16100</v>
      </c>
      <c r="Y1836" s="8" t="s">
        <v>16101</v>
      </c>
      <c r="Z1836" s="8" t="s">
        <v>16101</v>
      </c>
      <c r="AA1836" s="7" t="n">
        <v>435</v>
      </c>
      <c r="AB1836" s="7" t="n">
        <v>391</v>
      </c>
      <c r="AC1836" s="7" t="n">
        <v>423</v>
      </c>
      <c r="AD1836" s="7" t="n">
        <v>2</v>
      </c>
      <c r="AE1836" s="7" t="n">
        <v>2</v>
      </c>
      <c r="AF1836" s="7" t="n">
        <v>25</v>
      </c>
      <c r="AG1836" s="7" t="n">
        <v>26</v>
      </c>
      <c r="AH1836" s="7" t="n">
        <v>7</v>
      </c>
      <c r="AI1836" s="7" t="n">
        <v>8</v>
      </c>
      <c r="AJ1836" s="7" t="n">
        <v>7</v>
      </c>
      <c r="AK1836" s="7" t="n">
        <v>7</v>
      </c>
      <c r="AL1836" s="7" t="n">
        <v>17</v>
      </c>
      <c r="AM1836" s="7" t="n">
        <v>17</v>
      </c>
      <c r="AN1836" s="7" t="n">
        <v>1</v>
      </c>
      <c r="AO1836" s="7" t="n">
        <v>1</v>
      </c>
      <c r="AP1836" s="7" t="n">
        <v>0</v>
      </c>
      <c r="AQ1836" s="7" t="n">
        <v>0</v>
      </c>
      <c r="AR1836" s="6" t="s">
        <v>63</v>
      </c>
      <c r="AS1836" s="6" t="s">
        <v>57</v>
      </c>
      <c r="AT1836" s="9" t="str">
        <f aca="false">HYPERLINK("http://catalog.hathitrust.org/Record/001181789","HathiTrust Record")</f>
        <v>HathiTrust Record</v>
      </c>
      <c r="AU1836" s="9" t="str">
        <f aca="false">HYPERLINK("https://creighton-primo.hosted.exlibrisgroup.com/primo-explore/search?tab=default_tab&amp;search_scope=EVERYTHING&amp;vid=01CRU&amp;lang=en_US&amp;offset=0&amp;query=any,contains,991002555299702656","Catalog Record")</f>
        <v>Catalog Record</v>
      </c>
      <c r="AV1836" s="9" t="str">
        <f aca="false">HYPERLINK("http://www.worldcat.org/oclc/1662948","WorldCat Record")</f>
        <v>WorldCat Record</v>
      </c>
      <c r="AW1836" s="6" t="s">
        <v>16102</v>
      </c>
      <c r="AX1836" s="6" t="s">
        <v>16103</v>
      </c>
      <c r="AY1836" s="6" t="s">
        <v>16104</v>
      </c>
      <c r="AZ1836" s="6" t="s">
        <v>16104</v>
      </c>
      <c r="BA1836" s="6" t="s">
        <v>16105</v>
      </c>
      <c r="BB1836" s="28"/>
      <c r="BC1836" s="6" t="s">
        <v>16106</v>
      </c>
      <c r="BE1836" s="15" t="s">
        <v>2145</v>
      </c>
      <c r="BF1836" s="6" t="s">
        <v>16107</v>
      </c>
    </row>
    <row r="1837" customFormat="false" ht="186" hidden="false" customHeight="false" outlineLevel="0" collapsed="false">
      <c r="A1837" s="26" t="s">
        <v>63</v>
      </c>
      <c r="B1837" s="27" t="s">
        <v>2129</v>
      </c>
      <c r="C1837" s="27" t="s">
        <v>2130</v>
      </c>
      <c r="D1837" s="27" t="s">
        <v>16108</v>
      </c>
      <c r="E1837" s="27" t="s">
        <v>16109</v>
      </c>
      <c r="F1837" s="27" t="s">
        <v>16110</v>
      </c>
      <c r="G1837" s="28"/>
      <c r="H1837" s="6" t="s">
        <v>63</v>
      </c>
      <c r="I1837" s="6" t="s">
        <v>62</v>
      </c>
      <c r="J1837" s="6" t="s">
        <v>63</v>
      </c>
      <c r="K1837" s="6" t="s">
        <v>63</v>
      </c>
      <c r="L1837" s="6" t="s">
        <v>64</v>
      </c>
      <c r="M1837" s="27" t="s">
        <v>16098</v>
      </c>
      <c r="N1837" s="27" t="s">
        <v>16111</v>
      </c>
      <c r="O1837" s="6" t="s">
        <v>4869</v>
      </c>
      <c r="P1837" s="28"/>
      <c r="Q1837" s="6" t="s">
        <v>67</v>
      </c>
      <c r="R1837" s="6" t="s">
        <v>68</v>
      </c>
      <c r="S1837" s="27" t="s">
        <v>16112</v>
      </c>
      <c r="T1837" s="6" t="s">
        <v>6138</v>
      </c>
      <c r="U1837" s="7" t="n">
        <v>2</v>
      </c>
      <c r="V1837" s="7" t="n">
        <v>2</v>
      </c>
      <c r="W1837" s="8" t="s">
        <v>72</v>
      </c>
      <c r="X1837" s="8" t="s">
        <v>72</v>
      </c>
      <c r="Y1837" s="8" t="s">
        <v>16101</v>
      </c>
      <c r="Z1837" s="8" t="s">
        <v>16101</v>
      </c>
      <c r="AA1837" s="7" t="n">
        <v>668</v>
      </c>
      <c r="AB1837" s="7" t="n">
        <v>605</v>
      </c>
      <c r="AC1837" s="7" t="n">
        <v>611</v>
      </c>
      <c r="AD1837" s="7" t="n">
        <v>4</v>
      </c>
      <c r="AE1837" s="7" t="n">
        <v>4</v>
      </c>
      <c r="AF1837" s="7" t="n">
        <v>30</v>
      </c>
      <c r="AG1837" s="7" t="n">
        <v>30</v>
      </c>
      <c r="AH1837" s="7" t="n">
        <v>11</v>
      </c>
      <c r="AI1837" s="7" t="n">
        <v>11</v>
      </c>
      <c r="AJ1837" s="7" t="n">
        <v>7</v>
      </c>
      <c r="AK1837" s="7" t="n">
        <v>7</v>
      </c>
      <c r="AL1837" s="7" t="n">
        <v>18</v>
      </c>
      <c r="AM1837" s="7" t="n">
        <v>18</v>
      </c>
      <c r="AN1837" s="7" t="n">
        <v>2</v>
      </c>
      <c r="AO1837" s="7" t="n">
        <v>2</v>
      </c>
      <c r="AP1837" s="7" t="n">
        <v>0</v>
      </c>
      <c r="AQ1837" s="7" t="n">
        <v>0</v>
      </c>
      <c r="AR1837" s="6" t="s">
        <v>63</v>
      </c>
      <c r="AS1837" s="6" t="s">
        <v>57</v>
      </c>
      <c r="AT1837" s="9" t="str">
        <f aca="false">HYPERLINK("http://catalog.hathitrust.org/Record/001381185","HathiTrust Record")</f>
        <v>HathiTrust Record</v>
      </c>
      <c r="AU1837" s="9" t="str">
        <f aca="false">HYPERLINK("https://creighton-primo.hosted.exlibrisgroup.com/primo-explore/search?tab=default_tab&amp;search_scope=EVERYTHING&amp;vid=01CRU&amp;lang=en_US&amp;offset=0&amp;query=any,contains,991002287129702656","Catalog Record")</f>
        <v>Catalog Record</v>
      </c>
      <c r="AV1837" s="9" t="str">
        <f aca="false">HYPERLINK("http://www.worldcat.org/oclc/311781","WorldCat Record")</f>
        <v>WorldCat Record</v>
      </c>
      <c r="AW1837" s="6" t="s">
        <v>16113</v>
      </c>
      <c r="AX1837" s="6" t="s">
        <v>16114</v>
      </c>
      <c r="AY1837" s="6" t="s">
        <v>16115</v>
      </c>
      <c r="AZ1837" s="6" t="s">
        <v>16115</v>
      </c>
      <c r="BA1837" s="6" t="s">
        <v>16116</v>
      </c>
      <c r="BB1837" s="28"/>
      <c r="BC1837" s="6" t="s">
        <v>16117</v>
      </c>
      <c r="BE1837" s="15" t="s">
        <v>2145</v>
      </c>
      <c r="BF1837" s="6" t="s">
        <v>16118</v>
      </c>
    </row>
    <row r="1838" customFormat="false" ht="128.5" hidden="false" customHeight="false" outlineLevel="0" collapsed="false">
      <c r="A1838" s="26" t="s">
        <v>63</v>
      </c>
      <c r="B1838" s="27" t="s">
        <v>2129</v>
      </c>
      <c r="C1838" s="27" t="s">
        <v>2130</v>
      </c>
      <c r="D1838" s="27" t="s">
        <v>16119</v>
      </c>
      <c r="E1838" s="27" t="s">
        <v>16120</v>
      </c>
      <c r="F1838" s="27" t="s">
        <v>16121</v>
      </c>
      <c r="G1838" s="28"/>
      <c r="H1838" s="6" t="s">
        <v>63</v>
      </c>
      <c r="I1838" s="6" t="s">
        <v>62</v>
      </c>
      <c r="J1838" s="6" t="s">
        <v>63</v>
      </c>
      <c r="K1838" s="6" t="s">
        <v>63</v>
      </c>
      <c r="L1838" s="6" t="s">
        <v>64</v>
      </c>
      <c r="M1838" s="27" t="s">
        <v>16122</v>
      </c>
      <c r="N1838" s="27" t="s">
        <v>16123</v>
      </c>
      <c r="O1838" s="6" t="s">
        <v>3648</v>
      </c>
      <c r="P1838" s="28"/>
      <c r="Q1838" s="6" t="s">
        <v>67</v>
      </c>
      <c r="R1838" s="6" t="s">
        <v>384</v>
      </c>
      <c r="S1838" s="27" t="s">
        <v>16124</v>
      </c>
      <c r="T1838" s="6" t="s">
        <v>6138</v>
      </c>
      <c r="U1838" s="7" t="n">
        <v>4</v>
      </c>
      <c r="V1838" s="7" t="n">
        <v>4</v>
      </c>
      <c r="W1838" s="8" t="s">
        <v>3275</v>
      </c>
      <c r="X1838" s="8" t="s">
        <v>3275</v>
      </c>
      <c r="Y1838" s="8" t="s">
        <v>16101</v>
      </c>
      <c r="Z1838" s="8" t="s">
        <v>16101</v>
      </c>
      <c r="AA1838" s="7" t="n">
        <v>173</v>
      </c>
      <c r="AB1838" s="7" t="n">
        <v>109</v>
      </c>
      <c r="AC1838" s="7" t="n">
        <v>269</v>
      </c>
      <c r="AD1838" s="7" t="n">
        <v>1</v>
      </c>
      <c r="AE1838" s="7" t="n">
        <v>2</v>
      </c>
      <c r="AF1838" s="7" t="n">
        <v>6</v>
      </c>
      <c r="AG1838" s="7" t="n">
        <v>23</v>
      </c>
      <c r="AH1838" s="7" t="n">
        <v>1</v>
      </c>
      <c r="AI1838" s="7" t="n">
        <v>6</v>
      </c>
      <c r="AJ1838" s="7" t="n">
        <v>4</v>
      </c>
      <c r="AK1838" s="7" t="n">
        <v>9</v>
      </c>
      <c r="AL1838" s="7" t="n">
        <v>3</v>
      </c>
      <c r="AM1838" s="7" t="n">
        <v>15</v>
      </c>
      <c r="AN1838" s="7" t="n">
        <v>0</v>
      </c>
      <c r="AO1838" s="7" t="n">
        <v>1</v>
      </c>
      <c r="AP1838" s="7" t="n">
        <v>0</v>
      </c>
      <c r="AQ1838" s="7" t="n">
        <v>0</v>
      </c>
      <c r="AR1838" s="6" t="s">
        <v>63</v>
      </c>
      <c r="AS1838" s="6" t="s">
        <v>63</v>
      </c>
      <c r="AT1838" s="9" t="str">
        <f aca="false">HYPERLINK("http://catalog.hathitrust.org/Record/001381187","HathiTrust Record")</f>
        <v>HathiTrust Record</v>
      </c>
      <c r="AU1838" s="9" t="str">
        <f aca="false">HYPERLINK("https://creighton-primo.hosted.exlibrisgroup.com/primo-explore/search?tab=default_tab&amp;search_scope=EVERYTHING&amp;vid=01CRU&amp;lang=en_US&amp;offset=0&amp;query=any,contains,991000157149702656","Catalog Record")</f>
        <v>Catalog Record</v>
      </c>
      <c r="AV1838" s="9" t="str">
        <f aca="false">HYPERLINK("http://www.worldcat.org/oclc/1831096","WorldCat Record")</f>
        <v>WorldCat Record</v>
      </c>
      <c r="AW1838" s="6" t="s">
        <v>16125</v>
      </c>
      <c r="AX1838" s="6" t="s">
        <v>16126</v>
      </c>
      <c r="AY1838" s="6" t="s">
        <v>16127</v>
      </c>
      <c r="AZ1838" s="6" t="s">
        <v>16127</v>
      </c>
      <c r="BA1838" s="6" t="s">
        <v>16128</v>
      </c>
      <c r="BB1838" s="28"/>
      <c r="BC1838" s="6" t="s">
        <v>16129</v>
      </c>
      <c r="BE1838" s="15" t="s">
        <v>2145</v>
      </c>
      <c r="BF1838" s="6" t="s">
        <v>16130</v>
      </c>
    </row>
    <row r="1839" customFormat="false" ht="94" hidden="false" customHeight="false" outlineLevel="0" collapsed="false">
      <c r="A1839" s="26" t="s">
        <v>63</v>
      </c>
      <c r="B1839" s="27" t="s">
        <v>2129</v>
      </c>
      <c r="C1839" s="27" t="s">
        <v>2130</v>
      </c>
      <c r="D1839" s="27" t="s">
        <v>16131</v>
      </c>
      <c r="E1839" s="27" t="s">
        <v>16132</v>
      </c>
      <c r="F1839" s="27" t="s">
        <v>16133</v>
      </c>
      <c r="G1839" s="28"/>
      <c r="H1839" s="6" t="s">
        <v>63</v>
      </c>
      <c r="I1839" s="6" t="s">
        <v>62</v>
      </c>
      <c r="J1839" s="6" t="s">
        <v>63</v>
      </c>
      <c r="K1839" s="6" t="s">
        <v>63</v>
      </c>
      <c r="L1839" s="6" t="s">
        <v>64</v>
      </c>
      <c r="M1839" s="27" t="s">
        <v>16134</v>
      </c>
      <c r="N1839" s="27" t="s">
        <v>16135</v>
      </c>
      <c r="O1839" s="6" t="s">
        <v>2797</v>
      </c>
      <c r="P1839" s="28"/>
      <c r="Q1839" s="6" t="s">
        <v>67</v>
      </c>
      <c r="R1839" s="6" t="s">
        <v>1059</v>
      </c>
      <c r="S1839" s="28"/>
      <c r="T1839" s="6" t="s">
        <v>6138</v>
      </c>
      <c r="U1839" s="7" t="n">
        <v>1</v>
      </c>
      <c r="V1839" s="7" t="n">
        <v>1</v>
      </c>
      <c r="W1839" s="8" t="s">
        <v>15029</v>
      </c>
      <c r="X1839" s="8" t="s">
        <v>15029</v>
      </c>
      <c r="Y1839" s="8" t="s">
        <v>16101</v>
      </c>
      <c r="Z1839" s="8" t="s">
        <v>16101</v>
      </c>
      <c r="AA1839" s="7" t="n">
        <v>938</v>
      </c>
      <c r="AB1839" s="7" t="n">
        <v>843</v>
      </c>
      <c r="AC1839" s="7" t="n">
        <v>860</v>
      </c>
      <c r="AD1839" s="7" t="n">
        <v>6</v>
      </c>
      <c r="AE1839" s="7" t="n">
        <v>6</v>
      </c>
      <c r="AF1839" s="7" t="n">
        <v>46</v>
      </c>
      <c r="AG1839" s="7" t="n">
        <v>47</v>
      </c>
      <c r="AH1839" s="7" t="n">
        <v>18</v>
      </c>
      <c r="AI1839" s="7" t="n">
        <v>19</v>
      </c>
      <c r="AJ1839" s="7" t="n">
        <v>10</v>
      </c>
      <c r="AK1839" s="7" t="n">
        <v>10</v>
      </c>
      <c r="AL1839" s="7" t="n">
        <v>26</v>
      </c>
      <c r="AM1839" s="7" t="n">
        <v>27</v>
      </c>
      <c r="AN1839" s="7" t="n">
        <v>4</v>
      </c>
      <c r="AO1839" s="7" t="n">
        <v>4</v>
      </c>
      <c r="AP1839" s="7" t="n">
        <v>0</v>
      </c>
      <c r="AQ1839" s="7" t="n">
        <v>0</v>
      </c>
      <c r="AR1839" s="6" t="s">
        <v>63</v>
      </c>
      <c r="AS1839" s="6" t="s">
        <v>63</v>
      </c>
      <c r="AT1839" s="28"/>
      <c r="AU1839" s="9" t="str">
        <f aca="false">HYPERLINK("https://creighton-primo.hosted.exlibrisgroup.com/primo-explore/search?tab=default_tab&amp;search_scope=EVERYTHING&amp;vid=01CRU&amp;lang=en_US&amp;offset=0&amp;query=any,contains,991002325759702656","Catalog Record")</f>
        <v>Catalog Record</v>
      </c>
      <c r="AV1839" s="9" t="str">
        <f aca="false">HYPERLINK("http://www.worldcat.org/oclc/320798","WorldCat Record")</f>
        <v>WorldCat Record</v>
      </c>
      <c r="AW1839" s="6" t="s">
        <v>16136</v>
      </c>
      <c r="AX1839" s="6" t="s">
        <v>16137</v>
      </c>
      <c r="AY1839" s="6" t="s">
        <v>16138</v>
      </c>
      <c r="AZ1839" s="6" t="s">
        <v>16138</v>
      </c>
      <c r="BA1839" s="6" t="s">
        <v>16139</v>
      </c>
      <c r="BB1839" s="28"/>
      <c r="BC1839" s="6" t="s">
        <v>16140</v>
      </c>
      <c r="BE1839" s="15" t="s">
        <v>2145</v>
      </c>
      <c r="BF1839" s="6" t="s">
        <v>16141</v>
      </c>
    </row>
    <row r="1840" customFormat="false" ht="140" hidden="false" customHeight="false" outlineLevel="0" collapsed="false">
      <c r="A1840" s="26" t="s">
        <v>63</v>
      </c>
      <c r="B1840" s="27" t="s">
        <v>2129</v>
      </c>
      <c r="C1840" s="27" t="s">
        <v>2130</v>
      </c>
      <c r="D1840" s="27" t="s">
        <v>16142</v>
      </c>
      <c r="E1840" s="27" t="s">
        <v>16143</v>
      </c>
      <c r="F1840" s="27" t="s">
        <v>16144</v>
      </c>
      <c r="G1840" s="28"/>
      <c r="H1840" s="6" t="s">
        <v>63</v>
      </c>
      <c r="I1840" s="6" t="s">
        <v>62</v>
      </c>
      <c r="J1840" s="6" t="s">
        <v>63</v>
      </c>
      <c r="K1840" s="6" t="s">
        <v>63</v>
      </c>
      <c r="L1840" s="6" t="s">
        <v>64</v>
      </c>
      <c r="M1840" s="27" t="s">
        <v>16145</v>
      </c>
      <c r="N1840" s="27" t="s">
        <v>16146</v>
      </c>
      <c r="O1840" s="6" t="s">
        <v>2467</v>
      </c>
      <c r="P1840" s="28"/>
      <c r="Q1840" s="6" t="s">
        <v>67</v>
      </c>
      <c r="R1840" s="6" t="s">
        <v>5017</v>
      </c>
      <c r="S1840" s="28"/>
      <c r="T1840" s="6" t="s">
        <v>6138</v>
      </c>
      <c r="U1840" s="7" t="n">
        <v>3</v>
      </c>
      <c r="V1840" s="7" t="n">
        <v>3</v>
      </c>
      <c r="W1840" s="8" t="s">
        <v>15029</v>
      </c>
      <c r="X1840" s="8" t="s">
        <v>15029</v>
      </c>
      <c r="Y1840" s="8" t="s">
        <v>16101</v>
      </c>
      <c r="Z1840" s="8" t="s">
        <v>16101</v>
      </c>
      <c r="AA1840" s="7" t="n">
        <v>542</v>
      </c>
      <c r="AB1840" s="7" t="n">
        <v>455</v>
      </c>
      <c r="AC1840" s="7" t="n">
        <v>549</v>
      </c>
      <c r="AD1840" s="7" t="n">
        <v>2</v>
      </c>
      <c r="AE1840" s="7" t="n">
        <v>3</v>
      </c>
      <c r="AF1840" s="7" t="n">
        <v>28</v>
      </c>
      <c r="AG1840" s="7" t="n">
        <v>34</v>
      </c>
      <c r="AH1840" s="7" t="n">
        <v>9</v>
      </c>
      <c r="AI1840" s="7" t="n">
        <v>13</v>
      </c>
      <c r="AJ1840" s="7" t="n">
        <v>8</v>
      </c>
      <c r="AK1840" s="7" t="n">
        <v>9</v>
      </c>
      <c r="AL1840" s="7" t="n">
        <v>21</v>
      </c>
      <c r="AM1840" s="7" t="n">
        <v>22</v>
      </c>
      <c r="AN1840" s="7" t="n">
        <v>1</v>
      </c>
      <c r="AO1840" s="7" t="n">
        <v>2</v>
      </c>
      <c r="AP1840" s="7" t="n">
        <v>0</v>
      </c>
      <c r="AQ1840" s="7" t="n">
        <v>0</v>
      </c>
      <c r="AR1840" s="6" t="s">
        <v>63</v>
      </c>
      <c r="AS1840" s="6" t="s">
        <v>57</v>
      </c>
      <c r="AT1840" s="9" t="str">
        <f aca="false">HYPERLINK("http://catalog.hathitrust.org/Record/001913769","HathiTrust Record")</f>
        <v>HathiTrust Record</v>
      </c>
      <c r="AU1840" s="9" t="str">
        <f aca="false">HYPERLINK("https://creighton-primo.hosted.exlibrisgroup.com/primo-explore/search?tab=default_tab&amp;search_scope=EVERYTHING&amp;vid=01CRU&amp;lang=en_US&amp;offset=0&amp;query=any,contains,991003169749702656","Catalog Record")</f>
        <v>Catalog Record</v>
      </c>
      <c r="AV1840" s="9" t="str">
        <f aca="false">HYPERLINK("http://www.worldcat.org/oclc/706395","WorldCat Record")</f>
        <v>WorldCat Record</v>
      </c>
      <c r="AW1840" s="6" t="s">
        <v>16147</v>
      </c>
      <c r="AX1840" s="6" t="s">
        <v>16148</v>
      </c>
      <c r="AY1840" s="6" t="s">
        <v>16149</v>
      </c>
      <c r="AZ1840" s="6" t="s">
        <v>16149</v>
      </c>
      <c r="BA1840" s="6" t="s">
        <v>16150</v>
      </c>
      <c r="BB1840" s="28"/>
      <c r="BC1840" s="6" t="s">
        <v>16151</v>
      </c>
      <c r="BE1840" s="15" t="s">
        <v>2145</v>
      </c>
      <c r="BF1840" s="6" t="s">
        <v>16152</v>
      </c>
    </row>
    <row r="1841" customFormat="false" ht="59.5" hidden="false" customHeight="false" outlineLevel="0" collapsed="false">
      <c r="A1841" s="26" t="s">
        <v>63</v>
      </c>
      <c r="B1841" s="27" t="s">
        <v>2129</v>
      </c>
      <c r="C1841" s="27" t="s">
        <v>2130</v>
      </c>
      <c r="D1841" s="27" t="s">
        <v>16153</v>
      </c>
      <c r="E1841" s="27" t="s">
        <v>16154</v>
      </c>
      <c r="F1841" s="27" t="s">
        <v>16155</v>
      </c>
      <c r="G1841" s="28"/>
      <c r="H1841" s="6" t="s">
        <v>63</v>
      </c>
      <c r="I1841" s="6" t="s">
        <v>62</v>
      </c>
      <c r="J1841" s="6" t="s">
        <v>63</v>
      </c>
      <c r="K1841" s="6" t="s">
        <v>63</v>
      </c>
      <c r="L1841" s="6" t="s">
        <v>64</v>
      </c>
      <c r="M1841" s="27" t="s">
        <v>16156</v>
      </c>
      <c r="N1841" s="27" t="s">
        <v>16157</v>
      </c>
      <c r="O1841" s="6" t="s">
        <v>4869</v>
      </c>
      <c r="P1841" s="28"/>
      <c r="Q1841" s="6" t="s">
        <v>67</v>
      </c>
      <c r="R1841" s="6" t="s">
        <v>123</v>
      </c>
      <c r="S1841" s="28"/>
      <c r="T1841" s="6" t="s">
        <v>6138</v>
      </c>
      <c r="U1841" s="7" t="n">
        <v>1</v>
      </c>
      <c r="V1841" s="7" t="n">
        <v>1</v>
      </c>
      <c r="W1841" s="8" t="s">
        <v>15029</v>
      </c>
      <c r="X1841" s="8" t="s">
        <v>15029</v>
      </c>
      <c r="Y1841" s="8" t="s">
        <v>16101</v>
      </c>
      <c r="Z1841" s="8" t="s">
        <v>16101</v>
      </c>
      <c r="AA1841" s="7" t="n">
        <v>296</v>
      </c>
      <c r="AB1841" s="7" t="n">
        <v>249</v>
      </c>
      <c r="AC1841" s="7" t="n">
        <v>260</v>
      </c>
      <c r="AD1841" s="7" t="n">
        <v>3</v>
      </c>
      <c r="AE1841" s="7" t="n">
        <v>3</v>
      </c>
      <c r="AF1841" s="7" t="n">
        <v>22</v>
      </c>
      <c r="AG1841" s="7" t="n">
        <v>23</v>
      </c>
      <c r="AH1841" s="7" t="n">
        <v>5</v>
      </c>
      <c r="AI1841" s="7" t="n">
        <v>5</v>
      </c>
      <c r="AJ1841" s="7" t="n">
        <v>5</v>
      </c>
      <c r="AK1841" s="7" t="n">
        <v>6</v>
      </c>
      <c r="AL1841" s="7" t="n">
        <v>13</v>
      </c>
      <c r="AM1841" s="7" t="n">
        <v>14</v>
      </c>
      <c r="AN1841" s="7" t="n">
        <v>2</v>
      </c>
      <c r="AO1841" s="7" t="n">
        <v>2</v>
      </c>
      <c r="AP1841" s="7" t="n">
        <v>0</v>
      </c>
      <c r="AQ1841" s="7" t="n">
        <v>0</v>
      </c>
      <c r="AR1841" s="6" t="s">
        <v>63</v>
      </c>
      <c r="AS1841" s="6" t="s">
        <v>63</v>
      </c>
      <c r="AT1841" s="9" t="str">
        <f aca="false">HYPERLINK("http://catalog.hathitrust.org/Record/001381203","HathiTrust Record")</f>
        <v>HathiTrust Record</v>
      </c>
      <c r="AU1841" s="9" t="str">
        <f aca="false">HYPERLINK("https://creighton-primo.hosted.exlibrisgroup.com/primo-explore/search?tab=default_tab&amp;search_scope=EVERYTHING&amp;vid=01CRU&amp;lang=en_US&amp;offset=0&amp;query=any,contains,991003861139702656","Catalog Record")</f>
        <v>Catalog Record</v>
      </c>
      <c r="AV1841" s="9" t="str">
        <f aca="false">HYPERLINK("http://www.worldcat.org/oclc/1666268","WorldCat Record")</f>
        <v>WorldCat Record</v>
      </c>
      <c r="AW1841" s="6" t="s">
        <v>16158</v>
      </c>
      <c r="AX1841" s="6" t="s">
        <v>16159</v>
      </c>
      <c r="AY1841" s="6" t="s">
        <v>16160</v>
      </c>
      <c r="AZ1841" s="6" t="s">
        <v>16160</v>
      </c>
      <c r="BA1841" s="6" t="s">
        <v>16161</v>
      </c>
      <c r="BB1841" s="28"/>
      <c r="BC1841" s="6" t="s">
        <v>16162</v>
      </c>
      <c r="BE1841" s="15" t="s">
        <v>2145</v>
      </c>
      <c r="BF1841" s="6" t="s">
        <v>16163</v>
      </c>
    </row>
    <row r="1842" customFormat="false" ht="71" hidden="false" customHeight="false" outlineLevel="0" collapsed="false">
      <c r="A1842" s="26" t="s">
        <v>63</v>
      </c>
      <c r="B1842" s="27" t="s">
        <v>2129</v>
      </c>
      <c r="C1842" s="27" t="s">
        <v>2130</v>
      </c>
      <c r="D1842" s="27" t="s">
        <v>16164</v>
      </c>
      <c r="E1842" s="27" t="s">
        <v>16165</v>
      </c>
      <c r="F1842" s="27" t="s">
        <v>16166</v>
      </c>
      <c r="G1842" s="28"/>
      <c r="H1842" s="6" t="s">
        <v>63</v>
      </c>
      <c r="I1842" s="6" t="s">
        <v>62</v>
      </c>
      <c r="J1842" s="6" t="s">
        <v>63</v>
      </c>
      <c r="K1842" s="6" t="s">
        <v>63</v>
      </c>
      <c r="L1842" s="6" t="s">
        <v>64</v>
      </c>
      <c r="M1842" s="27" t="s">
        <v>16167</v>
      </c>
      <c r="N1842" s="27" t="s">
        <v>16168</v>
      </c>
      <c r="O1842" s="6" t="s">
        <v>2467</v>
      </c>
      <c r="P1842" s="28"/>
      <c r="Q1842" s="6" t="s">
        <v>67</v>
      </c>
      <c r="R1842" s="6" t="s">
        <v>384</v>
      </c>
      <c r="S1842" s="28"/>
      <c r="T1842" s="6" t="s">
        <v>6138</v>
      </c>
      <c r="U1842" s="7" t="n">
        <v>3</v>
      </c>
      <c r="V1842" s="7" t="n">
        <v>3</v>
      </c>
      <c r="W1842" s="8" t="s">
        <v>14376</v>
      </c>
      <c r="X1842" s="8" t="s">
        <v>14376</v>
      </c>
      <c r="Y1842" s="8" t="s">
        <v>16101</v>
      </c>
      <c r="Z1842" s="8" t="s">
        <v>16101</v>
      </c>
      <c r="AA1842" s="7" t="n">
        <v>734</v>
      </c>
      <c r="AB1842" s="7" t="n">
        <v>567</v>
      </c>
      <c r="AC1842" s="7" t="n">
        <v>629</v>
      </c>
      <c r="AD1842" s="7" t="n">
        <v>3</v>
      </c>
      <c r="AE1842" s="7" t="n">
        <v>3</v>
      </c>
      <c r="AF1842" s="7" t="n">
        <v>31</v>
      </c>
      <c r="AG1842" s="7" t="n">
        <v>33</v>
      </c>
      <c r="AH1842" s="7" t="n">
        <v>14</v>
      </c>
      <c r="AI1842" s="7" t="n">
        <v>15</v>
      </c>
      <c r="AJ1842" s="7" t="n">
        <v>7</v>
      </c>
      <c r="AK1842" s="7" t="n">
        <v>7</v>
      </c>
      <c r="AL1842" s="7" t="n">
        <v>17</v>
      </c>
      <c r="AM1842" s="7" t="n">
        <v>19</v>
      </c>
      <c r="AN1842" s="7" t="n">
        <v>2</v>
      </c>
      <c r="AO1842" s="7" t="n">
        <v>2</v>
      </c>
      <c r="AP1842" s="7" t="n">
        <v>0</v>
      </c>
      <c r="AQ1842" s="7" t="n">
        <v>0</v>
      </c>
      <c r="AR1842" s="6" t="s">
        <v>63</v>
      </c>
      <c r="AS1842" s="6" t="s">
        <v>63</v>
      </c>
      <c r="AT1842" s="28"/>
      <c r="AU1842" s="9" t="str">
        <f aca="false">HYPERLINK("https://creighton-primo.hosted.exlibrisgroup.com/primo-explore/search?tab=default_tab&amp;search_scope=EVERYTHING&amp;vid=01CRU&amp;lang=en_US&amp;offset=0&amp;query=any,contains,991002242069702656","Catalog Record")</f>
        <v>Catalog Record</v>
      </c>
      <c r="AV1842" s="9" t="str">
        <f aca="false">HYPERLINK("http://www.worldcat.org/oclc/297191","WorldCat Record")</f>
        <v>WorldCat Record</v>
      </c>
      <c r="AW1842" s="6" t="s">
        <v>16169</v>
      </c>
      <c r="AX1842" s="6" t="s">
        <v>16170</v>
      </c>
      <c r="AY1842" s="6" t="s">
        <v>16171</v>
      </c>
      <c r="AZ1842" s="6" t="s">
        <v>16171</v>
      </c>
      <c r="BA1842" s="6" t="s">
        <v>16172</v>
      </c>
      <c r="BB1842" s="28"/>
      <c r="BC1842" s="6" t="s">
        <v>16173</v>
      </c>
      <c r="BE1842" s="15" t="s">
        <v>2145</v>
      </c>
      <c r="BF1842" s="6" t="s">
        <v>16174</v>
      </c>
    </row>
    <row r="1843" customFormat="false" ht="71" hidden="false" customHeight="false" outlineLevel="0" collapsed="false">
      <c r="A1843" s="26" t="s">
        <v>63</v>
      </c>
      <c r="B1843" s="27" t="s">
        <v>2129</v>
      </c>
      <c r="C1843" s="27" t="s">
        <v>2130</v>
      </c>
      <c r="D1843" s="27" t="s">
        <v>16175</v>
      </c>
      <c r="E1843" s="27" t="s">
        <v>16176</v>
      </c>
      <c r="F1843" s="27" t="s">
        <v>16177</v>
      </c>
      <c r="G1843" s="28"/>
      <c r="H1843" s="6" t="s">
        <v>63</v>
      </c>
      <c r="I1843" s="6" t="s">
        <v>62</v>
      </c>
      <c r="J1843" s="6" t="s">
        <v>63</v>
      </c>
      <c r="K1843" s="6" t="s">
        <v>63</v>
      </c>
      <c r="L1843" s="6" t="s">
        <v>64</v>
      </c>
      <c r="M1843" s="27" t="s">
        <v>16178</v>
      </c>
      <c r="N1843" s="27" t="s">
        <v>16179</v>
      </c>
      <c r="O1843" s="6" t="s">
        <v>4500</v>
      </c>
      <c r="P1843" s="28"/>
      <c r="Q1843" s="6" t="s">
        <v>67</v>
      </c>
      <c r="R1843" s="6" t="s">
        <v>68</v>
      </c>
      <c r="S1843" s="28"/>
      <c r="T1843" s="6" t="s">
        <v>6138</v>
      </c>
      <c r="U1843" s="7" t="n">
        <v>2</v>
      </c>
      <c r="V1843" s="7" t="n">
        <v>2</v>
      </c>
      <c r="W1843" s="8" t="s">
        <v>16063</v>
      </c>
      <c r="X1843" s="8" t="s">
        <v>16063</v>
      </c>
      <c r="Y1843" s="8" t="s">
        <v>16064</v>
      </c>
      <c r="Z1843" s="8" t="s">
        <v>16064</v>
      </c>
      <c r="AA1843" s="7" t="n">
        <v>200</v>
      </c>
      <c r="AB1843" s="7" t="n">
        <v>188</v>
      </c>
      <c r="AC1843" s="7" t="n">
        <v>517</v>
      </c>
      <c r="AD1843" s="7" t="n">
        <v>2</v>
      </c>
      <c r="AE1843" s="7" t="n">
        <v>2</v>
      </c>
      <c r="AF1843" s="7" t="n">
        <v>11</v>
      </c>
      <c r="AG1843" s="7" t="n">
        <v>27</v>
      </c>
      <c r="AH1843" s="7" t="n">
        <v>5</v>
      </c>
      <c r="AI1843" s="7" t="n">
        <v>12</v>
      </c>
      <c r="AJ1843" s="7" t="n">
        <v>4</v>
      </c>
      <c r="AK1843" s="7" t="n">
        <v>7</v>
      </c>
      <c r="AL1843" s="7" t="n">
        <v>5</v>
      </c>
      <c r="AM1843" s="7" t="n">
        <v>15</v>
      </c>
      <c r="AN1843" s="7" t="n">
        <v>1</v>
      </c>
      <c r="AO1843" s="7" t="n">
        <v>1</v>
      </c>
      <c r="AP1843" s="7" t="n">
        <v>0</v>
      </c>
      <c r="AQ1843" s="7" t="n">
        <v>0</v>
      </c>
      <c r="AR1843" s="6" t="s">
        <v>63</v>
      </c>
      <c r="AS1843" s="6" t="s">
        <v>63</v>
      </c>
      <c r="AT1843" s="9" t="str">
        <f aca="false">HYPERLINK("http://catalog.hathitrust.org/Record/001395329","HathiTrust Record")</f>
        <v>HathiTrust Record</v>
      </c>
      <c r="AU1843" s="9" t="str">
        <f aca="false">HYPERLINK("https://creighton-primo.hosted.exlibrisgroup.com/primo-explore/search?tab=default_tab&amp;search_scope=EVERYTHING&amp;vid=01CRU&amp;lang=en_US&amp;offset=0&amp;query=any,contains,991003819129702656","Catalog Record")</f>
        <v>Catalog Record</v>
      </c>
      <c r="AV1843" s="9" t="str">
        <f aca="false">HYPERLINK("http://www.worldcat.org/oclc/1555365","WorldCat Record")</f>
        <v>WorldCat Record</v>
      </c>
      <c r="AW1843" s="6" t="s">
        <v>16180</v>
      </c>
      <c r="AX1843" s="6" t="s">
        <v>16181</v>
      </c>
      <c r="AY1843" s="6" t="s">
        <v>16182</v>
      </c>
      <c r="AZ1843" s="6" t="s">
        <v>16182</v>
      </c>
      <c r="BA1843" s="6" t="s">
        <v>16183</v>
      </c>
      <c r="BB1843" s="28"/>
      <c r="BC1843" s="6" t="s">
        <v>16184</v>
      </c>
      <c r="BE1843" s="15" t="s">
        <v>2145</v>
      </c>
      <c r="BF1843" s="6" t="s">
        <v>16185</v>
      </c>
    </row>
    <row r="1844" customFormat="false" ht="163" hidden="false" customHeight="false" outlineLevel="0" collapsed="false">
      <c r="A1844" s="26" t="s">
        <v>57</v>
      </c>
      <c r="B1844" s="27" t="s">
        <v>2129</v>
      </c>
      <c r="C1844" s="27" t="s">
        <v>2130</v>
      </c>
      <c r="D1844" s="27" t="s">
        <v>16186</v>
      </c>
      <c r="E1844" s="27" t="s">
        <v>16187</v>
      </c>
      <c r="F1844" s="27" t="s">
        <v>16188</v>
      </c>
      <c r="G1844" s="28"/>
      <c r="H1844" s="6" t="s">
        <v>63</v>
      </c>
      <c r="I1844" s="6" t="s">
        <v>62</v>
      </c>
      <c r="J1844" s="6" t="s">
        <v>63</v>
      </c>
      <c r="K1844" s="6" t="s">
        <v>63</v>
      </c>
      <c r="L1844" s="6" t="s">
        <v>64</v>
      </c>
      <c r="M1844" s="28"/>
      <c r="N1844" s="27" t="s">
        <v>16189</v>
      </c>
      <c r="O1844" s="6" t="s">
        <v>2262</v>
      </c>
      <c r="P1844" s="28"/>
      <c r="Q1844" s="6" t="s">
        <v>67</v>
      </c>
      <c r="R1844" s="6" t="s">
        <v>384</v>
      </c>
      <c r="S1844" s="28"/>
      <c r="T1844" s="6" t="s">
        <v>6138</v>
      </c>
      <c r="U1844" s="7" t="n">
        <v>1</v>
      </c>
      <c r="V1844" s="7" t="n">
        <v>1</v>
      </c>
      <c r="W1844" s="8" t="s">
        <v>16190</v>
      </c>
      <c r="X1844" s="8" t="s">
        <v>16190</v>
      </c>
      <c r="Y1844" s="8" t="s">
        <v>16064</v>
      </c>
      <c r="Z1844" s="8" t="s">
        <v>16064</v>
      </c>
      <c r="AA1844" s="7" t="n">
        <v>103</v>
      </c>
      <c r="AB1844" s="7" t="n">
        <v>95</v>
      </c>
      <c r="AC1844" s="7" t="n">
        <v>248</v>
      </c>
      <c r="AD1844" s="7" t="n">
        <v>2</v>
      </c>
      <c r="AE1844" s="7" t="n">
        <v>2</v>
      </c>
      <c r="AF1844" s="7" t="n">
        <v>10</v>
      </c>
      <c r="AG1844" s="7" t="n">
        <v>21</v>
      </c>
      <c r="AH1844" s="7" t="n">
        <v>1</v>
      </c>
      <c r="AI1844" s="7" t="n">
        <v>6</v>
      </c>
      <c r="AJ1844" s="7" t="n">
        <v>3</v>
      </c>
      <c r="AK1844" s="7" t="n">
        <v>7</v>
      </c>
      <c r="AL1844" s="7" t="n">
        <v>8</v>
      </c>
      <c r="AM1844" s="7" t="n">
        <v>12</v>
      </c>
      <c r="AN1844" s="7" t="n">
        <v>1</v>
      </c>
      <c r="AO1844" s="7" t="n">
        <v>1</v>
      </c>
      <c r="AP1844" s="7" t="n">
        <v>0</v>
      </c>
      <c r="AQ1844" s="7" t="n">
        <v>0</v>
      </c>
      <c r="AR1844" s="6" t="s">
        <v>63</v>
      </c>
      <c r="AS1844" s="6" t="s">
        <v>63</v>
      </c>
      <c r="AT1844" s="28"/>
      <c r="AU1844" s="9" t="str">
        <f aca="false">HYPERLINK("https://creighton-primo.hosted.exlibrisgroup.com/primo-explore/search?tab=default_tab&amp;search_scope=EVERYTHING&amp;vid=01CRU&amp;lang=en_US&amp;offset=0&amp;query=any,contains,991000776289702656","Catalog Record")</f>
        <v>Catalog Record</v>
      </c>
      <c r="AV1844" s="9" t="str">
        <f aca="false">HYPERLINK("http://www.worldcat.org/oclc/13065022","WorldCat Record")</f>
        <v>WorldCat Record</v>
      </c>
      <c r="AW1844" s="6" t="s">
        <v>16191</v>
      </c>
      <c r="AX1844" s="6" t="s">
        <v>16192</v>
      </c>
      <c r="AY1844" s="6" t="s">
        <v>16193</v>
      </c>
      <c r="AZ1844" s="6" t="s">
        <v>16193</v>
      </c>
      <c r="BA1844" s="6" t="s">
        <v>16194</v>
      </c>
      <c r="BB1844" s="6" t="s">
        <v>16195</v>
      </c>
      <c r="BC1844" s="6" t="s">
        <v>16196</v>
      </c>
      <c r="BE1844" s="15" t="s">
        <v>2145</v>
      </c>
      <c r="BF1844" s="6" t="s">
        <v>16197</v>
      </c>
    </row>
    <row r="1845" customFormat="false" ht="163" hidden="false" customHeight="false" outlineLevel="0" collapsed="false">
      <c r="A1845" s="26" t="s">
        <v>63</v>
      </c>
      <c r="B1845" s="27" t="s">
        <v>2129</v>
      </c>
      <c r="C1845" s="27" t="s">
        <v>2130</v>
      </c>
      <c r="D1845" s="27" t="s">
        <v>16198</v>
      </c>
      <c r="E1845" s="27" t="s">
        <v>16199</v>
      </c>
      <c r="F1845" s="27" t="s">
        <v>16200</v>
      </c>
      <c r="G1845" s="28"/>
      <c r="H1845" s="6" t="s">
        <v>63</v>
      </c>
      <c r="I1845" s="6" t="s">
        <v>62</v>
      </c>
      <c r="J1845" s="6" t="s">
        <v>63</v>
      </c>
      <c r="K1845" s="6" t="s">
        <v>63</v>
      </c>
      <c r="L1845" s="6" t="s">
        <v>64</v>
      </c>
      <c r="M1845" s="28"/>
      <c r="N1845" s="27" t="s">
        <v>16201</v>
      </c>
      <c r="O1845" s="6" t="s">
        <v>15945</v>
      </c>
      <c r="P1845" s="28"/>
      <c r="Q1845" s="6" t="s">
        <v>67</v>
      </c>
      <c r="R1845" s="6" t="s">
        <v>222</v>
      </c>
      <c r="S1845" s="27" t="s">
        <v>16202</v>
      </c>
      <c r="T1845" s="6" t="s">
        <v>6138</v>
      </c>
      <c r="U1845" s="7" t="n">
        <v>3</v>
      </c>
      <c r="V1845" s="7" t="n">
        <v>3</v>
      </c>
      <c r="W1845" s="8" t="s">
        <v>16203</v>
      </c>
      <c r="X1845" s="8" t="s">
        <v>16203</v>
      </c>
      <c r="Y1845" s="8" t="s">
        <v>16203</v>
      </c>
      <c r="Z1845" s="8" t="s">
        <v>16203</v>
      </c>
      <c r="AA1845" s="7" t="n">
        <v>386</v>
      </c>
      <c r="AB1845" s="7" t="n">
        <v>294</v>
      </c>
      <c r="AC1845" s="7" t="n">
        <v>1145</v>
      </c>
      <c r="AD1845" s="7" t="n">
        <v>4</v>
      </c>
      <c r="AE1845" s="7" t="n">
        <v>13</v>
      </c>
      <c r="AF1845" s="7" t="n">
        <v>17</v>
      </c>
      <c r="AG1845" s="7" t="n">
        <v>36</v>
      </c>
      <c r="AH1845" s="7" t="n">
        <v>7</v>
      </c>
      <c r="AI1845" s="7" t="n">
        <v>13</v>
      </c>
      <c r="AJ1845" s="7" t="n">
        <v>4</v>
      </c>
      <c r="AK1845" s="7" t="n">
        <v>6</v>
      </c>
      <c r="AL1845" s="7" t="n">
        <v>8</v>
      </c>
      <c r="AM1845" s="7" t="n">
        <v>13</v>
      </c>
      <c r="AN1845" s="7" t="n">
        <v>3</v>
      </c>
      <c r="AO1845" s="7" t="n">
        <v>10</v>
      </c>
      <c r="AP1845" s="7" t="n">
        <v>0</v>
      </c>
      <c r="AQ1845" s="7" t="n">
        <v>0</v>
      </c>
      <c r="AR1845" s="6" t="s">
        <v>63</v>
      </c>
      <c r="AS1845" s="6" t="s">
        <v>63</v>
      </c>
      <c r="AT1845" s="28"/>
      <c r="AU1845" s="9" t="str">
        <f aca="false">HYPERLINK("https://creighton-primo.hosted.exlibrisgroup.com/primo-explore/search?tab=default_tab&amp;search_scope=EVERYTHING&amp;vid=01CRU&amp;lang=en_US&amp;offset=0&amp;query=any,contains,991003343969702656","Catalog Record")</f>
        <v>Catalog Record</v>
      </c>
      <c r="AV1845" s="9" t="str">
        <f aca="false">HYPERLINK("http://www.worldcat.org/oclc/39060533","WorldCat Record")</f>
        <v>WorldCat Record</v>
      </c>
      <c r="AW1845" s="6" t="s">
        <v>16204</v>
      </c>
      <c r="AX1845" s="6" t="s">
        <v>16205</v>
      </c>
      <c r="AY1845" s="6" t="s">
        <v>16206</v>
      </c>
      <c r="AZ1845" s="6" t="s">
        <v>16206</v>
      </c>
      <c r="BA1845" s="6" t="s">
        <v>16207</v>
      </c>
      <c r="BB1845" s="6" t="s">
        <v>16208</v>
      </c>
      <c r="BC1845" s="6" t="s">
        <v>16209</v>
      </c>
      <c r="BE1845" s="15" t="s">
        <v>2145</v>
      </c>
      <c r="BF1845" s="6" t="s">
        <v>16210</v>
      </c>
    </row>
    <row r="1846" customFormat="false" ht="94" hidden="false" customHeight="false" outlineLevel="0" collapsed="false">
      <c r="A1846" s="26" t="s">
        <v>63</v>
      </c>
      <c r="B1846" s="27" t="s">
        <v>2129</v>
      </c>
      <c r="C1846" s="27" t="s">
        <v>2130</v>
      </c>
      <c r="D1846" s="27" t="s">
        <v>16211</v>
      </c>
      <c r="E1846" s="27" t="s">
        <v>16212</v>
      </c>
      <c r="F1846" s="27" t="s">
        <v>16213</v>
      </c>
      <c r="G1846" s="28"/>
      <c r="H1846" s="6" t="s">
        <v>57</v>
      </c>
      <c r="I1846" s="6" t="s">
        <v>62</v>
      </c>
      <c r="J1846" s="6" t="s">
        <v>63</v>
      </c>
      <c r="K1846" s="6" t="s">
        <v>63</v>
      </c>
      <c r="L1846" s="6" t="s">
        <v>64</v>
      </c>
      <c r="M1846" s="27" t="s">
        <v>16214</v>
      </c>
      <c r="N1846" s="27" t="s">
        <v>16215</v>
      </c>
      <c r="O1846" s="6" t="s">
        <v>180</v>
      </c>
      <c r="P1846" s="27" t="s">
        <v>16216</v>
      </c>
      <c r="Q1846" s="6" t="s">
        <v>67</v>
      </c>
      <c r="R1846" s="6" t="s">
        <v>68</v>
      </c>
      <c r="S1846" s="28"/>
      <c r="T1846" s="6" t="s">
        <v>6138</v>
      </c>
      <c r="U1846" s="7" t="n">
        <v>3</v>
      </c>
      <c r="V1846" s="7" t="n">
        <v>3</v>
      </c>
      <c r="W1846" s="8" t="s">
        <v>16217</v>
      </c>
      <c r="X1846" s="8" t="s">
        <v>16217</v>
      </c>
      <c r="Y1846" s="8" t="s">
        <v>16064</v>
      </c>
      <c r="Z1846" s="8" t="s">
        <v>16064</v>
      </c>
      <c r="AA1846" s="7" t="n">
        <v>583</v>
      </c>
      <c r="AB1846" s="7" t="n">
        <v>546</v>
      </c>
      <c r="AC1846" s="7" t="n">
        <v>758</v>
      </c>
      <c r="AD1846" s="7" t="n">
        <v>4</v>
      </c>
      <c r="AE1846" s="7" t="n">
        <v>5</v>
      </c>
      <c r="AF1846" s="7" t="n">
        <v>20</v>
      </c>
      <c r="AG1846" s="7" t="n">
        <v>30</v>
      </c>
      <c r="AH1846" s="7" t="n">
        <v>9</v>
      </c>
      <c r="AI1846" s="7" t="n">
        <v>12</v>
      </c>
      <c r="AJ1846" s="7" t="n">
        <v>3</v>
      </c>
      <c r="AK1846" s="7" t="n">
        <v>3</v>
      </c>
      <c r="AL1846" s="7" t="n">
        <v>10</v>
      </c>
      <c r="AM1846" s="7" t="n">
        <v>18</v>
      </c>
      <c r="AN1846" s="7" t="n">
        <v>2</v>
      </c>
      <c r="AO1846" s="7" t="n">
        <v>3</v>
      </c>
      <c r="AP1846" s="7" t="n">
        <v>0</v>
      </c>
      <c r="AQ1846" s="7" t="n">
        <v>1</v>
      </c>
      <c r="AR1846" s="6" t="s">
        <v>63</v>
      </c>
      <c r="AS1846" s="6" t="s">
        <v>57</v>
      </c>
      <c r="AT1846" s="9" t="str">
        <f aca="false">HYPERLINK("http://catalog.hathitrust.org/Record/012270636","HathiTrust Record")</f>
        <v>HathiTrust Record</v>
      </c>
      <c r="AU1846" s="9" t="str">
        <f aca="false">HYPERLINK("https://creighton-primo.hosted.exlibrisgroup.com/primo-explore/search?tab=default_tab&amp;search_scope=EVERYTHING&amp;vid=01CRU&amp;lang=en_US&amp;offset=0&amp;query=any,contains,991004288729702656","Catalog Record")</f>
        <v>Catalog Record</v>
      </c>
      <c r="AV1846" s="9" t="str">
        <f aca="false">HYPERLINK("http://www.worldcat.org/oclc/181576","WorldCat Record")</f>
        <v>WorldCat Record</v>
      </c>
      <c r="AW1846" s="6" t="s">
        <v>16218</v>
      </c>
      <c r="AX1846" s="6" t="s">
        <v>16219</v>
      </c>
      <c r="AY1846" s="6" t="s">
        <v>16220</v>
      </c>
      <c r="AZ1846" s="6" t="s">
        <v>16220</v>
      </c>
      <c r="BA1846" s="6" t="s">
        <v>16221</v>
      </c>
      <c r="BB1846" s="28"/>
      <c r="BC1846" s="6" t="s">
        <v>16222</v>
      </c>
      <c r="BE1846" s="15" t="s">
        <v>2145</v>
      </c>
      <c r="BF1846" s="6" t="s">
        <v>16223</v>
      </c>
    </row>
    <row r="1847" customFormat="false" ht="163" hidden="false" customHeight="false" outlineLevel="0" collapsed="false">
      <c r="A1847" s="26" t="s">
        <v>63</v>
      </c>
      <c r="B1847" s="27" t="s">
        <v>2129</v>
      </c>
      <c r="C1847" s="27" t="s">
        <v>2130</v>
      </c>
      <c r="D1847" s="27" t="s">
        <v>16224</v>
      </c>
      <c r="E1847" s="27" t="s">
        <v>16225</v>
      </c>
      <c r="F1847" s="27" t="s">
        <v>16226</v>
      </c>
      <c r="G1847" s="28"/>
      <c r="H1847" s="6" t="s">
        <v>63</v>
      </c>
      <c r="I1847" s="6" t="s">
        <v>62</v>
      </c>
      <c r="J1847" s="6" t="s">
        <v>63</v>
      </c>
      <c r="K1847" s="6" t="s">
        <v>63</v>
      </c>
      <c r="L1847" s="6" t="s">
        <v>64</v>
      </c>
      <c r="M1847" s="27" t="s">
        <v>5425</v>
      </c>
      <c r="N1847" s="27" t="s">
        <v>16227</v>
      </c>
      <c r="O1847" s="6" t="s">
        <v>221</v>
      </c>
      <c r="P1847" s="28"/>
      <c r="Q1847" s="6" t="s">
        <v>67</v>
      </c>
      <c r="R1847" s="6" t="s">
        <v>68</v>
      </c>
      <c r="S1847" s="27" t="s">
        <v>8873</v>
      </c>
      <c r="T1847" s="6" t="s">
        <v>6138</v>
      </c>
      <c r="U1847" s="7" t="n">
        <v>3</v>
      </c>
      <c r="V1847" s="7" t="n">
        <v>3</v>
      </c>
      <c r="W1847" s="8" t="s">
        <v>5427</v>
      </c>
      <c r="X1847" s="8" t="s">
        <v>5427</v>
      </c>
      <c r="Y1847" s="8" t="s">
        <v>16064</v>
      </c>
      <c r="Z1847" s="8" t="s">
        <v>16064</v>
      </c>
      <c r="AA1847" s="7" t="n">
        <v>788</v>
      </c>
      <c r="AB1847" s="7" t="n">
        <v>697</v>
      </c>
      <c r="AC1847" s="7" t="n">
        <v>702</v>
      </c>
      <c r="AD1847" s="7" t="n">
        <v>6</v>
      </c>
      <c r="AE1847" s="7" t="n">
        <v>6</v>
      </c>
      <c r="AF1847" s="7" t="n">
        <v>41</v>
      </c>
      <c r="AG1847" s="7" t="n">
        <v>41</v>
      </c>
      <c r="AH1847" s="7" t="n">
        <v>16</v>
      </c>
      <c r="AI1847" s="7" t="n">
        <v>16</v>
      </c>
      <c r="AJ1847" s="7" t="n">
        <v>9</v>
      </c>
      <c r="AK1847" s="7" t="n">
        <v>9</v>
      </c>
      <c r="AL1847" s="7" t="n">
        <v>23</v>
      </c>
      <c r="AM1847" s="7" t="n">
        <v>23</v>
      </c>
      <c r="AN1847" s="7" t="n">
        <v>4</v>
      </c>
      <c r="AO1847" s="7" t="n">
        <v>4</v>
      </c>
      <c r="AP1847" s="7" t="n">
        <v>1</v>
      </c>
      <c r="AQ1847" s="7" t="n">
        <v>1</v>
      </c>
      <c r="AR1847" s="6" t="s">
        <v>63</v>
      </c>
      <c r="AS1847" s="6" t="s">
        <v>63</v>
      </c>
      <c r="AT1847" s="28"/>
      <c r="AU1847" s="9" t="str">
        <f aca="false">HYPERLINK("https://creighton-primo.hosted.exlibrisgroup.com/primo-explore/search?tab=default_tab&amp;search_scope=EVERYTHING&amp;vid=01CRU&amp;lang=en_US&amp;offset=0&amp;query=any,contains,991000043219702656","Catalog Record")</f>
        <v>Catalog Record</v>
      </c>
      <c r="AV1847" s="9" t="str">
        <f aca="false">HYPERLINK("http://www.worldcat.org/oclc/8667052","WorldCat Record")</f>
        <v>WorldCat Record</v>
      </c>
      <c r="AW1847" s="6" t="s">
        <v>16228</v>
      </c>
      <c r="AX1847" s="6" t="s">
        <v>16229</v>
      </c>
      <c r="AY1847" s="6" t="s">
        <v>16230</v>
      </c>
      <c r="AZ1847" s="6" t="s">
        <v>16230</v>
      </c>
      <c r="BA1847" s="6" t="s">
        <v>16231</v>
      </c>
      <c r="BB1847" s="6" t="s">
        <v>16232</v>
      </c>
      <c r="BC1847" s="6" t="s">
        <v>16233</v>
      </c>
      <c r="BE1847" s="15" t="s">
        <v>2145</v>
      </c>
      <c r="BF1847" s="6" t="s">
        <v>16234</v>
      </c>
    </row>
    <row r="1848" customFormat="false" ht="71" hidden="false" customHeight="false" outlineLevel="0" collapsed="false">
      <c r="A1848" s="26" t="s">
        <v>63</v>
      </c>
      <c r="B1848" s="27" t="s">
        <v>2129</v>
      </c>
      <c r="C1848" s="27" t="s">
        <v>2130</v>
      </c>
      <c r="D1848" s="27" t="s">
        <v>16235</v>
      </c>
      <c r="E1848" s="27" t="s">
        <v>16236</v>
      </c>
      <c r="F1848" s="27" t="s">
        <v>16237</v>
      </c>
      <c r="G1848" s="28"/>
      <c r="H1848" s="6" t="s">
        <v>63</v>
      </c>
      <c r="I1848" s="6" t="s">
        <v>62</v>
      </c>
      <c r="J1848" s="6" t="s">
        <v>63</v>
      </c>
      <c r="K1848" s="6" t="s">
        <v>63</v>
      </c>
      <c r="L1848" s="6" t="s">
        <v>64</v>
      </c>
      <c r="M1848" s="27" t="s">
        <v>16238</v>
      </c>
      <c r="N1848" s="27" t="s">
        <v>16239</v>
      </c>
      <c r="O1848" s="6" t="s">
        <v>208</v>
      </c>
      <c r="P1848" s="28"/>
      <c r="Q1848" s="6" t="s">
        <v>67</v>
      </c>
      <c r="R1848" s="6" t="s">
        <v>384</v>
      </c>
      <c r="S1848" s="28"/>
      <c r="T1848" s="6" t="s">
        <v>6138</v>
      </c>
      <c r="U1848" s="7" t="n">
        <v>5</v>
      </c>
      <c r="V1848" s="7" t="n">
        <v>5</v>
      </c>
      <c r="W1848" s="8" t="s">
        <v>2250</v>
      </c>
      <c r="X1848" s="8" t="s">
        <v>2250</v>
      </c>
      <c r="Y1848" s="8" t="s">
        <v>16064</v>
      </c>
      <c r="Z1848" s="8" t="s">
        <v>16064</v>
      </c>
      <c r="AA1848" s="7" t="n">
        <v>984</v>
      </c>
      <c r="AB1848" s="7" t="n">
        <v>885</v>
      </c>
      <c r="AC1848" s="7" t="n">
        <v>938</v>
      </c>
      <c r="AD1848" s="7" t="n">
        <v>6</v>
      </c>
      <c r="AE1848" s="7" t="n">
        <v>6</v>
      </c>
      <c r="AF1848" s="7" t="n">
        <v>26</v>
      </c>
      <c r="AG1848" s="7" t="n">
        <v>29</v>
      </c>
      <c r="AH1848" s="7" t="n">
        <v>9</v>
      </c>
      <c r="AI1848" s="7" t="n">
        <v>10</v>
      </c>
      <c r="AJ1848" s="7" t="n">
        <v>7</v>
      </c>
      <c r="AK1848" s="7" t="n">
        <v>7</v>
      </c>
      <c r="AL1848" s="7" t="n">
        <v>11</v>
      </c>
      <c r="AM1848" s="7" t="n">
        <v>13</v>
      </c>
      <c r="AN1848" s="7" t="n">
        <v>5</v>
      </c>
      <c r="AO1848" s="7" t="n">
        <v>5</v>
      </c>
      <c r="AP1848" s="7" t="n">
        <v>0</v>
      </c>
      <c r="AQ1848" s="7" t="n">
        <v>0</v>
      </c>
      <c r="AR1848" s="6" t="s">
        <v>63</v>
      </c>
      <c r="AS1848" s="6" t="s">
        <v>63</v>
      </c>
      <c r="AT1848" s="28"/>
      <c r="AU1848" s="9" t="str">
        <f aca="false">HYPERLINK("https://creighton-primo.hosted.exlibrisgroup.com/primo-explore/search?tab=default_tab&amp;search_scope=EVERYTHING&amp;vid=01CRU&amp;lang=en_US&amp;offset=0&amp;query=any,contains,991000909539702656","Catalog Record")</f>
        <v>Catalog Record</v>
      </c>
      <c r="AV1848" s="9" t="str">
        <f aca="false">HYPERLINK("http://www.worldcat.org/oclc/18021166","WorldCat Record")</f>
        <v>WorldCat Record</v>
      </c>
      <c r="AW1848" s="6" t="s">
        <v>16240</v>
      </c>
      <c r="AX1848" s="6" t="s">
        <v>16241</v>
      </c>
      <c r="AY1848" s="6" t="s">
        <v>16242</v>
      </c>
      <c r="AZ1848" s="6" t="s">
        <v>16242</v>
      </c>
      <c r="BA1848" s="6" t="s">
        <v>16243</v>
      </c>
      <c r="BB1848" s="6" t="s">
        <v>16244</v>
      </c>
      <c r="BC1848" s="6" t="s">
        <v>16245</v>
      </c>
      <c r="BE1848" s="15" t="s">
        <v>2145</v>
      </c>
      <c r="BF1848" s="6" t="s">
        <v>16246</v>
      </c>
    </row>
    <row r="1849" customFormat="false" ht="59.5" hidden="false" customHeight="false" outlineLevel="0" collapsed="false">
      <c r="A1849" s="26" t="s">
        <v>63</v>
      </c>
      <c r="B1849" s="27" t="s">
        <v>2129</v>
      </c>
      <c r="C1849" s="27" t="s">
        <v>2130</v>
      </c>
      <c r="D1849" s="27" t="s">
        <v>16247</v>
      </c>
      <c r="E1849" s="27" t="s">
        <v>16248</v>
      </c>
      <c r="F1849" s="27" t="s">
        <v>16249</v>
      </c>
      <c r="G1849" s="6" t="s">
        <v>1513</v>
      </c>
      <c r="H1849" s="6" t="s">
        <v>57</v>
      </c>
      <c r="I1849" s="6" t="s">
        <v>16250</v>
      </c>
      <c r="J1849" s="6" t="s">
        <v>63</v>
      </c>
      <c r="K1849" s="6" t="s">
        <v>63</v>
      </c>
      <c r="L1849" s="6" t="s">
        <v>64</v>
      </c>
      <c r="M1849" s="28"/>
      <c r="N1849" s="27" t="s">
        <v>16251</v>
      </c>
      <c r="O1849" s="6" t="s">
        <v>3029</v>
      </c>
      <c r="P1849" s="28"/>
      <c r="Q1849" s="6" t="s">
        <v>67</v>
      </c>
      <c r="R1849" s="6" t="s">
        <v>1059</v>
      </c>
      <c r="S1849" s="28"/>
      <c r="T1849" s="6" t="s">
        <v>6138</v>
      </c>
      <c r="U1849" s="7" t="n">
        <v>0</v>
      </c>
      <c r="V1849" s="7" t="n">
        <v>3</v>
      </c>
      <c r="W1849" s="28"/>
      <c r="X1849" s="8" t="s">
        <v>6038</v>
      </c>
      <c r="Y1849" s="8" t="s">
        <v>16252</v>
      </c>
      <c r="Z1849" s="8" t="s">
        <v>16252</v>
      </c>
      <c r="AA1849" s="7" t="n">
        <v>603</v>
      </c>
      <c r="AB1849" s="7" t="n">
        <v>553</v>
      </c>
      <c r="AC1849" s="7" t="n">
        <v>780</v>
      </c>
      <c r="AD1849" s="7" t="n">
        <v>4</v>
      </c>
      <c r="AE1849" s="7" t="n">
        <v>5</v>
      </c>
      <c r="AF1849" s="7" t="n">
        <v>28</v>
      </c>
      <c r="AG1849" s="7" t="n">
        <v>41</v>
      </c>
      <c r="AH1849" s="7" t="n">
        <v>9</v>
      </c>
      <c r="AI1849" s="7" t="n">
        <v>14</v>
      </c>
      <c r="AJ1849" s="7" t="n">
        <v>6</v>
      </c>
      <c r="AK1849" s="7" t="n">
        <v>9</v>
      </c>
      <c r="AL1849" s="7" t="n">
        <v>17</v>
      </c>
      <c r="AM1849" s="7" t="n">
        <v>26</v>
      </c>
      <c r="AN1849" s="7" t="n">
        <v>2</v>
      </c>
      <c r="AO1849" s="7" t="n">
        <v>3</v>
      </c>
      <c r="AP1849" s="7" t="n">
        <v>0</v>
      </c>
      <c r="AQ1849" s="7" t="n">
        <v>0</v>
      </c>
      <c r="AR1849" s="6" t="s">
        <v>63</v>
      </c>
      <c r="AS1849" s="6" t="s">
        <v>63</v>
      </c>
      <c r="AT1849" s="28"/>
      <c r="AU1849" s="9" t="str">
        <f aca="false">HYPERLINK("https://creighton-primo.hosted.exlibrisgroup.com/primo-explore/search?tab=default_tab&amp;search_scope=EVERYTHING&amp;vid=01CRU&amp;lang=en_US&amp;offset=0&amp;query=any,contains,991004172059702656","Catalog Record")</f>
        <v>Catalog Record</v>
      </c>
      <c r="AV1849" s="9" t="str">
        <f aca="false">HYPERLINK("http://www.worldcat.org/oclc/244693","WorldCat Record")</f>
        <v>WorldCat Record</v>
      </c>
      <c r="AW1849" s="6" t="s">
        <v>16253</v>
      </c>
      <c r="AX1849" s="6" t="s">
        <v>16254</v>
      </c>
      <c r="AY1849" s="6" t="s">
        <v>16255</v>
      </c>
      <c r="AZ1849" s="6" t="s">
        <v>16255</v>
      </c>
      <c r="BA1849" s="6" t="s">
        <v>16256</v>
      </c>
      <c r="BB1849" s="28"/>
      <c r="BC1849" s="6" t="s">
        <v>16257</v>
      </c>
      <c r="BE1849" s="15" t="s">
        <v>2145</v>
      </c>
      <c r="BF1849" s="6" t="s">
        <v>16258</v>
      </c>
    </row>
    <row r="1850" customFormat="false" ht="59.5" hidden="false" customHeight="false" outlineLevel="0" collapsed="false">
      <c r="A1850" s="26" t="s">
        <v>63</v>
      </c>
      <c r="B1850" s="27" t="s">
        <v>2129</v>
      </c>
      <c r="C1850" s="27" t="s">
        <v>2130</v>
      </c>
      <c r="D1850" s="27" t="s">
        <v>16247</v>
      </c>
      <c r="E1850" s="27" t="s">
        <v>16248</v>
      </c>
      <c r="F1850" s="27" t="s">
        <v>16249</v>
      </c>
      <c r="G1850" s="6" t="s">
        <v>498</v>
      </c>
      <c r="H1850" s="6" t="s">
        <v>57</v>
      </c>
      <c r="I1850" s="6" t="s">
        <v>16250</v>
      </c>
      <c r="J1850" s="6" t="s">
        <v>63</v>
      </c>
      <c r="K1850" s="6" t="s">
        <v>63</v>
      </c>
      <c r="L1850" s="6" t="s">
        <v>64</v>
      </c>
      <c r="M1850" s="28"/>
      <c r="N1850" s="27" t="s">
        <v>16251</v>
      </c>
      <c r="O1850" s="6" t="s">
        <v>3029</v>
      </c>
      <c r="P1850" s="28"/>
      <c r="Q1850" s="6" t="s">
        <v>67</v>
      </c>
      <c r="R1850" s="6" t="s">
        <v>1059</v>
      </c>
      <c r="S1850" s="28"/>
      <c r="T1850" s="6" t="s">
        <v>6138</v>
      </c>
      <c r="U1850" s="7" t="n">
        <v>1</v>
      </c>
      <c r="V1850" s="7" t="n">
        <v>3</v>
      </c>
      <c r="W1850" s="28"/>
      <c r="X1850" s="8" t="s">
        <v>6038</v>
      </c>
      <c r="Y1850" s="8" t="s">
        <v>16252</v>
      </c>
      <c r="Z1850" s="8" t="s">
        <v>16252</v>
      </c>
      <c r="AA1850" s="7" t="n">
        <v>603</v>
      </c>
      <c r="AB1850" s="7" t="n">
        <v>553</v>
      </c>
      <c r="AC1850" s="7" t="n">
        <v>780</v>
      </c>
      <c r="AD1850" s="7" t="n">
        <v>4</v>
      </c>
      <c r="AE1850" s="7" t="n">
        <v>5</v>
      </c>
      <c r="AF1850" s="7" t="n">
        <v>28</v>
      </c>
      <c r="AG1850" s="7" t="n">
        <v>41</v>
      </c>
      <c r="AH1850" s="7" t="n">
        <v>9</v>
      </c>
      <c r="AI1850" s="7" t="n">
        <v>14</v>
      </c>
      <c r="AJ1850" s="7" t="n">
        <v>6</v>
      </c>
      <c r="AK1850" s="7" t="n">
        <v>9</v>
      </c>
      <c r="AL1850" s="7" t="n">
        <v>17</v>
      </c>
      <c r="AM1850" s="7" t="n">
        <v>26</v>
      </c>
      <c r="AN1850" s="7" t="n">
        <v>2</v>
      </c>
      <c r="AO1850" s="7" t="n">
        <v>3</v>
      </c>
      <c r="AP1850" s="7" t="n">
        <v>0</v>
      </c>
      <c r="AQ1850" s="7" t="n">
        <v>0</v>
      </c>
      <c r="AR1850" s="6" t="s">
        <v>63</v>
      </c>
      <c r="AS1850" s="6" t="s">
        <v>63</v>
      </c>
      <c r="AT1850" s="28"/>
      <c r="AU1850" s="9" t="str">
        <f aca="false">HYPERLINK("https://creighton-primo.hosted.exlibrisgroup.com/primo-explore/search?tab=default_tab&amp;search_scope=EVERYTHING&amp;vid=01CRU&amp;lang=en_US&amp;offset=0&amp;query=any,contains,991004172059702656","Catalog Record")</f>
        <v>Catalog Record</v>
      </c>
      <c r="AV1850" s="9" t="str">
        <f aca="false">HYPERLINK("http://www.worldcat.org/oclc/244693","WorldCat Record")</f>
        <v>WorldCat Record</v>
      </c>
      <c r="AW1850" s="6" t="s">
        <v>16253</v>
      </c>
      <c r="AX1850" s="6" t="s">
        <v>16254</v>
      </c>
      <c r="AY1850" s="6" t="s">
        <v>16255</v>
      </c>
      <c r="AZ1850" s="6" t="s">
        <v>16255</v>
      </c>
      <c r="BA1850" s="6" t="s">
        <v>16256</v>
      </c>
      <c r="BB1850" s="28"/>
      <c r="BC1850" s="6" t="s">
        <v>16259</v>
      </c>
      <c r="BE1850" s="15" t="s">
        <v>2145</v>
      </c>
      <c r="BF1850" s="6" t="s">
        <v>16260</v>
      </c>
    </row>
    <row r="1851" customFormat="false" ht="59.5" hidden="false" customHeight="false" outlineLevel="0" collapsed="false">
      <c r="A1851" s="26" t="s">
        <v>63</v>
      </c>
      <c r="B1851" s="27" t="s">
        <v>2129</v>
      </c>
      <c r="C1851" s="27" t="s">
        <v>2130</v>
      </c>
      <c r="D1851" s="27" t="s">
        <v>16247</v>
      </c>
      <c r="E1851" s="27" t="s">
        <v>16248</v>
      </c>
      <c r="F1851" s="27" t="s">
        <v>16249</v>
      </c>
      <c r="G1851" s="6" t="s">
        <v>502</v>
      </c>
      <c r="H1851" s="6" t="s">
        <v>57</v>
      </c>
      <c r="I1851" s="6" t="s">
        <v>62</v>
      </c>
      <c r="J1851" s="6" t="s">
        <v>63</v>
      </c>
      <c r="K1851" s="6" t="s">
        <v>63</v>
      </c>
      <c r="L1851" s="6" t="s">
        <v>64</v>
      </c>
      <c r="M1851" s="28"/>
      <c r="N1851" s="27" t="s">
        <v>16251</v>
      </c>
      <c r="O1851" s="6" t="s">
        <v>3029</v>
      </c>
      <c r="P1851" s="28"/>
      <c r="Q1851" s="6" t="s">
        <v>67</v>
      </c>
      <c r="R1851" s="6" t="s">
        <v>1059</v>
      </c>
      <c r="S1851" s="28"/>
      <c r="T1851" s="6" t="s">
        <v>6138</v>
      </c>
      <c r="U1851" s="7" t="n">
        <v>2</v>
      </c>
      <c r="V1851" s="7" t="n">
        <v>3</v>
      </c>
      <c r="W1851" s="8" t="s">
        <v>6038</v>
      </c>
      <c r="X1851" s="8" t="s">
        <v>6038</v>
      </c>
      <c r="Y1851" s="8" t="s">
        <v>16261</v>
      </c>
      <c r="Z1851" s="8" t="s">
        <v>16252</v>
      </c>
      <c r="AA1851" s="7" t="n">
        <v>603</v>
      </c>
      <c r="AB1851" s="7" t="n">
        <v>553</v>
      </c>
      <c r="AC1851" s="7" t="n">
        <v>780</v>
      </c>
      <c r="AD1851" s="7" t="n">
        <v>4</v>
      </c>
      <c r="AE1851" s="7" t="n">
        <v>5</v>
      </c>
      <c r="AF1851" s="7" t="n">
        <v>28</v>
      </c>
      <c r="AG1851" s="7" t="n">
        <v>41</v>
      </c>
      <c r="AH1851" s="7" t="n">
        <v>9</v>
      </c>
      <c r="AI1851" s="7" t="n">
        <v>14</v>
      </c>
      <c r="AJ1851" s="7" t="n">
        <v>6</v>
      </c>
      <c r="AK1851" s="7" t="n">
        <v>9</v>
      </c>
      <c r="AL1851" s="7" t="n">
        <v>17</v>
      </c>
      <c r="AM1851" s="7" t="n">
        <v>26</v>
      </c>
      <c r="AN1851" s="7" t="n">
        <v>2</v>
      </c>
      <c r="AO1851" s="7" t="n">
        <v>3</v>
      </c>
      <c r="AP1851" s="7" t="n">
        <v>0</v>
      </c>
      <c r="AQ1851" s="7" t="n">
        <v>0</v>
      </c>
      <c r="AR1851" s="6" t="s">
        <v>63</v>
      </c>
      <c r="AS1851" s="6" t="s">
        <v>63</v>
      </c>
      <c r="AT1851" s="28"/>
      <c r="AU1851" s="9" t="str">
        <f aca="false">HYPERLINK("https://creighton-primo.hosted.exlibrisgroup.com/primo-explore/search?tab=default_tab&amp;search_scope=EVERYTHING&amp;vid=01CRU&amp;lang=en_US&amp;offset=0&amp;query=any,contains,991004172059702656","Catalog Record")</f>
        <v>Catalog Record</v>
      </c>
      <c r="AV1851" s="9" t="str">
        <f aca="false">HYPERLINK("http://www.worldcat.org/oclc/244693","WorldCat Record")</f>
        <v>WorldCat Record</v>
      </c>
      <c r="AW1851" s="6" t="s">
        <v>16253</v>
      </c>
      <c r="AX1851" s="6" t="s">
        <v>16254</v>
      </c>
      <c r="AY1851" s="6" t="s">
        <v>16255</v>
      </c>
      <c r="AZ1851" s="6" t="s">
        <v>16255</v>
      </c>
      <c r="BA1851" s="6" t="s">
        <v>16256</v>
      </c>
      <c r="BB1851" s="28"/>
      <c r="BC1851" s="6" t="s">
        <v>16262</v>
      </c>
      <c r="BE1851" s="15" t="s">
        <v>2145</v>
      </c>
      <c r="BF1851" s="6" t="s">
        <v>16263</v>
      </c>
    </row>
    <row r="1852" customFormat="false" ht="59.5" hidden="false" customHeight="false" outlineLevel="0" collapsed="false">
      <c r="A1852" s="26" t="s">
        <v>63</v>
      </c>
      <c r="B1852" s="27" t="s">
        <v>2129</v>
      </c>
      <c r="C1852" s="27" t="s">
        <v>2130</v>
      </c>
      <c r="D1852" s="27" t="s">
        <v>16247</v>
      </c>
      <c r="E1852" s="27" t="s">
        <v>16248</v>
      </c>
      <c r="F1852" s="27" t="s">
        <v>16249</v>
      </c>
      <c r="G1852" s="6" t="s">
        <v>1510</v>
      </c>
      <c r="H1852" s="6" t="s">
        <v>57</v>
      </c>
      <c r="I1852" s="6" t="s">
        <v>16250</v>
      </c>
      <c r="J1852" s="6" t="s">
        <v>63</v>
      </c>
      <c r="K1852" s="6" t="s">
        <v>63</v>
      </c>
      <c r="L1852" s="6" t="s">
        <v>64</v>
      </c>
      <c r="M1852" s="28"/>
      <c r="N1852" s="27" t="s">
        <v>16251</v>
      </c>
      <c r="O1852" s="6" t="s">
        <v>3029</v>
      </c>
      <c r="P1852" s="28"/>
      <c r="Q1852" s="6" t="s">
        <v>67</v>
      </c>
      <c r="R1852" s="6" t="s">
        <v>1059</v>
      </c>
      <c r="S1852" s="28"/>
      <c r="T1852" s="6" t="s">
        <v>6138</v>
      </c>
      <c r="U1852" s="7" t="n">
        <v>0</v>
      </c>
      <c r="V1852" s="7" t="n">
        <v>3</v>
      </c>
      <c r="W1852" s="28"/>
      <c r="X1852" s="8" t="s">
        <v>6038</v>
      </c>
      <c r="Y1852" s="8" t="s">
        <v>16252</v>
      </c>
      <c r="Z1852" s="8" t="s">
        <v>16252</v>
      </c>
      <c r="AA1852" s="7" t="n">
        <v>603</v>
      </c>
      <c r="AB1852" s="7" t="n">
        <v>553</v>
      </c>
      <c r="AC1852" s="7" t="n">
        <v>780</v>
      </c>
      <c r="AD1852" s="7" t="n">
        <v>4</v>
      </c>
      <c r="AE1852" s="7" t="n">
        <v>5</v>
      </c>
      <c r="AF1852" s="7" t="n">
        <v>28</v>
      </c>
      <c r="AG1852" s="7" t="n">
        <v>41</v>
      </c>
      <c r="AH1852" s="7" t="n">
        <v>9</v>
      </c>
      <c r="AI1852" s="7" t="n">
        <v>14</v>
      </c>
      <c r="AJ1852" s="7" t="n">
        <v>6</v>
      </c>
      <c r="AK1852" s="7" t="n">
        <v>9</v>
      </c>
      <c r="AL1852" s="7" t="n">
        <v>17</v>
      </c>
      <c r="AM1852" s="7" t="n">
        <v>26</v>
      </c>
      <c r="AN1852" s="7" t="n">
        <v>2</v>
      </c>
      <c r="AO1852" s="7" t="n">
        <v>3</v>
      </c>
      <c r="AP1852" s="7" t="n">
        <v>0</v>
      </c>
      <c r="AQ1852" s="7" t="n">
        <v>0</v>
      </c>
      <c r="AR1852" s="6" t="s">
        <v>63</v>
      </c>
      <c r="AS1852" s="6" t="s">
        <v>63</v>
      </c>
      <c r="AT1852" s="28"/>
      <c r="AU1852" s="9" t="str">
        <f aca="false">HYPERLINK("https://creighton-primo.hosted.exlibrisgroup.com/primo-explore/search?tab=default_tab&amp;search_scope=EVERYTHING&amp;vid=01CRU&amp;lang=en_US&amp;offset=0&amp;query=any,contains,991004172059702656","Catalog Record")</f>
        <v>Catalog Record</v>
      </c>
      <c r="AV1852" s="9" t="str">
        <f aca="false">HYPERLINK("http://www.worldcat.org/oclc/244693","WorldCat Record")</f>
        <v>WorldCat Record</v>
      </c>
      <c r="AW1852" s="6" t="s">
        <v>16253</v>
      </c>
      <c r="AX1852" s="6" t="s">
        <v>16254</v>
      </c>
      <c r="AY1852" s="6" t="s">
        <v>16255</v>
      </c>
      <c r="AZ1852" s="6" t="s">
        <v>16255</v>
      </c>
      <c r="BA1852" s="6" t="s">
        <v>16256</v>
      </c>
      <c r="BB1852" s="28"/>
      <c r="BC1852" s="6" t="s">
        <v>16264</v>
      </c>
      <c r="BE1852" s="15" t="s">
        <v>2145</v>
      </c>
      <c r="BF1852" s="6" t="s">
        <v>16265</v>
      </c>
    </row>
    <row r="1853" customFormat="false" ht="59.5" hidden="false" customHeight="false" outlineLevel="0" collapsed="false">
      <c r="A1853" s="26" t="s">
        <v>63</v>
      </c>
      <c r="B1853" s="27" t="s">
        <v>2129</v>
      </c>
      <c r="C1853" s="27" t="s">
        <v>2130</v>
      </c>
      <c r="D1853" s="27" t="s">
        <v>16247</v>
      </c>
      <c r="E1853" s="27" t="s">
        <v>16248</v>
      </c>
      <c r="F1853" s="27" t="s">
        <v>16249</v>
      </c>
      <c r="G1853" s="6" t="s">
        <v>1512</v>
      </c>
      <c r="H1853" s="6" t="s">
        <v>57</v>
      </c>
      <c r="I1853" s="6" t="s">
        <v>16250</v>
      </c>
      <c r="J1853" s="6" t="s">
        <v>63</v>
      </c>
      <c r="K1853" s="6" t="s">
        <v>63</v>
      </c>
      <c r="L1853" s="6" t="s">
        <v>64</v>
      </c>
      <c r="M1853" s="28"/>
      <c r="N1853" s="27" t="s">
        <v>16251</v>
      </c>
      <c r="O1853" s="6" t="s">
        <v>3029</v>
      </c>
      <c r="P1853" s="28"/>
      <c r="Q1853" s="6" t="s">
        <v>67</v>
      </c>
      <c r="R1853" s="6" t="s">
        <v>1059</v>
      </c>
      <c r="S1853" s="28"/>
      <c r="T1853" s="6" t="s">
        <v>6138</v>
      </c>
      <c r="U1853" s="7" t="n">
        <v>0</v>
      </c>
      <c r="V1853" s="7" t="n">
        <v>3</v>
      </c>
      <c r="W1853" s="28"/>
      <c r="X1853" s="8" t="s">
        <v>6038</v>
      </c>
      <c r="Y1853" s="8" t="s">
        <v>16252</v>
      </c>
      <c r="Z1853" s="8" t="s">
        <v>16252</v>
      </c>
      <c r="AA1853" s="7" t="n">
        <v>603</v>
      </c>
      <c r="AB1853" s="7" t="n">
        <v>553</v>
      </c>
      <c r="AC1853" s="7" t="n">
        <v>780</v>
      </c>
      <c r="AD1853" s="7" t="n">
        <v>4</v>
      </c>
      <c r="AE1853" s="7" t="n">
        <v>5</v>
      </c>
      <c r="AF1853" s="7" t="n">
        <v>28</v>
      </c>
      <c r="AG1853" s="7" t="n">
        <v>41</v>
      </c>
      <c r="AH1853" s="7" t="n">
        <v>9</v>
      </c>
      <c r="AI1853" s="7" t="n">
        <v>14</v>
      </c>
      <c r="AJ1853" s="7" t="n">
        <v>6</v>
      </c>
      <c r="AK1853" s="7" t="n">
        <v>9</v>
      </c>
      <c r="AL1853" s="7" t="n">
        <v>17</v>
      </c>
      <c r="AM1853" s="7" t="n">
        <v>26</v>
      </c>
      <c r="AN1853" s="7" t="n">
        <v>2</v>
      </c>
      <c r="AO1853" s="7" t="n">
        <v>3</v>
      </c>
      <c r="AP1853" s="7" t="n">
        <v>0</v>
      </c>
      <c r="AQ1853" s="7" t="n">
        <v>0</v>
      </c>
      <c r="AR1853" s="6" t="s">
        <v>63</v>
      </c>
      <c r="AS1853" s="6" t="s">
        <v>63</v>
      </c>
      <c r="AT1853" s="28"/>
      <c r="AU1853" s="9" t="str">
        <f aca="false">HYPERLINK("https://creighton-primo.hosted.exlibrisgroup.com/primo-explore/search?tab=default_tab&amp;search_scope=EVERYTHING&amp;vid=01CRU&amp;lang=en_US&amp;offset=0&amp;query=any,contains,991004172059702656","Catalog Record")</f>
        <v>Catalog Record</v>
      </c>
      <c r="AV1853" s="9" t="str">
        <f aca="false">HYPERLINK("http://www.worldcat.org/oclc/244693","WorldCat Record")</f>
        <v>WorldCat Record</v>
      </c>
      <c r="AW1853" s="6" t="s">
        <v>16253</v>
      </c>
      <c r="AX1853" s="6" t="s">
        <v>16254</v>
      </c>
      <c r="AY1853" s="6" t="s">
        <v>16255</v>
      </c>
      <c r="AZ1853" s="6" t="s">
        <v>16255</v>
      </c>
      <c r="BA1853" s="6" t="s">
        <v>16256</v>
      </c>
      <c r="BB1853" s="28"/>
      <c r="BC1853" s="6" t="s">
        <v>16266</v>
      </c>
      <c r="BE1853" s="15" t="s">
        <v>2145</v>
      </c>
      <c r="BF1853" s="6" t="s">
        <v>16267</v>
      </c>
    </row>
    <row r="1854" customFormat="false" ht="94" hidden="false" customHeight="false" outlineLevel="0" collapsed="false">
      <c r="A1854" s="26" t="s">
        <v>63</v>
      </c>
      <c r="B1854" s="27" t="s">
        <v>2129</v>
      </c>
      <c r="C1854" s="27" t="s">
        <v>2130</v>
      </c>
      <c r="D1854" s="27" t="s">
        <v>16268</v>
      </c>
      <c r="E1854" s="27" t="s">
        <v>16269</v>
      </c>
      <c r="F1854" s="27" t="s">
        <v>16270</v>
      </c>
      <c r="G1854" s="28"/>
      <c r="H1854" s="6" t="s">
        <v>63</v>
      </c>
      <c r="I1854" s="6" t="s">
        <v>62</v>
      </c>
      <c r="J1854" s="6" t="s">
        <v>63</v>
      </c>
      <c r="K1854" s="6" t="s">
        <v>63</v>
      </c>
      <c r="L1854" s="6" t="s">
        <v>64</v>
      </c>
      <c r="M1854" s="27" t="s">
        <v>12180</v>
      </c>
      <c r="N1854" s="27" t="s">
        <v>16271</v>
      </c>
      <c r="O1854" s="6" t="s">
        <v>2411</v>
      </c>
      <c r="P1854" s="28"/>
      <c r="Q1854" s="6" t="s">
        <v>67</v>
      </c>
      <c r="R1854" s="6" t="s">
        <v>4707</v>
      </c>
      <c r="S1854" s="27" t="s">
        <v>16272</v>
      </c>
      <c r="T1854" s="6" t="s">
        <v>6138</v>
      </c>
      <c r="U1854" s="7" t="n">
        <v>3</v>
      </c>
      <c r="V1854" s="7" t="n">
        <v>3</v>
      </c>
      <c r="W1854" s="8" t="s">
        <v>16273</v>
      </c>
      <c r="X1854" s="8" t="s">
        <v>16273</v>
      </c>
      <c r="Y1854" s="8" t="s">
        <v>16064</v>
      </c>
      <c r="Z1854" s="8" t="s">
        <v>16064</v>
      </c>
      <c r="AA1854" s="7" t="n">
        <v>236</v>
      </c>
      <c r="AB1854" s="7" t="n">
        <v>204</v>
      </c>
      <c r="AC1854" s="7" t="n">
        <v>406</v>
      </c>
      <c r="AD1854" s="7" t="n">
        <v>2</v>
      </c>
      <c r="AE1854" s="7" t="n">
        <v>2</v>
      </c>
      <c r="AF1854" s="7" t="n">
        <v>27</v>
      </c>
      <c r="AG1854" s="7" t="n">
        <v>29</v>
      </c>
      <c r="AH1854" s="7" t="n">
        <v>7</v>
      </c>
      <c r="AI1854" s="7" t="n">
        <v>8</v>
      </c>
      <c r="AJ1854" s="7" t="n">
        <v>6</v>
      </c>
      <c r="AK1854" s="7" t="n">
        <v>7</v>
      </c>
      <c r="AL1854" s="7" t="n">
        <v>23</v>
      </c>
      <c r="AM1854" s="7" t="n">
        <v>24</v>
      </c>
      <c r="AN1854" s="7" t="n">
        <v>1</v>
      </c>
      <c r="AO1854" s="7" t="n">
        <v>1</v>
      </c>
      <c r="AP1854" s="7" t="n">
        <v>0</v>
      </c>
      <c r="AQ1854" s="7" t="n">
        <v>0</v>
      </c>
      <c r="AR1854" s="6" t="s">
        <v>63</v>
      </c>
      <c r="AS1854" s="6" t="s">
        <v>57</v>
      </c>
      <c r="AT1854" s="9" t="str">
        <f aca="false">HYPERLINK("http://catalog.hathitrust.org/Record/001298652","HathiTrust Record")</f>
        <v>HathiTrust Record</v>
      </c>
      <c r="AU1854" s="9" t="str">
        <f aca="false">HYPERLINK("https://creighton-primo.hosted.exlibrisgroup.com/primo-explore/search?tab=default_tab&amp;search_scope=EVERYTHING&amp;vid=01CRU&amp;lang=en_US&amp;offset=0&amp;query=any,contains,991001464759702656","Catalog Record")</f>
        <v>Catalog Record</v>
      </c>
      <c r="AV1854" s="9" t="str">
        <f aca="false">HYPERLINK("http://www.worldcat.org/oclc/19492069","WorldCat Record")</f>
        <v>WorldCat Record</v>
      </c>
      <c r="AW1854" s="6" t="s">
        <v>16274</v>
      </c>
      <c r="AX1854" s="6" t="s">
        <v>16275</v>
      </c>
      <c r="AY1854" s="6" t="s">
        <v>16276</v>
      </c>
      <c r="AZ1854" s="6" t="s">
        <v>16276</v>
      </c>
      <c r="BA1854" s="6" t="s">
        <v>16277</v>
      </c>
      <c r="BB1854" s="6" t="s">
        <v>16278</v>
      </c>
      <c r="BC1854" s="6" t="s">
        <v>16279</v>
      </c>
      <c r="BE1854" s="15" t="s">
        <v>2145</v>
      </c>
      <c r="BF1854" s="6" t="s">
        <v>16280</v>
      </c>
    </row>
    <row r="1855" customFormat="false" ht="82.5" hidden="false" customHeight="false" outlineLevel="0" collapsed="false">
      <c r="A1855" s="26" t="s">
        <v>63</v>
      </c>
      <c r="B1855" s="27" t="s">
        <v>2129</v>
      </c>
      <c r="C1855" s="27" t="s">
        <v>2130</v>
      </c>
      <c r="D1855" s="27" t="s">
        <v>16281</v>
      </c>
      <c r="E1855" s="27" t="s">
        <v>16282</v>
      </c>
      <c r="F1855" s="27" t="s">
        <v>16283</v>
      </c>
      <c r="G1855" s="28"/>
      <c r="H1855" s="6" t="s">
        <v>63</v>
      </c>
      <c r="I1855" s="6" t="s">
        <v>62</v>
      </c>
      <c r="J1855" s="6" t="s">
        <v>63</v>
      </c>
      <c r="K1855" s="6" t="s">
        <v>63</v>
      </c>
      <c r="L1855" s="6" t="s">
        <v>64</v>
      </c>
      <c r="M1855" s="27" t="s">
        <v>16284</v>
      </c>
      <c r="N1855" s="27" t="s">
        <v>16285</v>
      </c>
      <c r="O1855" s="6" t="s">
        <v>152</v>
      </c>
      <c r="P1855" s="28"/>
      <c r="Q1855" s="6" t="s">
        <v>67</v>
      </c>
      <c r="R1855" s="6" t="s">
        <v>181</v>
      </c>
      <c r="S1855" s="28"/>
      <c r="T1855" s="6" t="s">
        <v>6138</v>
      </c>
      <c r="U1855" s="7" t="n">
        <v>5</v>
      </c>
      <c r="V1855" s="7" t="n">
        <v>5</v>
      </c>
      <c r="W1855" s="8" t="s">
        <v>16286</v>
      </c>
      <c r="X1855" s="8" t="s">
        <v>16286</v>
      </c>
      <c r="Y1855" s="8" t="s">
        <v>16064</v>
      </c>
      <c r="Z1855" s="8" t="s">
        <v>16064</v>
      </c>
      <c r="AA1855" s="7" t="n">
        <v>370</v>
      </c>
      <c r="AB1855" s="7" t="n">
        <v>329</v>
      </c>
      <c r="AC1855" s="7" t="n">
        <v>384</v>
      </c>
      <c r="AD1855" s="7" t="n">
        <v>2</v>
      </c>
      <c r="AE1855" s="7" t="n">
        <v>2</v>
      </c>
      <c r="AF1855" s="7" t="n">
        <v>24</v>
      </c>
      <c r="AG1855" s="7" t="n">
        <v>25</v>
      </c>
      <c r="AH1855" s="7" t="n">
        <v>8</v>
      </c>
      <c r="AI1855" s="7" t="n">
        <v>9</v>
      </c>
      <c r="AJ1855" s="7" t="n">
        <v>7</v>
      </c>
      <c r="AK1855" s="7" t="n">
        <v>8</v>
      </c>
      <c r="AL1855" s="7" t="n">
        <v>16</v>
      </c>
      <c r="AM1855" s="7" t="n">
        <v>16</v>
      </c>
      <c r="AN1855" s="7" t="n">
        <v>1</v>
      </c>
      <c r="AO1855" s="7" t="n">
        <v>1</v>
      </c>
      <c r="AP1855" s="7" t="n">
        <v>0</v>
      </c>
      <c r="AQ1855" s="7" t="n">
        <v>0</v>
      </c>
      <c r="AR1855" s="6" t="s">
        <v>63</v>
      </c>
      <c r="AS1855" s="6" t="s">
        <v>63</v>
      </c>
      <c r="AT1855" s="28"/>
      <c r="AU1855" s="9" t="str">
        <f aca="false">HYPERLINK("https://creighton-primo.hosted.exlibrisgroup.com/primo-explore/search?tab=default_tab&amp;search_scope=EVERYTHING&amp;vid=01CRU&amp;lang=en_US&amp;offset=0&amp;query=any,contains,991000228539702656","Catalog Record")</f>
        <v>Catalog Record</v>
      </c>
      <c r="AV1855" s="9" t="str">
        <f aca="false">HYPERLINK("http://www.worldcat.org/oclc/9622453","WorldCat Record")</f>
        <v>WorldCat Record</v>
      </c>
      <c r="AW1855" s="6" t="s">
        <v>16287</v>
      </c>
      <c r="AX1855" s="6" t="s">
        <v>16288</v>
      </c>
      <c r="AY1855" s="6" t="s">
        <v>16289</v>
      </c>
      <c r="AZ1855" s="6" t="s">
        <v>16289</v>
      </c>
      <c r="BA1855" s="6" t="s">
        <v>16290</v>
      </c>
      <c r="BB1855" s="6" t="s">
        <v>16291</v>
      </c>
      <c r="BC1855" s="6" t="s">
        <v>16292</v>
      </c>
      <c r="BE1855" s="15" t="s">
        <v>2145</v>
      </c>
      <c r="BF1855" s="6" t="s">
        <v>16293</v>
      </c>
    </row>
    <row r="1856" customFormat="false" ht="151.5" hidden="false" customHeight="false" outlineLevel="0" collapsed="false">
      <c r="A1856" s="26" t="s">
        <v>63</v>
      </c>
      <c r="B1856" s="27" t="s">
        <v>2129</v>
      </c>
      <c r="C1856" s="27" t="s">
        <v>2130</v>
      </c>
      <c r="D1856" s="27" t="s">
        <v>16294</v>
      </c>
      <c r="E1856" s="27" t="s">
        <v>16295</v>
      </c>
      <c r="F1856" s="27" t="s">
        <v>16296</v>
      </c>
      <c r="G1856" s="6" t="s">
        <v>498</v>
      </c>
      <c r="H1856" s="6" t="s">
        <v>57</v>
      </c>
      <c r="I1856" s="6" t="s">
        <v>62</v>
      </c>
      <c r="J1856" s="6" t="s">
        <v>63</v>
      </c>
      <c r="K1856" s="6" t="s">
        <v>63</v>
      </c>
      <c r="L1856" s="6" t="s">
        <v>64</v>
      </c>
      <c r="M1856" s="27" t="s">
        <v>16297</v>
      </c>
      <c r="N1856" s="27" t="s">
        <v>6218</v>
      </c>
      <c r="O1856" s="6" t="s">
        <v>208</v>
      </c>
      <c r="P1856" s="28"/>
      <c r="Q1856" s="6" t="s">
        <v>67</v>
      </c>
      <c r="R1856" s="6" t="s">
        <v>272</v>
      </c>
      <c r="S1856" s="28"/>
      <c r="T1856" s="6" t="s">
        <v>6138</v>
      </c>
      <c r="U1856" s="7" t="n">
        <v>5</v>
      </c>
      <c r="V1856" s="7" t="n">
        <v>7</v>
      </c>
      <c r="W1856" s="8" t="s">
        <v>16298</v>
      </c>
      <c r="X1856" s="8" t="s">
        <v>4651</v>
      </c>
      <c r="Y1856" s="8" t="s">
        <v>258</v>
      </c>
      <c r="Z1856" s="8" t="s">
        <v>9449</v>
      </c>
      <c r="AA1856" s="7" t="n">
        <v>259</v>
      </c>
      <c r="AB1856" s="7" t="n">
        <v>210</v>
      </c>
      <c r="AC1856" s="7" t="n">
        <v>250</v>
      </c>
      <c r="AD1856" s="7" t="n">
        <v>3</v>
      </c>
      <c r="AE1856" s="7" t="n">
        <v>3</v>
      </c>
      <c r="AF1856" s="7" t="n">
        <v>11</v>
      </c>
      <c r="AG1856" s="7" t="n">
        <v>12</v>
      </c>
      <c r="AH1856" s="7" t="n">
        <v>3</v>
      </c>
      <c r="AI1856" s="7" t="n">
        <v>4</v>
      </c>
      <c r="AJ1856" s="7" t="n">
        <v>2</v>
      </c>
      <c r="AK1856" s="7" t="n">
        <v>2</v>
      </c>
      <c r="AL1856" s="7" t="n">
        <v>8</v>
      </c>
      <c r="AM1856" s="7" t="n">
        <v>8</v>
      </c>
      <c r="AN1856" s="7" t="n">
        <v>2</v>
      </c>
      <c r="AO1856" s="7" t="n">
        <v>2</v>
      </c>
      <c r="AP1856" s="7" t="n">
        <v>0</v>
      </c>
      <c r="AQ1856" s="7" t="n">
        <v>0</v>
      </c>
      <c r="AR1856" s="6" t="s">
        <v>63</v>
      </c>
      <c r="AS1856" s="6" t="s">
        <v>57</v>
      </c>
      <c r="AT1856" s="9" t="str">
        <f aca="false">HYPERLINK("http://catalog.hathitrust.org/Record/102083910","HathiTrust Record")</f>
        <v>HathiTrust Record</v>
      </c>
      <c r="AU1856" s="9" t="str">
        <f aca="false">HYPERLINK("https://creighton-primo.hosted.exlibrisgroup.com/primo-explore/search?tab=default_tab&amp;search_scope=EVERYTHING&amp;vid=01CRU&amp;lang=en_US&amp;offset=0&amp;query=any,contains,991000990219702656","Catalog Record")</f>
        <v>Catalog Record</v>
      </c>
      <c r="AV1856" s="9" t="str">
        <f aca="false">HYPERLINK("http://www.worldcat.org/oclc/15107030","WorldCat Record")</f>
        <v>WorldCat Record</v>
      </c>
      <c r="AW1856" s="6" t="s">
        <v>16299</v>
      </c>
      <c r="AX1856" s="6" t="s">
        <v>16300</v>
      </c>
      <c r="AY1856" s="6" t="s">
        <v>16301</v>
      </c>
      <c r="AZ1856" s="6" t="s">
        <v>16301</v>
      </c>
      <c r="BA1856" s="6" t="s">
        <v>16302</v>
      </c>
      <c r="BB1856" s="6" t="s">
        <v>16303</v>
      </c>
      <c r="BC1856" s="6" t="s">
        <v>16304</v>
      </c>
      <c r="BE1856" s="15" t="s">
        <v>2145</v>
      </c>
      <c r="BF1856" s="6" t="s">
        <v>16305</v>
      </c>
    </row>
    <row r="1857" customFormat="false" ht="151.5" hidden="false" customHeight="false" outlineLevel="0" collapsed="false">
      <c r="A1857" s="26" t="s">
        <v>63</v>
      </c>
      <c r="B1857" s="27" t="s">
        <v>2129</v>
      </c>
      <c r="C1857" s="27" t="s">
        <v>2130</v>
      </c>
      <c r="D1857" s="27" t="s">
        <v>16294</v>
      </c>
      <c r="E1857" s="27" t="s">
        <v>16295</v>
      </c>
      <c r="F1857" s="27" t="s">
        <v>16296</v>
      </c>
      <c r="G1857" s="6" t="s">
        <v>502</v>
      </c>
      <c r="H1857" s="6" t="s">
        <v>57</v>
      </c>
      <c r="I1857" s="6" t="s">
        <v>62</v>
      </c>
      <c r="J1857" s="6" t="s">
        <v>63</v>
      </c>
      <c r="K1857" s="6" t="s">
        <v>63</v>
      </c>
      <c r="L1857" s="6" t="s">
        <v>64</v>
      </c>
      <c r="M1857" s="27" t="s">
        <v>16297</v>
      </c>
      <c r="N1857" s="27" t="s">
        <v>6218</v>
      </c>
      <c r="O1857" s="6" t="s">
        <v>208</v>
      </c>
      <c r="P1857" s="28"/>
      <c r="Q1857" s="6" t="s">
        <v>67</v>
      </c>
      <c r="R1857" s="6" t="s">
        <v>272</v>
      </c>
      <c r="S1857" s="28"/>
      <c r="T1857" s="6" t="s">
        <v>6138</v>
      </c>
      <c r="U1857" s="7" t="n">
        <v>2</v>
      </c>
      <c r="V1857" s="7" t="n">
        <v>7</v>
      </c>
      <c r="W1857" s="8" t="s">
        <v>4651</v>
      </c>
      <c r="X1857" s="8" t="s">
        <v>4651</v>
      </c>
      <c r="Y1857" s="8" t="s">
        <v>9449</v>
      </c>
      <c r="Z1857" s="8" t="s">
        <v>9449</v>
      </c>
      <c r="AA1857" s="7" t="n">
        <v>259</v>
      </c>
      <c r="AB1857" s="7" t="n">
        <v>210</v>
      </c>
      <c r="AC1857" s="7" t="n">
        <v>250</v>
      </c>
      <c r="AD1857" s="7" t="n">
        <v>3</v>
      </c>
      <c r="AE1857" s="7" t="n">
        <v>3</v>
      </c>
      <c r="AF1857" s="7" t="n">
        <v>11</v>
      </c>
      <c r="AG1857" s="7" t="n">
        <v>12</v>
      </c>
      <c r="AH1857" s="7" t="n">
        <v>3</v>
      </c>
      <c r="AI1857" s="7" t="n">
        <v>4</v>
      </c>
      <c r="AJ1857" s="7" t="n">
        <v>2</v>
      </c>
      <c r="AK1857" s="7" t="n">
        <v>2</v>
      </c>
      <c r="AL1857" s="7" t="n">
        <v>8</v>
      </c>
      <c r="AM1857" s="7" t="n">
        <v>8</v>
      </c>
      <c r="AN1857" s="7" t="n">
        <v>2</v>
      </c>
      <c r="AO1857" s="7" t="n">
        <v>2</v>
      </c>
      <c r="AP1857" s="7" t="n">
        <v>0</v>
      </c>
      <c r="AQ1857" s="7" t="n">
        <v>0</v>
      </c>
      <c r="AR1857" s="6" t="s">
        <v>63</v>
      </c>
      <c r="AS1857" s="6" t="s">
        <v>57</v>
      </c>
      <c r="AT1857" s="9" t="str">
        <f aca="false">HYPERLINK("http://catalog.hathitrust.org/Record/102083910","HathiTrust Record")</f>
        <v>HathiTrust Record</v>
      </c>
      <c r="AU1857" s="9" t="str">
        <f aca="false">HYPERLINK("https://creighton-primo.hosted.exlibrisgroup.com/primo-explore/search?tab=default_tab&amp;search_scope=EVERYTHING&amp;vid=01CRU&amp;lang=en_US&amp;offset=0&amp;query=any,contains,991000990219702656","Catalog Record")</f>
        <v>Catalog Record</v>
      </c>
      <c r="AV1857" s="9" t="str">
        <f aca="false">HYPERLINK("http://www.worldcat.org/oclc/15107030","WorldCat Record")</f>
        <v>WorldCat Record</v>
      </c>
      <c r="AW1857" s="6" t="s">
        <v>16299</v>
      </c>
      <c r="AX1857" s="6" t="s">
        <v>16300</v>
      </c>
      <c r="AY1857" s="6" t="s">
        <v>16301</v>
      </c>
      <c r="AZ1857" s="6" t="s">
        <v>16301</v>
      </c>
      <c r="BA1857" s="6" t="s">
        <v>16302</v>
      </c>
      <c r="BB1857" s="6" t="s">
        <v>16303</v>
      </c>
      <c r="BC1857" s="6" t="s">
        <v>16306</v>
      </c>
      <c r="BE1857" s="15" t="s">
        <v>2145</v>
      </c>
      <c r="BF1857" s="6" t="s">
        <v>16307</v>
      </c>
    </row>
    <row r="1858" customFormat="false" ht="163" hidden="false" customHeight="false" outlineLevel="0" collapsed="false">
      <c r="A1858" s="26" t="s">
        <v>63</v>
      </c>
      <c r="B1858" s="27" t="s">
        <v>2129</v>
      </c>
      <c r="C1858" s="27" t="s">
        <v>2130</v>
      </c>
      <c r="D1858" s="27" t="s">
        <v>16308</v>
      </c>
      <c r="E1858" s="27" t="s">
        <v>16309</v>
      </c>
      <c r="F1858" s="27" t="s">
        <v>16310</v>
      </c>
      <c r="G1858" s="28"/>
      <c r="H1858" s="6" t="s">
        <v>63</v>
      </c>
      <c r="I1858" s="6" t="s">
        <v>62</v>
      </c>
      <c r="J1858" s="6" t="s">
        <v>63</v>
      </c>
      <c r="K1858" s="6" t="s">
        <v>63</v>
      </c>
      <c r="L1858" s="6" t="s">
        <v>64</v>
      </c>
      <c r="M1858" s="27" t="s">
        <v>16311</v>
      </c>
      <c r="N1858" s="27" t="s">
        <v>16312</v>
      </c>
      <c r="O1858" s="6" t="s">
        <v>4869</v>
      </c>
      <c r="P1858" s="28"/>
      <c r="Q1858" s="6" t="s">
        <v>67</v>
      </c>
      <c r="R1858" s="6" t="s">
        <v>1059</v>
      </c>
      <c r="S1858" s="27" t="s">
        <v>16313</v>
      </c>
      <c r="T1858" s="6" t="s">
        <v>6138</v>
      </c>
      <c r="U1858" s="7" t="n">
        <v>1</v>
      </c>
      <c r="V1858" s="7" t="n">
        <v>1</v>
      </c>
      <c r="W1858" s="8" t="s">
        <v>16314</v>
      </c>
      <c r="X1858" s="8" t="s">
        <v>16314</v>
      </c>
      <c r="Y1858" s="8" t="s">
        <v>16064</v>
      </c>
      <c r="Z1858" s="8" t="s">
        <v>16064</v>
      </c>
      <c r="AA1858" s="7" t="n">
        <v>621</v>
      </c>
      <c r="AB1858" s="7" t="n">
        <v>545</v>
      </c>
      <c r="AC1858" s="7" t="n">
        <v>550</v>
      </c>
      <c r="AD1858" s="7" t="n">
        <v>3</v>
      </c>
      <c r="AE1858" s="7" t="n">
        <v>3</v>
      </c>
      <c r="AF1858" s="7" t="n">
        <v>19</v>
      </c>
      <c r="AG1858" s="7" t="n">
        <v>19</v>
      </c>
      <c r="AH1858" s="7" t="n">
        <v>6</v>
      </c>
      <c r="AI1858" s="7" t="n">
        <v>6</v>
      </c>
      <c r="AJ1858" s="7" t="n">
        <v>5</v>
      </c>
      <c r="AK1858" s="7" t="n">
        <v>5</v>
      </c>
      <c r="AL1858" s="7" t="n">
        <v>13</v>
      </c>
      <c r="AM1858" s="7" t="n">
        <v>13</v>
      </c>
      <c r="AN1858" s="7" t="n">
        <v>1</v>
      </c>
      <c r="AO1858" s="7" t="n">
        <v>1</v>
      </c>
      <c r="AP1858" s="7" t="n">
        <v>0</v>
      </c>
      <c r="AQ1858" s="7" t="n">
        <v>0</v>
      </c>
      <c r="AR1858" s="6" t="s">
        <v>63</v>
      </c>
      <c r="AS1858" s="6" t="s">
        <v>57</v>
      </c>
      <c r="AT1858" s="9" t="str">
        <f aca="false">HYPERLINK("http://catalog.hathitrust.org/Record/001379476","HathiTrust Record")</f>
        <v>HathiTrust Record</v>
      </c>
      <c r="AU1858" s="9" t="str">
        <f aca="false">HYPERLINK("https://creighton-primo.hosted.exlibrisgroup.com/primo-explore/search?tab=default_tab&amp;search_scope=EVERYTHING&amp;vid=01CRU&amp;lang=en_US&amp;offset=0&amp;query=any,contains,991002188639702656","Catalog Record")</f>
        <v>Catalog Record</v>
      </c>
      <c r="AV1858" s="9" t="str">
        <f aca="false">HYPERLINK("http://www.worldcat.org/oclc/280565","WorldCat Record")</f>
        <v>WorldCat Record</v>
      </c>
      <c r="AW1858" s="6" t="s">
        <v>16315</v>
      </c>
      <c r="AX1858" s="6" t="s">
        <v>16316</v>
      </c>
      <c r="AY1858" s="6" t="s">
        <v>16317</v>
      </c>
      <c r="AZ1858" s="6" t="s">
        <v>16317</v>
      </c>
      <c r="BA1858" s="6" t="s">
        <v>16318</v>
      </c>
      <c r="BB1858" s="28"/>
      <c r="BC1858" s="6" t="s">
        <v>16319</v>
      </c>
      <c r="BE1858" s="15" t="s">
        <v>2145</v>
      </c>
      <c r="BF1858" s="6" t="s">
        <v>16320</v>
      </c>
    </row>
    <row r="1859" customFormat="false" ht="82.5" hidden="false" customHeight="false" outlineLevel="0" collapsed="false">
      <c r="A1859" s="26" t="s">
        <v>63</v>
      </c>
      <c r="B1859" s="27" t="s">
        <v>2129</v>
      </c>
      <c r="C1859" s="27" t="s">
        <v>2130</v>
      </c>
      <c r="D1859" s="27" t="s">
        <v>16321</v>
      </c>
      <c r="E1859" s="27" t="s">
        <v>16322</v>
      </c>
      <c r="F1859" s="27" t="s">
        <v>16323</v>
      </c>
      <c r="G1859" s="28"/>
      <c r="H1859" s="6" t="s">
        <v>63</v>
      </c>
      <c r="I1859" s="6" t="s">
        <v>62</v>
      </c>
      <c r="J1859" s="6" t="s">
        <v>63</v>
      </c>
      <c r="K1859" s="6" t="s">
        <v>63</v>
      </c>
      <c r="L1859" s="6" t="s">
        <v>64</v>
      </c>
      <c r="M1859" s="27" t="s">
        <v>16324</v>
      </c>
      <c r="N1859" s="27" t="s">
        <v>16325</v>
      </c>
      <c r="O1859" s="6" t="s">
        <v>3301</v>
      </c>
      <c r="P1859" s="27" t="s">
        <v>327</v>
      </c>
      <c r="Q1859" s="6" t="s">
        <v>67</v>
      </c>
      <c r="R1859" s="6" t="s">
        <v>68</v>
      </c>
      <c r="S1859" s="28"/>
      <c r="T1859" s="6" t="s">
        <v>6138</v>
      </c>
      <c r="U1859" s="7" t="n">
        <v>2</v>
      </c>
      <c r="V1859" s="7" t="n">
        <v>2</v>
      </c>
      <c r="W1859" s="8" t="s">
        <v>16326</v>
      </c>
      <c r="X1859" s="8" t="s">
        <v>16326</v>
      </c>
      <c r="Y1859" s="8" t="s">
        <v>16064</v>
      </c>
      <c r="Z1859" s="8" t="s">
        <v>16064</v>
      </c>
      <c r="AA1859" s="7" t="n">
        <v>717</v>
      </c>
      <c r="AB1859" s="7" t="n">
        <v>653</v>
      </c>
      <c r="AC1859" s="7" t="n">
        <v>846</v>
      </c>
      <c r="AD1859" s="7" t="n">
        <v>8</v>
      </c>
      <c r="AE1859" s="7" t="n">
        <v>9</v>
      </c>
      <c r="AF1859" s="7" t="n">
        <v>29</v>
      </c>
      <c r="AG1859" s="7" t="n">
        <v>33</v>
      </c>
      <c r="AH1859" s="7" t="n">
        <v>8</v>
      </c>
      <c r="AI1859" s="7" t="n">
        <v>11</v>
      </c>
      <c r="AJ1859" s="7" t="n">
        <v>9</v>
      </c>
      <c r="AK1859" s="7" t="n">
        <v>9</v>
      </c>
      <c r="AL1859" s="7" t="n">
        <v>14</v>
      </c>
      <c r="AM1859" s="7" t="n">
        <v>17</v>
      </c>
      <c r="AN1859" s="7" t="n">
        <v>6</v>
      </c>
      <c r="AO1859" s="7" t="n">
        <v>6</v>
      </c>
      <c r="AP1859" s="7" t="n">
        <v>0</v>
      </c>
      <c r="AQ1859" s="7" t="n">
        <v>0</v>
      </c>
      <c r="AR1859" s="6" t="s">
        <v>63</v>
      </c>
      <c r="AS1859" s="6" t="s">
        <v>57</v>
      </c>
      <c r="AT1859" s="9" t="str">
        <f aca="false">HYPERLINK("http://catalog.hathitrust.org/Record/000770879","HathiTrust Record")</f>
        <v>HathiTrust Record</v>
      </c>
      <c r="AU1859" s="9" t="str">
        <f aca="false">HYPERLINK("https://creighton-primo.hosted.exlibrisgroup.com/primo-explore/search?tab=default_tab&amp;search_scope=EVERYTHING&amp;vid=01CRU&amp;lang=en_US&amp;offset=0&amp;query=any,contains,991000009569702656","Catalog Record")</f>
        <v>Catalog Record</v>
      </c>
      <c r="AV1859" s="9" t="str">
        <f aca="false">HYPERLINK("http://www.worldcat.org/oclc/8533411","WorldCat Record")</f>
        <v>WorldCat Record</v>
      </c>
      <c r="AW1859" s="6" t="s">
        <v>16327</v>
      </c>
      <c r="AX1859" s="6" t="s">
        <v>16328</v>
      </c>
      <c r="AY1859" s="6" t="s">
        <v>16329</v>
      </c>
      <c r="AZ1859" s="6" t="s">
        <v>16329</v>
      </c>
      <c r="BA1859" s="6" t="s">
        <v>16330</v>
      </c>
      <c r="BB1859" s="6" t="s">
        <v>16331</v>
      </c>
      <c r="BC1859" s="6" t="s">
        <v>16332</v>
      </c>
      <c r="BE1859" s="15" t="s">
        <v>2145</v>
      </c>
      <c r="BF1859" s="6" t="s">
        <v>16333</v>
      </c>
    </row>
    <row r="1860" customFormat="false" ht="82.5" hidden="false" customHeight="false" outlineLevel="0" collapsed="false">
      <c r="A1860" s="26" t="s">
        <v>63</v>
      </c>
      <c r="B1860" s="27" t="s">
        <v>2129</v>
      </c>
      <c r="C1860" s="27" t="s">
        <v>2130</v>
      </c>
      <c r="D1860" s="27" t="s">
        <v>16334</v>
      </c>
      <c r="E1860" s="27" t="s">
        <v>16335</v>
      </c>
      <c r="F1860" s="27" t="s">
        <v>16336</v>
      </c>
      <c r="G1860" s="28"/>
      <c r="H1860" s="6" t="s">
        <v>63</v>
      </c>
      <c r="I1860" s="6" t="s">
        <v>62</v>
      </c>
      <c r="J1860" s="6" t="s">
        <v>63</v>
      </c>
      <c r="K1860" s="6" t="s">
        <v>63</v>
      </c>
      <c r="L1860" s="6" t="s">
        <v>64</v>
      </c>
      <c r="M1860" s="27" t="s">
        <v>16337</v>
      </c>
      <c r="N1860" s="27" t="s">
        <v>16338</v>
      </c>
      <c r="O1860" s="6" t="s">
        <v>2369</v>
      </c>
      <c r="P1860" s="28"/>
      <c r="Q1860" s="6" t="s">
        <v>67</v>
      </c>
      <c r="R1860" s="6" t="s">
        <v>68</v>
      </c>
      <c r="S1860" s="27" t="s">
        <v>16339</v>
      </c>
      <c r="T1860" s="6" t="s">
        <v>6138</v>
      </c>
      <c r="U1860" s="7" t="n">
        <v>6</v>
      </c>
      <c r="V1860" s="7" t="n">
        <v>6</v>
      </c>
      <c r="W1860" s="8" t="s">
        <v>16340</v>
      </c>
      <c r="X1860" s="8" t="s">
        <v>16340</v>
      </c>
      <c r="Y1860" s="8" t="s">
        <v>16064</v>
      </c>
      <c r="Z1860" s="8" t="s">
        <v>16064</v>
      </c>
      <c r="AA1860" s="7" t="n">
        <v>1135</v>
      </c>
      <c r="AB1860" s="7" t="n">
        <v>923</v>
      </c>
      <c r="AC1860" s="7" t="n">
        <v>1058</v>
      </c>
      <c r="AD1860" s="7" t="n">
        <v>8</v>
      </c>
      <c r="AE1860" s="7" t="n">
        <v>8</v>
      </c>
      <c r="AF1860" s="7" t="n">
        <v>35</v>
      </c>
      <c r="AG1860" s="7" t="n">
        <v>40</v>
      </c>
      <c r="AH1860" s="7" t="n">
        <v>13</v>
      </c>
      <c r="AI1860" s="7" t="n">
        <v>15</v>
      </c>
      <c r="AJ1860" s="7" t="n">
        <v>6</v>
      </c>
      <c r="AK1860" s="7" t="n">
        <v>8</v>
      </c>
      <c r="AL1860" s="7" t="n">
        <v>19</v>
      </c>
      <c r="AM1860" s="7" t="n">
        <v>21</v>
      </c>
      <c r="AN1860" s="7" t="n">
        <v>6</v>
      </c>
      <c r="AO1860" s="7" t="n">
        <v>6</v>
      </c>
      <c r="AP1860" s="7" t="n">
        <v>0</v>
      </c>
      <c r="AQ1860" s="7" t="n">
        <v>0</v>
      </c>
      <c r="AR1860" s="6" t="s">
        <v>63</v>
      </c>
      <c r="AS1860" s="6" t="s">
        <v>57</v>
      </c>
      <c r="AT1860" s="9" t="str">
        <f aca="false">HYPERLINK("http://catalog.hathitrust.org/Record/001379477","HathiTrust Record")</f>
        <v>HathiTrust Record</v>
      </c>
      <c r="AU1860" s="9" t="str">
        <f aca="false">HYPERLINK("https://creighton-primo.hosted.exlibrisgroup.com/primo-explore/search?tab=default_tab&amp;search_scope=EVERYTHING&amp;vid=01CRU&amp;lang=en_US&amp;offset=0&amp;query=any,contains,991003772749702656","Catalog Record")</f>
        <v>Catalog Record</v>
      </c>
      <c r="AV1860" s="9" t="str">
        <f aca="false">HYPERLINK("http://www.worldcat.org/oclc/1474786","WorldCat Record")</f>
        <v>WorldCat Record</v>
      </c>
      <c r="AW1860" s="6" t="s">
        <v>16341</v>
      </c>
      <c r="AX1860" s="6" t="s">
        <v>16342</v>
      </c>
      <c r="AY1860" s="6" t="s">
        <v>16343</v>
      </c>
      <c r="AZ1860" s="6" t="s">
        <v>16343</v>
      </c>
      <c r="BA1860" s="6" t="s">
        <v>16344</v>
      </c>
      <c r="BB1860" s="28"/>
      <c r="BC1860" s="6" t="s">
        <v>16345</v>
      </c>
      <c r="BE1860" s="15" t="s">
        <v>2145</v>
      </c>
      <c r="BF1860" s="6" t="s">
        <v>16346</v>
      </c>
    </row>
    <row r="1861" customFormat="false" ht="255" hidden="false" customHeight="false" outlineLevel="0" collapsed="false">
      <c r="A1861" s="26" t="s">
        <v>63</v>
      </c>
      <c r="B1861" s="27" t="s">
        <v>2129</v>
      </c>
      <c r="C1861" s="27" t="s">
        <v>2130</v>
      </c>
      <c r="D1861" s="27" t="s">
        <v>16347</v>
      </c>
      <c r="E1861" s="27" t="s">
        <v>16348</v>
      </c>
      <c r="F1861" s="27" t="s">
        <v>16349</v>
      </c>
      <c r="G1861" s="6" t="s">
        <v>498</v>
      </c>
      <c r="H1861" s="6" t="s">
        <v>57</v>
      </c>
      <c r="I1861" s="6" t="s">
        <v>62</v>
      </c>
      <c r="J1861" s="6" t="s">
        <v>63</v>
      </c>
      <c r="K1861" s="6" t="s">
        <v>63</v>
      </c>
      <c r="L1861" s="6" t="s">
        <v>64</v>
      </c>
      <c r="M1861" s="27" t="s">
        <v>16350</v>
      </c>
      <c r="N1861" s="27" t="s">
        <v>16351</v>
      </c>
      <c r="O1861" s="6" t="s">
        <v>3405</v>
      </c>
      <c r="P1861" s="28"/>
      <c r="Q1861" s="6" t="s">
        <v>67</v>
      </c>
      <c r="R1861" s="6" t="s">
        <v>384</v>
      </c>
      <c r="S1861" s="28"/>
      <c r="T1861" s="6" t="s">
        <v>6138</v>
      </c>
      <c r="U1861" s="7" t="n">
        <v>7</v>
      </c>
      <c r="V1861" s="7" t="n">
        <v>10</v>
      </c>
      <c r="W1861" s="8" t="s">
        <v>16352</v>
      </c>
      <c r="X1861" s="8" t="s">
        <v>13877</v>
      </c>
      <c r="Y1861" s="8" t="s">
        <v>16064</v>
      </c>
      <c r="Z1861" s="8" t="s">
        <v>16064</v>
      </c>
      <c r="AA1861" s="7" t="n">
        <v>817</v>
      </c>
      <c r="AB1861" s="7" t="n">
        <v>709</v>
      </c>
      <c r="AC1861" s="7" t="n">
        <v>798</v>
      </c>
      <c r="AD1861" s="7" t="n">
        <v>4</v>
      </c>
      <c r="AE1861" s="7" t="n">
        <v>4</v>
      </c>
      <c r="AF1861" s="7" t="n">
        <v>31</v>
      </c>
      <c r="AG1861" s="7" t="n">
        <v>36</v>
      </c>
      <c r="AH1861" s="7" t="n">
        <v>12</v>
      </c>
      <c r="AI1861" s="7" t="n">
        <v>14</v>
      </c>
      <c r="AJ1861" s="7" t="n">
        <v>8</v>
      </c>
      <c r="AK1861" s="7" t="n">
        <v>8</v>
      </c>
      <c r="AL1861" s="7" t="n">
        <v>16</v>
      </c>
      <c r="AM1861" s="7" t="n">
        <v>19</v>
      </c>
      <c r="AN1861" s="7" t="n">
        <v>3</v>
      </c>
      <c r="AO1861" s="7" t="n">
        <v>3</v>
      </c>
      <c r="AP1861" s="7" t="n">
        <v>0</v>
      </c>
      <c r="AQ1861" s="7" t="n">
        <v>0</v>
      </c>
      <c r="AR1861" s="6" t="s">
        <v>63</v>
      </c>
      <c r="AS1861" s="6" t="s">
        <v>57</v>
      </c>
      <c r="AT1861" s="9" t="str">
        <f aca="false">HYPERLINK("http://catalog.hathitrust.org/Record/001379480","HathiTrust Record")</f>
        <v>HathiTrust Record</v>
      </c>
      <c r="AU1861" s="9" t="str">
        <f aca="false">HYPERLINK("https://creighton-primo.hosted.exlibrisgroup.com/primo-explore/search?tab=default_tab&amp;search_scope=EVERYTHING&amp;vid=01CRU&amp;lang=en_US&amp;offset=0&amp;query=any,contains,991003671409702656","Catalog Record")</f>
        <v>Catalog Record</v>
      </c>
      <c r="AV1861" s="9" t="str">
        <f aca="false">HYPERLINK("http://www.worldcat.org/oclc/1288929","WorldCat Record")</f>
        <v>WorldCat Record</v>
      </c>
      <c r="AW1861" s="6" t="s">
        <v>16353</v>
      </c>
      <c r="AX1861" s="6" t="s">
        <v>16354</v>
      </c>
      <c r="AY1861" s="6" t="s">
        <v>16355</v>
      </c>
      <c r="AZ1861" s="6" t="s">
        <v>16355</v>
      </c>
      <c r="BA1861" s="6" t="s">
        <v>16356</v>
      </c>
      <c r="BB1861" s="28"/>
      <c r="BC1861" s="6" t="s">
        <v>16357</v>
      </c>
      <c r="BE1861" s="15" t="s">
        <v>2145</v>
      </c>
      <c r="BF1861" s="6" t="s">
        <v>16358</v>
      </c>
    </row>
    <row r="1862" customFormat="false" ht="255" hidden="false" customHeight="false" outlineLevel="0" collapsed="false">
      <c r="A1862" s="26" t="s">
        <v>63</v>
      </c>
      <c r="B1862" s="27" t="s">
        <v>2129</v>
      </c>
      <c r="C1862" s="27" t="s">
        <v>2130</v>
      </c>
      <c r="D1862" s="27" t="s">
        <v>16347</v>
      </c>
      <c r="E1862" s="27" t="s">
        <v>16348</v>
      </c>
      <c r="F1862" s="27" t="s">
        <v>16349</v>
      </c>
      <c r="G1862" s="6" t="s">
        <v>502</v>
      </c>
      <c r="H1862" s="6" t="s">
        <v>57</v>
      </c>
      <c r="I1862" s="6" t="s">
        <v>62</v>
      </c>
      <c r="J1862" s="6" t="s">
        <v>63</v>
      </c>
      <c r="K1862" s="6" t="s">
        <v>63</v>
      </c>
      <c r="L1862" s="6" t="s">
        <v>64</v>
      </c>
      <c r="M1862" s="27" t="s">
        <v>16350</v>
      </c>
      <c r="N1862" s="27" t="s">
        <v>16351</v>
      </c>
      <c r="O1862" s="6" t="s">
        <v>3405</v>
      </c>
      <c r="P1862" s="28"/>
      <c r="Q1862" s="6" t="s">
        <v>67</v>
      </c>
      <c r="R1862" s="6" t="s">
        <v>384</v>
      </c>
      <c r="S1862" s="28"/>
      <c r="T1862" s="6" t="s">
        <v>6138</v>
      </c>
      <c r="U1862" s="7" t="n">
        <v>3</v>
      </c>
      <c r="V1862" s="7" t="n">
        <v>10</v>
      </c>
      <c r="W1862" s="8" t="s">
        <v>13877</v>
      </c>
      <c r="X1862" s="8" t="s">
        <v>13877</v>
      </c>
      <c r="Y1862" s="8" t="s">
        <v>16064</v>
      </c>
      <c r="Z1862" s="8" t="s">
        <v>16064</v>
      </c>
      <c r="AA1862" s="7" t="n">
        <v>817</v>
      </c>
      <c r="AB1862" s="7" t="n">
        <v>709</v>
      </c>
      <c r="AC1862" s="7" t="n">
        <v>798</v>
      </c>
      <c r="AD1862" s="7" t="n">
        <v>4</v>
      </c>
      <c r="AE1862" s="7" t="n">
        <v>4</v>
      </c>
      <c r="AF1862" s="7" t="n">
        <v>31</v>
      </c>
      <c r="AG1862" s="7" t="n">
        <v>36</v>
      </c>
      <c r="AH1862" s="7" t="n">
        <v>12</v>
      </c>
      <c r="AI1862" s="7" t="n">
        <v>14</v>
      </c>
      <c r="AJ1862" s="7" t="n">
        <v>8</v>
      </c>
      <c r="AK1862" s="7" t="n">
        <v>8</v>
      </c>
      <c r="AL1862" s="7" t="n">
        <v>16</v>
      </c>
      <c r="AM1862" s="7" t="n">
        <v>19</v>
      </c>
      <c r="AN1862" s="7" t="n">
        <v>3</v>
      </c>
      <c r="AO1862" s="7" t="n">
        <v>3</v>
      </c>
      <c r="AP1862" s="7" t="n">
        <v>0</v>
      </c>
      <c r="AQ1862" s="7" t="n">
        <v>0</v>
      </c>
      <c r="AR1862" s="6" t="s">
        <v>63</v>
      </c>
      <c r="AS1862" s="6" t="s">
        <v>57</v>
      </c>
      <c r="AT1862" s="9" t="str">
        <f aca="false">HYPERLINK("http://catalog.hathitrust.org/Record/001379480","HathiTrust Record")</f>
        <v>HathiTrust Record</v>
      </c>
      <c r="AU1862" s="9" t="str">
        <f aca="false">HYPERLINK("https://creighton-primo.hosted.exlibrisgroup.com/primo-explore/search?tab=default_tab&amp;search_scope=EVERYTHING&amp;vid=01CRU&amp;lang=en_US&amp;offset=0&amp;query=any,contains,991003671409702656","Catalog Record")</f>
        <v>Catalog Record</v>
      </c>
      <c r="AV1862" s="9" t="str">
        <f aca="false">HYPERLINK("http://www.worldcat.org/oclc/1288929","WorldCat Record")</f>
        <v>WorldCat Record</v>
      </c>
      <c r="AW1862" s="6" t="s">
        <v>16353</v>
      </c>
      <c r="AX1862" s="6" t="s">
        <v>16354</v>
      </c>
      <c r="AY1862" s="6" t="s">
        <v>16355</v>
      </c>
      <c r="AZ1862" s="6" t="s">
        <v>16355</v>
      </c>
      <c r="BA1862" s="6" t="s">
        <v>16356</v>
      </c>
      <c r="BB1862" s="28"/>
      <c r="BC1862" s="6" t="s">
        <v>16359</v>
      </c>
      <c r="BE1862" s="15" t="s">
        <v>2145</v>
      </c>
      <c r="BF1862" s="6" t="s">
        <v>16360</v>
      </c>
    </row>
    <row r="1863" customFormat="false" ht="266.5" hidden="false" customHeight="false" outlineLevel="0" collapsed="false">
      <c r="A1863" s="26" t="s">
        <v>63</v>
      </c>
      <c r="B1863" s="27" t="s">
        <v>2129</v>
      </c>
      <c r="C1863" s="27" t="s">
        <v>2130</v>
      </c>
      <c r="D1863" s="27" t="s">
        <v>16361</v>
      </c>
      <c r="E1863" s="27" t="s">
        <v>16362</v>
      </c>
      <c r="F1863" s="27" t="s">
        <v>16363</v>
      </c>
      <c r="G1863" s="28"/>
      <c r="H1863" s="6" t="s">
        <v>63</v>
      </c>
      <c r="I1863" s="6" t="s">
        <v>62</v>
      </c>
      <c r="J1863" s="6" t="s">
        <v>63</v>
      </c>
      <c r="K1863" s="6" t="s">
        <v>63</v>
      </c>
      <c r="L1863" s="6" t="s">
        <v>64</v>
      </c>
      <c r="M1863" s="27" t="s">
        <v>4432</v>
      </c>
      <c r="N1863" s="27" t="s">
        <v>16364</v>
      </c>
      <c r="O1863" s="6" t="s">
        <v>3919</v>
      </c>
      <c r="P1863" s="28"/>
      <c r="Q1863" s="6" t="s">
        <v>67</v>
      </c>
      <c r="R1863" s="6" t="s">
        <v>68</v>
      </c>
      <c r="S1863" s="28"/>
      <c r="T1863" s="6" t="s">
        <v>6138</v>
      </c>
      <c r="U1863" s="7" t="n">
        <v>3</v>
      </c>
      <c r="V1863" s="7" t="n">
        <v>3</v>
      </c>
      <c r="W1863" s="8" t="s">
        <v>16365</v>
      </c>
      <c r="X1863" s="8" t="s">
        <v>16365</v>
      </c>
      <c r="Y1863" s="8" t="s">
        <v>16064</v>
      </c>
      <c r="Z1863" s="8" t="s">
        <v>16064</v>
      </c>
      <c r="AA1863" s="7" t="n">
        <v>1361</v>
      </c>
      <c r="AB1863" s="7" t="n">
        <v>1286</v>
      </c>
      <c r="AC1863" s="7" t="n">
        <v>1799</v>
      </c>
      <c r="AD1863" s="7" t="n">
        <v>10</v>
      </c>
      <c r="AE1863" s="7" t="n">
        <v>15</v>
      </c>
      <c r="AF1863" s="7" t="n">
        <v>27</v>
      </c>
      <c r="AG1863" s="7" t="n">
        <v>48</v>
      </c>
      <c r="AH1863" s="7" t="n">
        <v>8</v>
      </c>
      <c r="AI1863" s="7" t="n">
        <v>17</v>
      </c>
      <c r="AJ1863" s="7" t="n">
        <v>5</v>
      </c>
      <c r="AK1863" s="7" t="n">
        <v>10</v>
      </c>
      <c r="AL1863" s="7" t="n">
        <v>13</v>
      </c>
      <c r="AM1863" s="7" t="n">
        <v>22</v>
      </c>
      <c r="AN1863" s="7" t="n">
        <v>5</v>
      </c>
      <c r="AO1863" s="7" t="n">
        <v>8</v>
      </c>
      <c r="AP1863" s="7" t="n">
        <v>1</v>
      </c>
      <c r="AQ1863" s="7" t="n">
        <v>2</v>
      </c>
      <c r="AR1863" s="6" t="s">
        <v>63</v>
      </c>
      <c r="AS1863" s="6" t="s">
        <v>63</v>
      </c>
      <c r="AT1863" s="9" t="str">
        <f aca="false">HYPERLINK("http://catalog.hathitrust.org/Record/001379484","HathiTrust Record")</f>
        <v>HathiTrust Record</v>
      </c>
      <c r="AU1863" s="9" t="str">
        <f aca="false">HYPERLINK("https://creighton-primo.hosted.exlibrisgroup.com/primo-explore/search?tab=default_tab&amp;search_scope=EVERYTHING&amp;vid=01CRU&amp;lang=en_US&amp;offset=0&amp;query=any,contains,991002543939702656","Catalog Record")</f>
        <v>Catalog Record</v>
      </c>
      <c r="AV1863" s="9" t="str">
        <f aca="false">HYPERLINK("http://www.worldcat.org/oclc/368395","WorldCat Record")</f>
        <v>WorldCat Record</v>
      </c>
      <c r="AW1863" s="6" t="s">
        <v>16366</v>
      </c>
      <c r="AX1863" s="6" t="s">
        <v>16367</v>
      </c>
      <c r="AY1863" s="6" t="s">
        <v>16368</v>
      </c>
      <c r="AZ1863" s="6" t="s">
        <v>16368</v>
      </c>
      <c r="BA1863" s="6" t="s">
        <v>16369</v>
      </c>
      <c r="BB1863" s="28"/>
      <c r="BC1863" s="6" t="s">
        <v>16370</v>
      </c>
      <c r="BE1863" s="15" t="s">
        <v>2145</v>
      </c>
      <c r="BF1863" s="6" t="s">
        <v>16371</v>
      </c>
    </row>
    <row r="1864" customFormat="false" ht="105.5" hidden="false" customHeight="false" outlineLevel="0" collapsed="false">
      <c r="A1864" s="26" t="s">
        <v>63</v>
      </c>
      <c r="B1864" s="27" t="s">
        <v>2129</v>
      </c>
      <c r="C1864" s="27" t="s">
        <v>2130</v>
      </c>
      <c r="D1864" s="27" t="s">
        <v>16372</v>
      </c>
      <c r="E1864" s="27" t="s">
        <v>16373</v>
      </c>
      <c r="F1864" s="27" t="s">
        <v>16374</v>
      </c>
      <c r="G1864" s="28"/>
      <c r="H1864" s="6" t="s">
        <v>63</v>
      </c>
      <c r="I1864" s="6" t="s">
        <v>62</v>
      </c>
      <c r="J1864" s="6" t="s">
        <v>63</v>
      </c>
      <c r="K1864" s="6" t="s">
        <v>63</v>
      </c>
      <c r="L1864" s="6" t="s">
        <v>64</v>
      </c>
      <c r="M1864" s="27" t="s">
        <v>16375</v>
      </c>
      <c r="N1864" s="27" t="s">
        <v>6390</v>
      </c>
      <c r="O1864" s="6" t="s">
        <v>3248</v>
      </c>
      <c r="P1864" s="28"/>
      <c r="Q1864" s="6" t="s">
        <v>67</v>
      </c>
      <c r="R1864" s="6" t="s">
        <v>68</v>
      </c>
      <c r="S1864" s="28"/>
      <c r="T1864" s="6" t="s">
        <v>6138</v>
      </c>
      <c r="U1864" s="7" t="n">
        <v>7</v>
      </c>
      <c r="V1864" s="7" t="n">
        <v>7</v>
      </c>
      <c r="W1864" s="8" t="s">
        <v>16376</v>
      </c>
      <c r="X1864" s="8" t="s">
        <v>16376</v>
      </c>
      <c r="Y1864" s="8" t="s">
        <v>5067</v>
      </c>
      <c r="Z1864" s="8" t="s">
        <v>5067</v>
      </c>
      <c r="AA1864" s="7" t="n">
        <v>1358</v>
      </c>
      <c r="AB1864" s="7" t="n">
        <v>1168</v>
      </c>
      <c r="AC1864" s="7" t="n">
        <v>1172</v>
      </c>
      <c r="AD1864" s="7" t="n">
        <v>9</v>
      </c>
      <c r="AE1864" s="7" t="n">
        <v>9</v>
      </c>
      <c r="AF1864" s="7" t="n">
        <v>26</v>
      </c>
      <c r="AG1864" s="7" t="n">
        <v>26</v>
      </c>
      <c r="AH1864" s="7" t="n">
        <v>9</v>
      </c>
      <c r="AI1864" s="7" t="n">
        <v>9</v>
      </c>
      <c r="AJ1864" s="7" t="n">
        <v>6</v>
      </c>
      <c r="AK1864" s="7" t="n">
        <v>6</v>
      </c>
      <c r="AL1864" s="7" t="n">
        <v>13</v>
      </c>
      <c r="AM1864" s="7" t="n">
        <v>13</v>
      </c>
      <c r="AN1864" s="7" t="n">
        <v>4</v>
      </c>
      <c r="AO1864" s="7" t="n">
        <v>4</v>
      </c>
      <c r="AP1864" s="7" t="n">
        <v>1</v>
      </c>
      <c r="AQ1864" s="7" t="n">
        <v>1</v>
      </c>
      <c r="AR1864" s="6" t="s">
        <v>63</v>
      </c>
      <c r="AS1864" s="6" t="s">
        <v>63</v>
      </c>
      <c r="AT1864" s="28"/>
      <c r="AU1864" s="9" t="str">
        <f aca="false">HYPERLINK("https://creighton-primo.hosted.exlibrisgroup.com/primo-explore/search?tab=default_tab&amp;search_scope=EVERYTHING&amp;vid=01CRU&amp;lang=en_US&amp;offset=0&amp;query=any,contains,991002490679702656","Catalog Record")</f>
        <v>Catalog Record</v>
      </c>
      <c r="AV1864" s="9" t="str">
        <f aca="false">HYPERLINK("http://www.worldcat.org/oclc/32396951","WorldCat Record")</f>
        <v>WorldCat Record</v>
      </c>
      <c r="AW1864" s="6" t="s">
        <v>16377</v>
      </c>
      <c r="AX1864" s="6" t="s">
        <v>16378</v>
      </c>
      <c r="AY1864" s="6" t="s">
        <v>16379</v>
      </c>
      <c r="AZ1864" s="6" t="s">
        <v>16379</v>
      </c>
      <c r="BA1864" s="6" t="s">
        <v>16380</v>
      </c>
      <c r="BB1864" s="6" t="s">
        <v>16381</v>
      </c>
      <c r="BC1864" s="6" t="s">
        <v>16382</v>
      </c>
      <c r="BE1864" s="15" t="s">
        <v>2145</v>
      </c>
      <c r="BF1864" s="6" t="s">
        <v>16383</v>
      </c>
    </row>
    <row r="1865" customFormat="false" ht="151.5" hidden="false" customHeight="false" outlineLevel="0" collapsed="false">
      <c r="A1865" s="26" t="s">
        <v>63</v>
      </c>
      <c r="B1865" s="27" t="s">
        <v>2129</v>
      </c>
      <c r="C1865" s="27" t="s">
        <v>2130</v>
      </c>
      <c r="D1865" s="27" t="s">
        <v>16384</v>
      </c>
      <c r="E1865" s="27" t="s">
        <v>16385</v>
      </c>
      <c r="F1865" s="27" t="s">
        <v>16386</v>
      </c>
      <c r="G1865" s="28"/>
      <c r="H1865" s="6" t="s">
        <v>63</v>
      </c>
      <c r="I1865" s="6" t="s">
        <v>62</v>
      </c>
      <c r="J1865" s="6" t="s">
        <v>63</v>
      </c>
      <c r="K1865" s="6" t="s">
        <v>63</v>
      </c>
      <c r="L1865" s="6" t="s">
        <v>64</v>
      </c>
      <c r="M1865" s="27" t="s">
        <v>16387</v>
      </c>
      <c r="N1865" s="27" t="s">
        <v>16388</v>
      </c>
      <c r="O1865" s="6" t="s">
        <v>137</v>
      </c>
      <c r="P1865" s="28"/>
      <c r="Q1865" s="6" t="s">
        <v>67</v>
      </c>
      <c r="R1865" s="6" t="s">
        <v>68</v>
      </c>
      <c r="S1865" s="28"/>
      <c r="T1865" s="6" t="s">
        <v>6138</v>
      </c>
      <c r="U1865" s="7" t="n">
        <v>5</v>
      </c>
      <c r="V1865" s="7" t="n">
        <v>5</v>
      </c>
      <c r="W1865" s="8" t="s">
        <v>16389</v>
      </c>
      <c r="X1865" s="8" t="s">
        <v>16389</v>
      </c>
      <c r="Y1865" s="8" t="s">
        <v>12416</v>
      </c>
      <c r="Z1865" s="8" t="s">
        <v>12416</v>
      </c>
      <c r="AA1865" s="7" t="n">
        <v>307</v>
      </c>
      <c r="AB1865" s="7" t="n">
        <v>274</v>
      </c>
      <c r="AC1865" s="7" t="n">
        <v>280</v>
      </c>
      <c r="AD1865" s="7" t="n">
        <v>3</v>
      </c>
      <c r="AE1865" s="7" t="n">
        <v>3</v>
      </c>
      <c r="AF1865" s="7" t="n">
        <v>9</v>
      </c>
      <c r="AG1865" s="7" t="n">
        <v>9</v>
      </c>
      <c r="AH1865" s="7" t="n">
        <v>1</v>
      </c>
      <c r="AI1865" s="7" t="n">
        <v>1</v>
      </c>
      <c r="AJ1865" s="7" t="n">
        <v>4</v>
      </c>
      <c r="AK1865" s="7" t="n">
        <v>4</v>
      </c>
      <c r="AL1865" s="7" t="n">
        <v>5</v>
      </c>
      <c r="AM1865" s="7" t="n">
        <v>5</v>
      </c>
      <c r="AN1865" s="7" t="n">
        <v>2</v>
      </c>
      <c r="AO1865" s="7" t="n">
        <v>2</v>
      </c>
      <c r="AP1865" s="7" t="n">
        <v>0</v>
      </c>
      <c r="AQ1865" s="7" t="n">
        <v>0</v>
      </c>
      <c r="AR1865" s="6" t="s">
        <v>63</v>
      </c>
      <c r="AS1865" s="6" t="s">
        <v>57</v>
      </c>
      <c r="AT1865" s="9" t="str">
        <f aca="false">HYPERLINK("http://catalog.hathitrust.org/Record/003144238","HathiTrust Record")</f>
        <v>HathiTrust Record</v>
      </c>
      <c r="AU1865" s="9" t="str">
        <f aca="false">HYPERLINK("https://creighton-primo.hosted.exlibrisgroup.com/primo-explore/search?tab=default_tab&amp;search_scope=EVERYTHING&amp;vid=01CRU&amp;lang=en_US&amp;offset=0&amp;query=any,contains,991002701369702656","Catalog Record")</f>
        <v>Catalog Record</v>
      </c>
      <c r="AV1865" s="9" t="str">
        <f aca="false">HYPERLINK("http://www.worldcat.org/oclc/35269931","WorldCat Record")</f>
        <v>WorldCat Record</v>
      </c>
      <c r="AW1865" s="6" t="s">
        <v>16390</v>
      </c>
      <c r="AX1865" s="6" t="s">
        <v>16391</v>
      </c>
      <c r="AY1865" s="6" t="s">
        <v>16392</v>
      </c>
      <c r="AZ1865" s="6" t="s">
        <v>16392</v>
      </c>
      <c r="BA1865" s="6" t="s">
        <v>16393</v>
      </c>
      <c r="BB1865" s="6" t="s">
        <v>16394</v>
      </c>
      <c r="BC1865" s="6" t="s">
        <v>16395</v>
      </c>
      <c r="BE1865" s="15" t="s">
        <v>2145</v>
      </c>
      <c r="BF1865" s="6" t="s">
        <v>16396</v>
      </c>
    </row>
    <row r="1866" customFormat="false" ht="82.5" hidden="false" customHeight="false" outlineLevel="0" collapsed="false">
      <c r="A1866" s="26" t="s">
        <v>63</v>
      </c>
      <c r="B1866" s="27" t="s">
        <v>2129</v>
      </c>
      <c r="C1866" s="27" t="s">
        <v>2130</v>
      </c>
      <c r="D1866" s="27" t="s">
        <v>16397</v>
      </c>
      <c r="E1866" s="27" t="s">
        <v>16398</v>
      </c>
      <c r="F1866" s="27" t="s">
        <v>16399</v>
      </c>
      <c r="G1866" s="28"/>
      <c r="H1866" s="6" t="s">
        <v>63</v>
      </c>
      <c r="I1866" s="6" t="s">
        <v>62</v>
      </c>
      <c r="J1866" s="6" t="s">
        <v>63</v>
      </c>
      <c r="K1866" s="6" t="s">
        <v>63</v>
      </c>
      <c r="L1866" s="6" t="s">
        <v>64</v>
      </c>
      <c r="M1866" s="27" t="s">
        <v>16400</v>
      </c>
      <c r="N1866" s="27" t="s">
        <v>13236</v>
      </c>
      <c r="O1866" s="6" t="s">
        <v>2369</v>
      </c>
      <c r="P1866" s="27" t="s">
        <v>16401</v>
      </c>
      <c r="Q1866" s="6" t="s">
        <v>67</v>
      </c>
      <c r="R1866" s="6" t="s">
        <v>68</v>
      </c>
      <c r="S1866" s="28"/>
      <c r="T1866" s="6" t="s">
        <v>6138</v>
      </c>
      <c r="U1866" s="7" t="n">
        <v>1</v>
      </c>
      <c r="V1866" s="7" t="n">
        <v>1</v>
      </c>
      <c r="W1866" s="8" t="s">
        <v>16402</v>
      </c>
      <c r="X1866" s="8" t="s">
        <v>16402</v>
      </c>
      <c r="Y1866" s="8" t="s">
        <v>16064</v>
      </c>
      <c r="Z1866" s="8" t="s">
        <v>16064</v>
      </c>
      <c r="AA1866" s="7" t="n">
        <v>550</v>
      </c>
      <c r="AB1866" s="7" t="n">
        <v>507</v>
      </c>
      <c r="AC1866" s="7" t="n">
        <v>754</v>
      </c>
      <c r="AD1866" s="7" t="n">
        <v>6</v>
      </c>
      <c r="AE1866" s="7" t="n">
        <v>6</v>
      </c>
      <c r="AF1866" s="7" t="n">
        <v>17</v>
      </c>
      <c r="AG1866" s="7" t="n">
        <v>21</v>
      </c>
      <c r="AH1866" s="7" t="n">
        <v>7</v>
      </c>
      <c r="AI1866" s="7" t="n">
        <v>10</v>
      </c>
      <c r="AJ1866" s="7" t="n">
        <v>2</v>
      </c>
      <c r="AK1866" s="7" t="n">
        <v>2</v>
      </c>
      <c r="AL1866" s="7" t="n">
        <v>7</v>
      </c>
      <c r="AM1866" s="7" t="n">
        <v>9</v>
      </c>
      <c r="AN1866" s="7" t="n">
        <v>4</v>
      </c>
      <c r="AO1866" s="7" t="n">
        <v>4</v>
      </c>
      <c r="AP1866" s="7" t="n">
        <v>0</v>
      </c>
      <c r="AQ1866" s="7" t="n">
        <v>0</v>
      </c>
      <c r="AR1866" s="6" t="s">
        <v>63</v>
      </c>
      <c r="AS1866" s="6" t="s">
        <v>63</v>
      </c>
      <c r="AT1866" s="28"/>
      <c r="AU1866" s="9" t="str">
        <f aca="false">HYPERLINK("https://creighton-primo.hosted.exlibrisgroup.com/primo-explore/search?tab=default_tab&amp;search_scope=EVERYTHING&amp;vid=01CRU&amp;lang=en_US&amp;offset=0&amp;query=any,contains,991003092909702656","Catalog Record")</f>
        <v>Catalog Record</v>
      </c>
      <c r="AV1866" s="9" t="str">
        <f aca="false">HYPERLINK("http://www.worldcat.org/oclc/643139","WorldCat Record")</f>
        <v>WorldCat Record</v>
      </c>
      <c r="AW1866" s="6" t="s">
        <v>16403</v>
      </c>
      <c r="AX1866" s="6" t="s">
        <v>16404</v>
      </c>
      <c r="AY1866" s="6" t="s">
        <v>16405</v>
      </c>
      <c r="AZ1866" s="6" t="s">
        <v>16405</v>
      </c>
      <c r="BA1866" s="6" t="s">
        <v>16406</v>
      </c>
      <c r="BB1866" s="28"/>
      <c r="BC1866" s="6" t="s">
        <v>16407</v>
      </c>
      <c r="BE1866" s="15" t="s">
        <v>2145</v>
      </c>
      <c r="BF1866" s="6" t="s">
        <v>16408</v>
      </c>
    </row>
    <row r="1867" customFormat="false" ht="71" hidden="false" customHeight="false" outlineLevel="0" collapsed="false">
      <c r="A1867" s="26" t="s">
        <v>63</v>
      </c>
      <c r="B1867" s="27" t="s">
        <v>2129</v>
      </c>
      <c r="C1867" s="27" t="s">
        <v>2130</v>
      </c>
      <c r="D1867" s="27" t="s">
        <v>16409</v>
      </c>
      <c r="E1867" s="27" t="s">
        <v>16410</v>
      </c>
      <c r="F1867" s="27" t="s">
        <v>16411</v>
      </c>
      <c r="G1867" s="28"/>
      <c r="H1867" s="6" t="s">
        <v>63</v>
      </c>
      <c r="I1867" s="6" t="s">
        <v>62</v>
      </c>
      <c r="J1867" s="6" t="s">
        <v>63</v>
      </c>
      <c r="K1867" s="6" t="s">
        <v>63</v>
      </c>
      <c r="L1867" s="6" t="s">
        <v>64</v>
      </c>
      <c r="M1867" s="27" t="s">
        <v>16412</v>
      </c>
      <c r="N1867" s="27" t="s">
        <v>16413</v>
      </c>
      <c r="O1867" s="6" t="s">
        <v>2262</v>
      </c>
      <c r="P1867" s="28"/>
      <c r="Q1867" s="6" t="s">
        <v>67</v>
      </c>
      <c r="R1867" s="6" t="s">
        <v>1108</v>
      </c>
      <c r="S1867" s="28"/>
      <c r="T1867" s="6" t="s">
        <v>6138</v>
      </c>
      <c r="U1867" s="7" t="n">
        <v>4</v>
      </c>
      <c r="V1867" s="7" t="n">
        <v>4</v>
      </c>
      <c r="W1867" s="8" t="s">
        <v>16414</v>
      </c>
      <c r="X1867" s="8" t="s">
        <v>16414</v>
      </c>
      <c r="Y1867" s="8" t="s">
        <v>16064</v>
      </c>
      <c r="Z1867" s="8" t="s">
        <v>16064</v>
      </c>
      <c r="AA1867" s="7" t="n">
        <v>408</v>
      </c>
      <c r="AB1867" s="7" t="n">
        <v>378</v>
      </c>
      <c r="AC1867" s="7" t="n">
        <v>443</v>
      </c>
      <c r="AD1867" s="7" t="n">
        <v>2</v>
      </c>
      <c r="AE1867" s="7" t="n">
        <v>3</v>
      </c>
      <c r="AF1867" s="7" t="n">
        <v>12</v>
      </c>
      <c r="AG1867" s="7" t="n">
        <v>19</v>
      </c>
      <c r="AH1867" s="7" t="n">
        <v>6</v>
      </c>
      <c r="AI1867" s="7" t="n">
        <v>7</v>
      </c>
      <c r="AJ1867" s="7" t="n">
        <v>3</v>
      </c>
      <c r="AK1867" s="7" t="n">
        <v>4</v>
      </c>
      <c r="AL1867" s="7" t="n">
        <v>6</v>
      </c>
      <c r="AM1867" s="7" t="n">
        <v>11</v>
      </c>
      <c r="AN1867" s="7" t="n">
        <v>1</v>
      </c>
      <c r="AO1867" s="7" t="n">
        <v>2</v>
      </c>
      <c r="AP1867" s="7" t="n">
        <v>0</v>
      </c>
      <c r="AQ1867" s="7" t="n">
        <v>0</v>
      </c>
      <c r="AR1867" s="6" t="s">
        <v>63</v>
      </c>
      <c r="AS1867" s="6" t="s">
        <v>57</v>
      </c>
      <c r="AT1867" s="9" t="str">
        <f aca="false">HYPERLINK("http://catalog.hathitrust.org/Record/000595170","HathiTrust Record")</f>
        <v>HathiTrust Record</v>
      </c>
      <c r="AU1867" s="9" t="str">
        <f aca="false">HYPERLINK("https://creighton-primo.hosted.exlibrisgroup.com/primo-explore/search?tab=default_tab&amp;search_scope=EVERYTHING&amp;vid=01CRU&amp;lang=en_US&amp;offset=0&amp;query=any,contains,991000790439702656","Catalog Record")</f>
        <v>Catalog Record</v>
      </c>
      <c r="AV1867" s="9" t="str">
        <f aca="false">HYPERLINK("http://www.worldcat.org/oclc/13156590","WorldCat Record")</f>
        <v>WorldCat Record</v>
      </c>
      <c r="AW1867" s="6" t="s">
        <v>16415</v>
      </c>
      <c r="AX1867" s="6" t="s">
        <v>16416</v>
      </c>
      <c r="AY1867" s="6" t="s">
        <v>16417</v>
      </c>
      <c r="AZ1867" s="6" t="s">
        <v>16417</v>
      </c>
      <c r="BA1867" s="6" t="s">
        <v>16418</v>
      </c>
      <c r="BB1867" s="6" t="s">
        <v>16419</v>
      </c>
      <c r="BC1867" s="6" t="s">
        <v>16420</v>
      </c>
      <c r="BE1867" s="15" t="s">
        <v>2145</v>
      </c>
      <c r="BF1867" s="6" t="s">
        <v>16421</v>
      </c>
    </row>
    <row r="1868" customFormat="false" ht="82.5" hidden="false" customHeight="false" outlineLevel="0" collapsed="false">
      <c r="A1868" s="26" t="s">
        <v>63</v>
      </c>
      <c r="B1868" s="27" t="s">
        <v>2129</v>
      </c>
      <c r="C1868" s="27" t="s">
        <v>2130</v>
      </c>
      <c r="D1868" s="27" t="s">
        <v>16422</v>
      </c>
      <c r="E1868" s="27" t="s">
        <v>16423</v>
      </c>
      <c r="F1868" s="27" t="s">
        <v>16424</v>
      </c>
      <c r="G1868" s="28"/>
      <c r="H1868" s="6" t="s">
        <v>63</v>
      </c>
      <c r="I1868" s="6" t="s">
        <v>62</v>
      </c>
      <c r="J1868" s="6" t="s">
        <v>63</v>
      </c>
      <c r="K1868" s="6" t="s">
        <v>63</v>
      </c>
      <c r="L1868" s="6" t="s">
        <v>64</v>
      </c>
      <c r="M1868" s="27" t="s">
        <v>16425</v>
      </c>
      <c r="N1868" s="27" t="s">
        <v>16426</v>
      </c>
      <c r="O1868" s="6" t="s">
        <v>221</v>
      </c>
      <c r="P1868" s="28"/>
      <c r="Q1868" s="6" t="s">
        <v>67</v>
      </c>
      <c r="R1868" s="6" t="s">
        <v>4707</v>
      </c>
      <c r="S1868" s="27" t="s">
        <v>16427</v>
      </c>
      <c r="T1868" s="6" t="s">
        <v>6138</v>
      </c>
      <c r="U1868" s="7" t="n">
        <v>3</v>
      </c>
      <c r="V1868" s="7" t="n">
        <v>3</v>
      </c>
      <c r="W1868" s="8" t="s">
        <v>16428</v>
      </c>
      <c r="X1868" s="8" t="s">
        <v>16428</v>
      </c>
      <c r="Y1868" s="8" t="s">
        <v>16064</v>
      </c>
      <c r="Z1868" s="8" t="s">
        <v>16064</v>
      </c>
      <c r="AA1868" s="7" t="n">
        <v>278</v>
      </c>
      <c r="AB1868" s="7" t="n">
        <v>237</v>
      </c>
      <c r="AC1868" s="7" t="n">
        <v>422</v>
      </c>
      <c r="AD1868" s="7" t="n">
        <v>3</v>
      </c>
      <c r="AE1868" s="7" t="n">
        <v>3</v>
      </c>
      <c r="AF1868" s="7" t="n">
        <v>26</v>
      </c>
      <c r="AG1868" s="7" t="n">
        <v>27</v>
      </c>
      <c r="AH1868" s="7" t="n">
        <v>8</v>
      </c>
      <c r="AI1868" s="7" t="n">
        <v>8</v>
      </c>
      <c r="AJ1868" s="7" t="n">
        <v>7</v>
      </c>
      <c r="AK1868" s="7" t="n">
        <v>8</v>
      </c>
      <c r="AL1868" s="7" t="n">
        <v>20</v>
      </c>
      <c r="AM1868" s="7" t="n">
        <v>21</v>
      </c>
      <c r="AN1868" s="7" t="n">
        <v>1</v>
      </c>
      <c r="AO1868" s="7" t="n">
        <v>1</v>
      </c>
      <c r="AP1868" s="7" t="n">
        <v>0</v>
      </c>
      <c r="AQ1868" s="7" t="n">
        <v>0</v>
      </c>
      <c r="AR1868" s="6" t="s">
        <v>63</v>
      </c>
      <c r="AS1868" s="6" t="s">
        <v>57</v>
      </c>
      <c r="AT1868" s="9" t="str">
        <f aca="false">HYPERLINK("http://catalog.hathitrust.org/Record/002196618","HathiTrust Record")</f>
        <v>HathiTrust Record</v>
      </c>
      <c r="AU1868" s="9" t="str">
        <f aca="false">HYPERLINK("https://creighton-primo.hosted.exlibrisgroup.com/primo-explore/search?tab=default_tab&amp;search_scope=EVERYTHING&amp;vid=01CRU&amp;lang=en_US&amp;offset=0&amp;query=any,contains,991000161489702656","Catalog Record")</f>
        <v>Catalog Record</v>
      </c>
      <c r="AV1868" s="9" t="str">
        <f aca="false">HYPERLINK("http://www.worldcat.org/oclc/9278770","WorldCat Record")</f>
        <v>WorldCat Record</v>
      </c>
      <c r="AW1868" s="6" t="s">
        <v>16429</v>
      </c>
      <c r="AX1868" s="6" t="s">
        <v>16430</v>
      </c>
      <c r="AY1868" s="6" t="s">
        <v>16431</v>
      </c>
      <c r="AZ1868" s="6" t="s">
        <v>16431</v>
      </c>
      <c r="BA1868" s="6" t="s">
        <v>16432</v>
      </c>
      <c r="BB1868" s="6" t="s">
        <v>16433</v>
      </c>
      <c r="BC1868" s="6" t="s">
        <v>16434</v>
      </c>
      <c r="BE1868" s="15" t="s">
        <v>2145</v>
      </c>
      <c r="BF1868" s="6" t="s">
        <v>16435</v>
      </c>
    </row>
    <row r="1869" customFormat="false" ht="127.85" hidden="false" customHeight="false" outlineLevel="0" collapsed="false">
      <c r="A1869" s="26" t="s">
        <v>63</v>
      </c>
      <c r="B1869" s="27" t="s">
        <v>2129</v>
      </c>
      <c r="C1869" s="27" t="s">
        <v>2130</v>
      </c>
      <c r="D1869" s="27" t="s">
        <v>16436</v>
      </c>
      <c r="E1869" s="27" t="s">
        <v>16437</v>
      </c>
      <c r="F1869" s="27" t="s">
        <v>16438</v>
      </c>
      <c r="G1869" s="28"/>
      <c r="H1869" s="6" t="s">
        <v>63</v>
      </c>
      <c r="I1869" s="6" t="s">
        <v>62</v>
      </c>
      <c r="J1869" s="6" t="s">
        <v>63</v>
      </c>
      <c r="K1869" s="6" t="s">
        <v>63</v>
      </c>
      <c r="L1869" s="6" t="s">
        <v>64</v>
      </c>
      <c r="M1869" s="27" t="s">
        <v>16439</v>
      </c>
      <c r="N1869" s="27" t="s">
        <v>16440</v>
      </c>
      <c r="O1869" s="6" t="s">
        <v>2893</v>
      </c>
      <c r="P1869" s="27" t="s">
        <v>16441</v>
      </c>
      <c r="Q1869" s="6" t="s">
        <v>67</v>
      </c>
      <c r="R1869" s="6" t="s">
        <v>68</v>
      </c>
      <c r="S1869" s="27" t="s">
        <v>16442</v>
      </c>
      <c r="T1869" s="6" t="s">
        <v>6138</v>
      </c>
      <c r="U1869" s="7" t="n">
        <v>5</v>
      </c>
      <c r="V1869" s="7" t="n">
        <v>5</v>
      </c>
      <c r="W1869" s="8" t="s">
        <v>16443</v>
      </c>
      <c r="X1869" s="8" t="s">
        <v>16443</v>
      </c>
      <c r="Y1869" s="8" t="s">
        <v>16444</v>
      </c>
      <c r="Z1869" s="8" t="s">
        <v>16444</v>
      </c>
      <c r="AA1869" s="7" t="n">
        <v>96</v>
      </c>
      <c r="AB1869" s="7" t="n">
        <v>88</v>
      </c>
      <c r="AC1869" s="7" t="n">
        <v>155</v>
      </c>
      <c r="AD1869" s="7" t="n">
        <v>1</v>
      </c>
      <c r="AE1869" s="7" t="n">
        <v>3</v>
      </c>
      <c r="AF1869" s="7" t="n">
        <v>6</v>
      </c>
      <c r="AG1869" s="7" t="n">
        <v>9</v>
      </c>
      <c r="AH1869" s="7" t="n">
        <v>4</v>
      </c>
      <c r="AI1869" s="7" t="n">
        <v>5</v>
      </c>
      <c r="AJ1869" s="7" t="n">
        <v>2</v>
      </c>
      <c r="AK1869" s="7" t="n">
        <v>2</v>
      </c>
      <c r="AL1869" s="7" t="n">
        <v>2</v>
      </c>
      <c r="AM1869" s="7" t="n">
        <v>3</v>
      </c>
      <c r="AN1869" s="7" t="n">
        <v>0</v>
      </c>
      <c r="AO1869" s="7" t="n">
        <v>1</v>
      </c>
      <c r="AP1869" s="7" t="n">
        <v>0</v>
      </c>
      <c r="AQ1869" s="7" t="n">
        <v>0</v>
      </c>
      <c r="AR1869" s="6" t="s">
        <v>63</v>
      </c>
      <c r="AS1869" s="6" t="s">
        <v>63</v>
      </c>
      <c r="AT1869" s="28"/>
      <c r="AU1869" s="9" t="str">
        <f aca="false">HYPERLINK("https://creighton-primo.hosted.exlibrisgroup.com/primo-explore/search?tab=default_tab&amp;search_scope=EVERYTHING&amp;vid=01CRU&amp;lang=en_US&amp;offset=0&amp;query=any,contains,991004014589702656","Catalog Record")</f>
        <v>Catalog Record</v>
      </c>
      <c r="AV1869" s="9" t="str">
        <f aca="false">HYPERLINK("http://www.worldcat.org/oclc/2103436","WorldCat Record")</f>
        <v>WorldCat Record</v>
      </c>
      <c r="AW1869" s="6" t="s">
        <v>16445</v>
      </c>
      <c r="AX1869" s="6" t="s">
        <v>16446</v>
      </c>
      <c r="AY1869" s="6" t="s">
        <v>16447</v>
      </c>
      <c r="AZ1869" s="6" t="s">
        <v>16447</v>
      </c>
      <c r="BA1869" s="6" t="s">
        <v>16448</v>
      </c>
      <c r="BB1869" s="28"/>
      <c r="BC1869" s="6" t="s">
        <v>16449</v>
      </c>
      <c r="BE1869" s="15" t="s">
        <v>2145</v>
      </c>
      <c r="BF1869" s="6" t="s">
        <v>16450</v>
      </c>
    </row>
    <row r="1870" customFormat="false" ht="163" hidden="false" customHeight="false" outlineLevel="0" collapsed="false">
      <c r="A1870" s="26" t="s">
        <v>63</v>
      </c>
      <c r="B1870" s="27" t="s">
        <v>2129</v>
      </c>
      <c r="C1870" s="27" t="s">
        <v>2130</v>
      </c>
      <c r="D1870" s="27" t="s">
        <v>16451</v>
      </c>
      <c r="E1870" s="27" t="s">
        <v>16452</v>
      </c>
      <c r="F1870" s="27" t="s">
        <v>16453</v>
      </c>
      <c r="G1870" s="6" t="s">
        <v>502</v>
      </c>
      <c r="H1870" s="6" t="s">
        <v>57</v>
      </c>
      <c r="I1870" s="6" t="s">
        <v>62</v>
      </c>
      <c r="J1870" s="6" t="s">
        <v>63</v>
      </c>
      <c r="K1870" s="6" t="s">
        <v>63</v>
      </c>
      <c r="L1870" s="6" t="s">
        <v>64</v>
      </c>
      <c r="M1870" s="27" t="s">
        <v>16454</v>
      </c>
      <c r="N1870" s="27" t="s">
        <v>16455</v>
      </c>
      <c r="O1870" s="6" t="s">
        <v>4053</v>
      </c>
      <c r="P1870" s="28"/>
      <c r="Q1870" s="6" t="s">
        <v>67</v>
      </c>
      <c r="R1870" s="6" t="s">
        <v>68</v>
      </c>
      <c r="S1870" s="27" t="s">
        <v>16456</v>
      </c>
      <c r="T1870" s="6" t="s">
        <v>6138</v>
      </c>
      <c r="U1870" s="7" t="n">
        <v>1</v>
      </c>
      <c r="V1870" s="7" t="n">
        <v>2</v>
      </c>
      <c r="W1870" s="28"/>
      <c r="X1870" s="8" t="s">
        <v>15849</v>
      </c>
      <c r="Y1870" s="8" t="s">
        <v>16101</v>
      </c>
      <c r="Z1870" s="8" t="s">
        <v>16101</v>
      </c>
      <c r="AA1870" s="7" t="n">
        <v>901</v>
      </c>
      <c r="AB1870" s="7" t="n">
        <v>809</v>
      </c>
      <c r="AC1870" s="7" t="n">
        <v>1085</v>
      </c>
      <c r="AD1870" s="7" t="n">
        <v>6</v>
      </c>
      <c r="AE1870" s="7" t="n">
        <v>7</v>
      </c>
      <c r="AF1870" s="7" t="n">
        <v>40</v>
      </c>
      <c r="AG1870" s="7" t="n">
        <v>45</v>
      </c>
      <c r="AH1870" s="7" t="n">
        <v>17</v>
      </c>
      <c r="AI1870" s="7" t="n">
        <v>18</v>
      </c>
      <c r="AJ1870" s="7" t="n">
        <v>8</v>
      </c>
      <c r="AK1870" s="7" t="n">
        <v>9</v>
      </c>
      <c r="AL1870" s="7" t="n">
        <v>22</v>
      </c>
      <c r="AM1870" s="7" t="n">
        <v>25</v>
      </c>
      <c r="AN1870" s="7" t="n">
        <v>4</v>
      </c>
      <c r="AO1870" s="7" t="n">
        <v>4</v>
      </c>
      <c r="AP1870" s="7" t="n">
        <v>0</v>
      </c>
      <c r="AQ1870" s="7" t="n">
        <v>0</v>
      </c>
      <c r="AR1870" s="6" t="s">
        <v>63</v>
      </c>
      <c r="AS1870" s="6" t="s">
        <v>57</v>
      </c>
      <c r="AT1870" s="9" t="str">
        <f aca="false">HYPERLINK("http://catalog.hathitrust.org/Record/000612541","HathiTrust Record")</f>
        <v>HathiTrust Record</v>
      </c>
      <c r="AU1870" s="9" t="str">
        <f aca="false">HYPERLINK("https://creighton-primo.hosted.exlibrisgroup.com/primo-explore/search?tab=default_tab&amp;search_scope=EVERYTHING&amp;vid=01CRU&amp;lang=en_US&amp;offset=0&amp;query=any,contains,991003394339702656","Catalog Record")</f>
        <v>Catalog Record</v>
      </c>
      <c r="AV1870" s="9" t="str">
        <f aca="false">HYPERLINK("http://www.worldcat.org/oclc/933179","WorldCat Record")</f>
        <v>WorldCat Record</v>
      </c>
      <c r="AW1870" s="6" t="s">
        <v>16457</v>
      </c>
      <c r="AX1870" s="6" t="s">
        <v>16458</v>
      </c>
      <c r="AY1870" s="6" t="s">
        <v>16459</v>
      </c>
      <c r="AZ1870" s="6" t="s">
        <v>16459</v>
      </c>
      <c r="BA1870" s="6" t="s">
        <v>16460</v>
      </c>
      <c r="BB1870" s="28"/>
      <c r="BC1870" s="6" t="s">
        <v>16461</v>
      </c>
      <c r="BE1870" s="15" t="s">
        <v>2145</v>
      </c>
      <c r="BF1870" s="6" t="s">
        <v>16462</v>
      </c>
    </row>
    <row r="1871" customFormat="false" ht="163" hidden="false" customHeight="false" outlineLevel="0" collapsed="false">
      <c r="A1871" s="26" t="s">
        <v>63</v>
      </c>
      <c r="B1871" s="27" t="s">
        <v>2129</v>
      </c>
      <c r="C1871" s="27" t="s">
        <v>2130</v>
      </c>
      <c r="D1871" s="27" t="s">
        <v>16451</v>
      </c>
      <c r="E1871" s="27" t="s">
        <v>16452</v>
      </c>
      <c r="F1871" s="27" t="s">
        <v>16453</v>
      </c>
      <c r="G1871" s="6" t="s">
        <v>498</v>
      </c>
      <c r="H1871" s="6" t="s">
        <v>57</v>
      </c>
      <c r="I1871" s="6" t="s">
        <v>62</v>
      </c>
      <c r="J1871" s="6" t="s">
        <v>63</v>
      </c>
      <c r="K1871" s="6" t="s">
        <v>63</v>
      </c>
      <c r="L1871" s="6" t="s">
        <v>64</v>
      </c>
      <c r="M1871" s="27" t="s">
        <v>16454</v>
      </c>
      <c r="N1871" s="27" t="s">
        <v>16455</v>
      </c>
      <c r="O1871" s="6" t="s">
        <v>4053</v>
      </c>
      <c r="P1871" s="28"/>
      <c r="Q1871" s="6" t="s">
        <v>67</v>
      </c>
      <c r="R1871" s="6" t="s">
        <v>68</v>
      </c>
      <c r="S1871" s="27" t="s">
        <v>16456</v>
      </c>
      <c r="T1871" s="6" t="s">
        <v>6138</v>
      </c>
      <c r="U1871" s="7" t="n">
        <v>1</v>
      </c>
      <c r="V1871" s="7" t="n">
        <v>2</v>
      </c>
      <c r="W1871" s="8" t="s">
        <v>15849</v>
      </c>
      <c r="X1871" s="8" t="s">
        <v>15849</v>
      </c>
      <c r="Y1871" s="8" t="s">
        <v>16101</v>
      </c>
      <c r="Z1871" s="8" t="s">
        <v>16101</v>
      </c>
      <c r="AA1871" s="7" t="n">
        <v>901</v>
      </c>
      <c r="AB1871" s="7" t="n">
        <v>809</v>
      </c>
      <c r="AC1871" s="7" t="n">
        <v>1085</v>
      </c>
      <c r="AD1871" s="7" t="n">
        <v>6</v>
      </c>
      <c r="AE1871" s="7" t="n">
        <v>7</v>
      </c>
      <c r="AF1871" s="7" t="n">
        <v>40</v>
      </c>
      <c r="AG1871" s="7" t="n">
        <v>45</v>
      </c>
      <c r="AH1871" s="7" t="n">
        <v>17</v>
      </c>
      <c r="AI1871" s="7" t="n">
        <v>18</v>
      </c>
      <c r="AJ1871" s="7" t="n">
        <v>8</v>
      </c>
      <c r="AK1871" s="7" t="n">
        <v>9</v>
      </c>
      <c r="AL1871" s="7" t="n">
        <v>22</v>
      </c>
      <c r="AM1871" s="7" t="n">
        <v>25</v>
      </c>
      <c r="AN1871" s="7" t="n">
        <v>4</v>
      </c>
      <c r="AO1871" s="7" t="n">
        <v>4</v>
      </c>
      <c r="AP1871" s="7" t="n">
        <v>0</v>
      </c>
      <c r="AQ1871" s="7" t="n">
        <v>0</v>
      </c>
      <c r="AR1871" s="6" t="s">
        <v>63</v>
      </c>
      <c r="AS1871" s="6" t="s">
        <v>57</v>
      </c>
      <c r="AT1871" s="9" t="str">
        <f aca="false">HYPERLINK("http://catalog.hathitrust.org/Record/000612541","HathiTrust Record")</f>
        <v>HathiTrust Record</v>
      </c>
      <c r="AU1871" s="9" t="str">
        <f aca="false">HYPERLINK("https://creighton-primo.hosted.exlibrisgroup.com/primo-explore/search?tab=default_tab&amp;search_scope=EVERYTHING&amp;vid=01CRU&amp;lang=en_US&amp;offset=0&amp;query=any,contains,991003394339702656","Catalog Record")</f>
        <v>Catalog Record</v>
      </c>
      <c r="AV1871" s="9" t="str">
        <f aca="false">HYPERLINK("http://www.worldcat.org/oclc/933179","WorldCat Record")</f>
        <v>WorldCat Record</v>
      </c>
      <c r="AW1871" s="6" t="s">
        <v>16457</v>
      </c>
      <c r="AX1871" s="6" t="s">
        <v>16458</v>
      </c>
      <c r="AY1871" s="6" t="s">
        <v>16459</v>
      </c>
      <c r="AZ1871" s="6" t="s">
        <v>16459</v>
      </c>
      <c r="BA1871" s="6" t="s">
        <v>16460</v>
      </c>
      <c r="BB1871" s="28"/>
      <c r="BC1871" s="6" t="s">
        <v>16463</v>
      </c>
      <c r="BE1871" s="15" t="s">
        <v>2145</v>
      </c>
      <c r="BF1871" s="6" t="s">
        <v>16464</v>
      </c>
    </row>
    <row r="1872" customFormat="false" ht="105.5" hidden="false" customHeight="false" outlineLevel="0" collapsed="false">
      <c r="A1872" s="26" t="s">
        <v>63</v>
      </c>
      <c r="B1872" s="27" t="s">
        <v>2129</v>
      </c>
      <c r="C1872" s="27" t="s">
        <v>2130</v>
      </c>
      <c r="D1872" s="27" t="s">
        <v>16465</v>
      </c>
      <c r="E1872" s="27" t="s">
        <v>16466</v>
      </c>
      <c r="F1872" s="27" t="s">
        <v>16467</v>
      </c>
      <c r="G1872" s="28"/>
      <c r="H1872" s="6" t="s">
        <v>63</v>
      </c>
      <c r="I1872" s="6" t="s">
        <v>62</v>
      </c>
      <c r="J1872" s="6" t="s">
        <v>63</v>
      </c>
      <c r="K1872" s="6" t="s">
        <v>63</v>
      </c>
      <c r="L1872" s="6" t="s">
        <v>64</v>
      </c>
      <c r="M1872" s="27" t="s">
        <v>12674</v>
      </c>
      <c r="N1872" s="27" t="s">
        <v>16468</v>
      </c>
      <c r="O1872" s="6" t="s">
        <v>3405</v>
      </c>
      <c r="P1872" s="28"/>
      <c r="Q1872" s="6" t="s">
        <v>67</v>
      </c>
      <c r="R1872" s="6" t="s">
        <v>68</v>
      </c>
      <c r="S1872" s="28"/>
      <c r="T1872" s="6" t="s">
        <v>6138</v>
      </c>
      <c r="U1872" s="7" t="n">
        <v>11</v>
      </c>
      <c r="V1872" s="7" t="n">
        <v>11</v>
      </c>
      <c r="W1872" s="8" t="s">
        <v>9067</v>
      </c>
      <c r="X1872" s="8" t="s">
        <v>9067</v>
      </c>
      <c r="Y1872" s="8" t="s">
        <v>16469</v>
      </c>
      <c r="Z1872" s="8" t="s">
        <v>16469</v>
      </c>
      <c r="AA1872" s="7" t="n">
        <v>126</v>
      </c>
      <c r="AB1872" s="7" t="n">
        <v>122</v>
      </c>
      <c r="AC1872" s="7" t="n">
        <v>894</v>
      </c>
      <c r="AD1872" s="7" t="n">
        <v>1</v>
      </c>
      <c r="AE1872" s="7" t="n">
        <v>6</v>
      </c>
      <c r="AF1872" s="7" t="n">
        <v>9</v>
      </c>
      <c r="AG1872" s="7" t="n">
        <v>42</v>
      </c>
      <c r="AH1872" s="7" t="n">
        <v>4</v>
      </c>
      <c r="AI1872" s="7" t="n">
        <v>19</v>
      </c>
      <c r="AJ1872" s="7" t="n">
        <v>0</v>
      </c>
      <c r="AK1872" s="7" t="n">
        <v>8</v>
      </c>
      <c r="AL1872" s="7" t="n">
        <v>9</v>
      </c>
      <c r="AM1872" s="7" t="n">
        <v>24</v>
      </c>
      <c r="AN1872" s="7" t="n">
        <v>0</v>
      </c>
      <c r="AO1872" s="7" t="n">
        <v>2</v>
      </c>
      <c r="AP1872" s="7" t="n">
        <v>0</v>
      </c>
      <c r="AQ1872" s="7" t="n">
        <v>0</v>
      </c>
      <c r="AR1872" s="6" t="s">
        <v>63</v>
      </c>
      <c r="AS1872" s="6" t="s">
        <v>63</v>
      </c>
      <c r="AT1872" s="28"/>
      <c r="AU1872" s="9" t="str">
        <f aca="false">HYPERLINK("https://creighton-primo.hosted.exlibrisgroup.com/primo-explore/search?tab=default_tab&amp;search_scope=EVERYTHING&amp;vid=01CRU&amp;lang=en_US&amp;offset=0&amp;query=any,contains,991004265919702656","Catalog Record")</f>
        <v>Catalog Record</v>
      </c>
      <c r="AV1872" s="9" t="str">
        <f aca="false">HYPERLINK("http://www.worldcat.org/oclc/2865693","WorldCat Record")</f>
        <v>WorldCat Record</v>
      </c>
      <c r="AW1872" s="6" t="s">
        <v>16470</v>
      </c>
      <c r="AX1872" s="6" t="s">
        <v>16471</v>
      </c>
      <c r="AY1872" s="6" t="s">
        <v>16472</v>
      </c>
      <c r="AZ1872" s="6" t="s">
        <v>16472</v>
      </c>
      <c r="BA1872" s="6" t="s">
        <v>16473</v>
      </c>
      <c r="BB1872" s="28"/>
      <c r="BC1872" s="6" t="s">
        <v>16474</v>
      </c>
      <c r="BE1872" s="15" t="s">
        <v>2145</v>
      </c>
      <c r="BF1872" s="6" t="s">
        <v>16475</v>
      </c>
    </row>
    <row r="1873" customFormat="false" ht="94" hidden="false" customHeight="false" outlineLevel="0" collapsed="false">
      <c r="A1873" s="26" t="s">
        <v>63</v>
      </c>
      <c r="B1873" s="27" t="s">
        <v>2129</v>
      </c>
      <c r="C1873" s="27" t="s">
        <v>2130</v>
      </c>
      <c r="D1873" s="27" t="s">
        <v>16476</v>
      </c>
      <c r="E1873" s="27" t="s">
        <v>16477</v>
      </c>
      <c r="F1873" s="27" t="s">
        <v>16478</v>
      </c>
      <c r="G1873" s="28"/>
      <c r="H1873" s="6" t="s">
        <v>63</v>
      </c>
      <c r="I1873" s="6" t="s">
        <v>62</v>
      </c>
      <c r="J1873" s="6" t="s">
        <v>63</v>
      </c>
      <c r="K1873" s="6" t="s">
        <v>63</v>
      </c>
      <c r="L1873" s="6" t="s">
        <v>64</v>
      </c>
      <c r="M1873" s="27" t="s">
        <v>5000</v>
      </c>
      <c r="N1873" s="27" t="s">
        <v>16479</v>
      </c>
      <c r="O1873" s="6" t="s">
        <v>8920</v>
      </c>
      <c r="P1873" s="28"/>
      <c r="Q1873" s="6" t="s">
        <v>67</v>
      </c>
      <c r="R1873" s="6" t="s">
        <v>68</v>
      </c>
      <c r="S1873" s="27" t="s">
        <v>16480</v>
      </c>
      <c r="T1873" s="6" t="s">
        <v>6138</v>
      </c>
      <c r="U1873" s="7" t="n">
        <v>9</v>
      </c>
      <c r="V1873" s="7" t="n">
        <v>9</v>
      </c>
      <c r="W1873" s="8" t="s">
        <v>11546</v>
      </c>
      <c r="X1873" s="8" t="s">
        <v>11546</v>
      </c>
      <c r="Y1873" s="8" t="s">
        <v>16469</v>
      </c>
      <c r="Z1873" s="8" t="s">
        <v>16469</v>
      </c>
      <c r="AA1873" s="7" t="n">
        <v>1159</v>
      </c>
      <c r="AB1873" s="7" t="n">
        <v>1010</v>
      </c>
      <c r="AC1873" s="7" t="n">
        <v>1196</v>
      </c>
      <c r="AD1873" s="7" t="n">
        <v>10</v>
      </c>
      <c r="AE1873" s="7" t="n">
        <v>10</v>
      </c>
      <c r="AF1873" s="7" t="n">
        <v>49</v>
      </c>
      <c r="AG1873" s="7" t="n">
        <v>57</v>
      </c>
      <c r="AH1873" s="7" t="n">
        <v>19</v>
      </c>
      <c r="AI1873" s="7" t="n">
        <v>24</v>
      </c>
      <c r="AJ1873" s="7" t="n">
        <v>8</v>
      </c>
      <c r="AK1873" s="7" t="n">
        <v>10</v>
      </c>
      <c r="AL1873" s="7" t="n">
        <v>26</v>
      </c>
      <c r="AM1873" s="7" t="n">
        <v>27</v>
      </c>
      <c r="AN1873" s="7" t="n">
        <v>8</v>
      </c>
      <c r="AO1873" s="7" t="n">
        <v>8</v>
      </c>
      <c r="AP1873" s="7" t="n">
        <v>0</v>
      </c>
      <c r="AQ1873" s="7" t="n">
        <v>1</v>
      </c>
      <c r="AR1873" s="6" t="s">
        <v>63</v>
      </c>
      <c r="AS1873" s="6" t="s">
        <v>57</v>
      </c>
      <c r="AT1873" s="9" t="str">
        <f aca="false">HYPERLINK("http://catalog.hathitrust.org/Record/006198096","HathiTrust Record")</f>
        <v>HathiTrust Record</v>
      </c>
      <c r="AU1873" s="9" t="str">
        <f aca="false">HYPERLINK("https://creighton-primo.hosted.exlibrisgroup.com/primo-explore/search?tab=default_tab&amp;search_scope=EVERYTHING&amp;vid=01CRU&amp;lang=en_US&amp;offset=0&amp;query=any,contains,991002040899702656","Catalog Record")</f>
        <v>Catalog Record</v>
      </c>
      <c r="AV1873" s="9" t="str">
        <f aca="false">HYPERLINK("http://www.worldcat.org/oclc/260990","WorldCat Record")</f>
        <v>WorldCat Record</v>
      </c>
      <c r="AW1873" s="6" t="s">
        <v>16481</v>
      </c>
      <c r="AX1873" s="6" t="s">
        <v>16482</v>
      </c>
      <c r="AY1873" s="6" t="s">
        <v>16483</v>
      </c>
      <c r="AZ1873" s="6" t="s">
        <v>16483</v>
      </c>
      <c r="BA1873" s="6" t="s">
        <v>16484</v>
      </c>
      <c r="BB1873" s="28"/>
      <c r="BC1873" s="6" t="s">
        <v>16485</v>
      </c>
      <c r="BE1873" s="15" t="s">
        <v>2145</v>
      </c>
      <c r="BF1873" s="6" t="s">
        <v>16486</v>
      </c>
    </row>
    <row r="1874" customFormat="false" ht="128.5" hidden="false" customHeight="false" outlineLevel="0" collapsed="false">
      <c r="A1874" s="26" t="s">
        <v>63</v>
      </c>
      <c r="B1874" s="27" t="s">
        <v>2129</v>
      </c>
      <c r="C1874" s="27" t="s">
        <v>2130</v>
      </c>
      <c r="D1874" s="27" t="s">
        <v>16487</v>
      </c>
      <c r="E1874" s="27" t="s">
        <v>16488</v>
      </c>
      <c r="F1874" s="27" t="s">
        <v>16489</v>
      </c>
      <c r="G1874" s="6" t="s">
        <v>498</v>
      </c>
      <c r="H1874" s="6" t="s">
        <v>57</v>
      </c>
      <c r="I1874" s="6" t="s">
        <v>62</v>
      </c>
      <c r="J1874" s="6" t="s">
        <v>63</v>
      </c>
      <c r="K1874" s="6" t="s">
        <v>63</v>
      </c>
      <c r="L1874" s="6" t="s">
        <v>64</v>
      </c>
      <c r="M1874" s="27" t="s">
        <v>16490</v>
      </c>
      <c r="N1874" s="27" t="s">
        <v>16491</v>
      </c>
      <c r="O1874" s="6" t="s">
        <v>9303</v>
      </c>
      <c r="P1874" s="28"/>
      <c r="Q1874" s="6" t="s">
        <v>67</v>
      </c>
      <c r="R1874" s="6" t="s">
        <v>123</v>
      </c>
      <c r="S1874" s="28"/>
      <c r="T1874" s="6" t="s">
        <v>6138</v>
      </c>
      <c r="U1874" s="7" t="n">
        <v>2</v>
      </c>
      <c r="V1874" s="7" t="n">
        <v>3</v>
      </c>
      <c r="W1874" s="8" t="s">
        <v>16492</v>
      </c>
      <c r="X1874" s="8" t="s">
        <v>16492</v>
      </c>
      <c r="Y1874" s="8" t="s">
        <v>16493</v>
      </c>
      <c r="Z1874" s="8" t="s">
        <v>16493</v>
      </c>
      <c r="AA1874" s="7" t="n">
        <v>203</v>
      </c>
      <c r="AB1874" s="7" t="n">
        <v>192</v>
      </c>
      <c r="AC1874" s="7" t="n">
        <v>689</v>
      </c>
      <c r="AD1874" s="7" t="n">
        <v>1</v>
      </c>
      <c r="AE1874" s="7" t="n">
        <v>3</v>
      </c>
      <c r="AF1874" s="7" t="n">
        <v>14</v>
      </c>
      <c r="AG1874" s="7" t="n">
        <v>43</v>
      </c>
      <c r="AH1874" s="7" t="n">
        <v>4</v>
      </c>
      <c r="AI1874" s="7" t="n">
        <v>17</v>
      </c>
      <c r="AJ1874" s="7" t="n">
        <v>4</v>
      </c>
      <c r="AK1874" s="7" t="n">
        <v>9</v>
      </c>
      <c r="AL1874" s="7" t="n">
        <v>9</v>
      </c>
      <c r="AM1874" s="7" t="n">
        <v>28</v>
      </c>
      <c r="AN1874" s="7" t="n">
        <v>0</v>
      </c>
      <c r="AO1874" s="7" t="n">
        <v>2</v>
      </c>
      <c r="AP1874" s="7" t="n">
        <v>0</v>
      </c>
      <c r="AQ1874" s="7" t="n">
        <v>0</v>
      </c>
      <c r="AR1874" s="6" t="s">
        <v>63</v>
      </c>
      <c r="AS1874" s="6" t="s">
        <v>57</v>
      </c>
      <c r="AT1874" s="9" t="str">
        <f aca="false">HYPERLINK("http://catalog.hathitrust.org/Record/007913590","HathiTrust Record")</f>
        <v>HathiTrust Record</v>
      </c>
      <c r="AU1874" s="9" t="str">
        <f aca="false">HYPERLINK("https://creighton-primo.hosted.exlibrisgroup.com/primo-explore/search?tab=default_tab&amp;search_scope=EVERYTHING&amp;vid=01CRU&amp;lang=en_US&amp;offset=0&amp;query=any,contains,991003006449702656","Catalog Record")</f>
        <v>Catalog Record</v>
      </c>
      <c r="AV1874" s="9" t="str">
        <f aca="false">HYPERLINK("http://www.worldcat.org/oclc/573421","WorldCat Record")</f>
        <v>WorldCat Record</v>
      </c>
      <c r="AW1874" s="6" t="s">
        <v>16494</v>
      </c>
      <c r="AX1874" s="6" t="s">
        <v>16495</v>
      </c>
      <c r="AY1874" s="6" t="s">
        <v>16496</v>
      </c>
      <c r="AZ1874" s="6" t="s">
        <v>16496</v>
      </c>
      <c r="BA1874" s="6" t="s">
        <v>16497</v>
      </c>
      <c r="BB1874" s="28"/>
      <c r="BC1874" s="6" t="s">
        <v>16498</v>
      </c>
      <c r="BE1874" s="15" t="s">
        <v>2145</v>
      </c>
      <c r="BF1874" s="6" t="s">
        <v>16499</v>
      </c>
    </row>
    <row r="1875" customFormat="false" ht="128.5" hidden="false" customHeight="false" outlineLevel="0" collapsed="false">
      <c r="A1875" s="26" t="s">
        <v>63</v>
      </c>
      <c r="B1875" s="27" t="s">
        <v>2129</v>
      </c>
      <c r="C1875" s="27" t="s">
        <v>2130</v>
      </c>
      <c r="D1875" s="27" t="s">
        <v>16487</v>
      </c>
      <c r="E1875" s="27" t="s">
        <v>16488</v>
      </c>
      <c r="F1875" s="27" t="s">
        <v>16489</v>
      </c>
      <c r="G1875" s="6" t="s">
        <v>502</v>
      </c>
      <c r="H1875" s="6" t="s">
        <v>57</v>
      </c>
      <c r="I1875" s="6" t="s">
        <v>62</v>
      </c>
      <c r="J1875" s="6" t="s">
        <v>63</v>
      </c>
      <c r="K1875" s="6" t="s">
        <v>63</v>
      </c>
      <c r="L1875" s="6" t="s">
        <v>64</v>
      </c>
      <c r="M1875" s="27" t="s">
        <v>16490</v>
      </c>
      <c r="N1875" s="27" t="s">
        <v>16491</v>
      </c>
      <c r="O1875" s="6" t="s">
        <v>9303</v>
      </c>
      <c r="P1875" s="28"/>
      <c r="Q1875" s="6" t="s">
        <v>67</v>
      </c>
      <c r="R1875" s="6" t="s">
        <v>123</v>
      </c>
      <c r="S1875" s="28"/>
      <c r="T1875" s="6" t="s">
        <v>6138</v>
      </c>
      <c r="U1875" s="7" t="n">
        <v>1</v>
      </c>
      <c r="V1875" s="7" t="n">
        <v>3</v>
      </c>
      <c r="W1875" s="8" t="s">
        <v>16492</v>
      </c>
      <c r="X1875" s="8" t="s">
        <v>16492</v>
      </c>
      <c r="Y1875" s="8" t="s">
        <v>16493</v>
      </c>
      <c r="Z1875" s="8" t="s">
        <v>16493</v>
      </c>
      <c r="AA1875" s="7" t="n">
        <v>203</v>
      </c>
      <c r="AB1875" s="7" t="n">
        <v>192</v>
      </c>
      <c r="AC1875" s="7" t="n">
        <v>689</v>
      </c>
      <c r="AD1875" s="7" t="n">
        <v>1</v>
      </c>
      <c r="AE1875" s="7" t="n">
        <v>3</v>
      </c>
      <c r="AF1875" s="7" t="n">
        <v>14</v>
      </c>
      <c r="AG1875" s="7" t="n">
        <v>43</v>
      </c>
      <c r="AH1875" s="7" t="n">
        <v>4</v>
      </c>
      <c r="AI1875" s="7" t="n">
        <v>17</v>
      </c>
      <c r="AJ1875" s="7" t="n">
        <v>4</v>
      </c>
      <c r="AK1875" s="7" t="n">
        <v>9</v>
      </c>
      <c r="AL1875" s="7" t="n">
        <v>9</v>
      </c>
      <c r="AM1875" s="7" t="n">
        <v>28</v>
      </c>
      <c r="AN1875" s="7" t="n">
        <v>0</v>
      </c>
      <c r="AO1875" s="7" t="n">
        <v>2</v>
      </c>
      <c r="AP1875" s="7" t="n">
        <v>0</v>
      </c>
      <c r="AQ1875" s="7" t="n">
        <v>0</v>
      </c>
      <c r="AR1875" s="6" t="s">
        <v>63</v>
      </c>
      <c r="AS1875" s="6" t="s">
        <v>57</v>
      </c>
      <c r="AT1875" s="9" t="str">
        <f aca="false">HYPERLINK("http://catalog.hathitrust.org/Record/007913590","HathiTrust Record")</f>
        <v>HathiTrust Record</v>
      </c>
      <c r="AU1875" s="9" t="str">
        <f aca="false">HYPERLINK("https://creighton-primo.hosted.exlibrisgroup.com/primo-explore/search?tab=default_tab&amp;search_scope=EVERYTHING&amp;vid=01CRU&amp;lang=en_US&amp;offset=0&amp;query=any,contains,991003006449702656","Catalog Record")</f>
        <v>Catalog Record</v>
      </c>
      <c r="AV1875" s="9" t="str">
        <f aca="false">HYPERLINK("http://www.worldcat.org/oclc/573421","WorldCat Record")</f>
        <v>WorldCat Record</v>
      </c>
      <c r="AW1875" s="6" t="s">
        <v>16494</v>
      </c>
      <c r="AX1875" s="6" t="s">
        <v>16495</v>
      </c>
      <c r="AY1875" s="6" t="s">
        <v>16496</v>
      </c>
      <c r="AZ1875" s="6" t="s">
        <v>16496</v>
      </c>
      <c r="BA1875" s="6" t="s">
        <v>16497</v>
      </c>
      <c r="BB1875" s="28"/>
      <c r="BC1875" s="6" t="s">
        <v>16500</v>
      </c>
      <c r="BE1875" s="15" t="s">
        <v>2145</v>
      </c>
      <c r="BF1875" s="6" t="s">
        <v>16501</v>
      </c>
    </row>
    <row r="1876" customFormat="false" ht="163" hidden="false" customHeight="false" outlineLevel="0" collapsed="false">
      <c r="A1876" s="26" t="s">
        <v>63</v>
      </c>
      <c r="B1876" s="27" t="s">
        <v>2129</v>
      </c>
      <c r="C1876" s="27" t="s">
        <v>2130</v>
      </c>
      <c r="D1876" s="27" t="s">
        <v>16502</v>
      </c>
      <c r="E1876" s="27" t="s">
        <v>16503</v>
      </c>
      <c r="F1876" s="27" t="s">
        <v>16504</v>
      </c>
      <c r="G1876" s="28"/>
      <c r="H1876" s="6" t="s">
        <v>63</v>
      </c>
      <c r="I1876" s="6" t="s">
        <v>62</v>
      </c>
      <c r="J1876" s="6" t="s">
        <v>63</v>
      </c>
      <c r="K1876" s="6" t="s">
        <v>63</v>
      </c>
      <c r="L1876" s="6" t="s">
        <v>64</v>
      </c>
      <c r="M1876" s="27" t="s">
        <v>16505</v>
      </c>
      <c r="N1876" s="27" t="s">
        <v>16506</v>
      </c>
      <c r="O1876" s="6" t="s">
        <v>152</v>
      </c>
      <c r="P1876" s="28"/>
      <c r="Q1876" s="6" t="s">
        <v>67</v>
      </c>
      <c r="R1876" s="6" t="s">
        <v>68</v>
      </c>
      <c r="S1876" s="28"/>
      <c r="T1876" s="6" t="s">
        <v>6138</v>
      </c>
      <c r="U1876" s="7" t="n">
        <v>2</v>
      </c>
      <c r="V1876" s="7" t="n">
        <v>2</v>
      </c>
      <c r="W1876" s="8" t="s">
        <v>9204</v>
      </c>
      <c r="X1876" s="8" t="s">
        <v>9204</v>
      </c>
      <c r="Y1876" s="8" t="s">
        <v>16064</v>
      </c>
      <c r="Z1876" s="8" t="s">
        <v>16064</v>
      </c>
      <c r="AA1876" s="7" t="n">
        <v>388</v>
      </c>
      <c r="AB1876" s="7" t="n">
        <v>350</v>
      </c>
      <c r="AC1876" s="7" t="n">
        <v>358</v>
      </c>
      <c r="AD1876" s="7" t="n">
        <v>2</v>
      </c>
      <c r="AE1876" s="7" t="n">
        <v>2</v>
      </c>
      <c r="AF1876" s="7" t="n">
        <v>20</v>
      </c>
      <c r="AG1876" s="7" t="n">
        <v>20</v>
      </c>
      <c r="AH1876" s="7" t="n">
        <v>8</v>
      </c>
      <c r="AI1876" s="7" t="n">
        <v>8</v>
      </c>
      <c r="AJ1876" s="7" t="n">
        <v>5</v>
      </c>
      <c r="AK1876" s="7" t="n">
        <v>5</v>
      </c>
      <c r="AL1876" s="7" t="n">
        <v>12</v>
      </c>
      <c r="AM1876" s="7" t="n">
        <v>12</v>
      </c>
      <c r="AN1876" s="7" t="n">
        <v>1</v>
      </c>
      <c r="AO1876" s="7" t="n">
        <v>1</v>
      </c>
      <c r="AP1876" s="7" t="n">
        <v>0</v>
      </c>
      <c r="AQ1876" s="7" t="n">
        <v>0</v>
      </c>
      <c r="AR1876" s="6" t="s">
        <v>63</v>
      </c>
      <c r="AS1876" s="6" t="s">
        <v>57</v>
      </c>
      <c r="AT1876" s="9" t="str">
        <f aca="false">HYPERLINK("http://catalog.hathitrust.org/Record/000206221","HathiTrust Record")</f>
        <v>HathiTrust Record</v>
      </c>
      <c r="AU1876" s="9" t="str">
        <f aca="false">HYPERLINK("https://creighton-primo.hosted.exlibrisgroup.com/primo-explore/search?tab=default_tab&amp;search_scope=EVERYTHING&amp;vid=01CRU&amp;lang=en_US&amp;offset=0&amp;query=any,contains,991000250929702656","Catalog Record")</f>
        <v>Catalog Record</v>
      </c>
      <c r="AV1876" s="9" t="str">
        <f aca="false">HYPERLINK("http://www.worldcat.org/oclc/9757253","WorldCat Record")</f>
        <v>WorldCat Record</v>
      </c>
      <c r="AW1876" s="6" t="s">
        <v>16507</v>
      </c>
      <c r="AX1876" s="6" t="s">
        <v>16508</v>
      </c>
      <c r="AY1876" s="6" t="s">
        <v>16509</v>
      </c>
      <c r="AZ1876" s="6" t="s">
        <v>16509</v>
      </c>
      <c r="BA1876" s="6" t="s">
        <v>16510</v>
      </c>
      <c r="BB1876" s="6" t="s">
        <v>16511</v>
      </c>
      <c r="BC1876" s="6" t="s">
        <v>16512</v>
      </c>
      <c r="BE1876" s="15" t="s">
        <v>2145</v>
      </c>
      <c r="BF1876" s="6" t="s">
        <v>16513</v>
      </c>
    </row>
    <row r="1877" customFormat="false" ht="82.5" hidden="false" customHeight="false" outlineLevel="0" collapsed="false">
      <c r="A1877" s="26" t="s">
        <v>63</v>
      </c>
      <c r="B1877" s="27" t="s">
        <v>2129</v>
      </c>
      <c r="C1877" s="27" t="s">
        <v>2130</v>
      </c>
      <c r="D1877" s="27" t="s">
        <v>16514</v>
      </c>
      <c r="E1877" s="27" t="s">
        <v>16515</v>
      </c>
      <c r="F1877" s="27" t="s">
        <v>16516</v>
      </c>
      <c r="G1877" s="28"/>
      <c r="H1877" s="6" t="s">
        <v>63</v>
      </c>
      <c r="I1877" s="6" t="s">
        <v>62</v>
      </c>
      <c r="J1877" s="6" t="s">
        <v>63</v>
      </c>
      <c r="K1877" s="6" t="s">
        <v>63</v>
      </c>
      <c r="L1877" s="6" t="s">
        <v>64</v>
      </c>
      <c r="M1877" s="27" t="s">
        <v>16517</v>
      </c>
      <c r="N1877" s="27" t="s">
        <v>16518</v>
      </c>
      <c r="O1877" s="6" t="s">
        <v>2467</v>
      </c>
      <c r="P1877" s="27" t="s">
        <v>255</v>
      </c>
      <c r="Q1877" s="6" t="s">
        <v>67</v>
      </c>
      <c r="R1877" s="6" t="s">
        <v>68</v>
      </c>
      <c r="S1877" s="28"/>
      <c r="T1877" s="6" t="s">
        <v>6138</v>
      </c>
      <c r="U1877" s="7" t="n">
        <v>1</v>
      </c>
      <c r="V1877" s="7" t="n">
        <v>1</v>
      </c>
      <c r="W1877" s="8" t="s">
        <v>16365</v>
      </c>
      <c r="X1877" s="8" t="s">
        <v>16365</v>
      </c>
      <c r="Y1877" s="8" t="s">
        <v>16064</v>
      </c>
      <c r="Z1877" s="8" t="s">
        <v>16064</v>
      </c>
      <c r="AA1877" s="7" t="n">
        <v>396</v>
      </c>
      <c r="AB1877" s="7" t="n">
        <v>369</v>
      </c>
      <c r="AC1877" s="7" t="n">
        <v>398</v>
      </c>
      <c r="AD1877" s="7" t="n">
        <v>3</v>
      </c>
      <c r="AE1877" s="7" t="n">
        <v>3</v>
      </c>
      <c r="AF1877" s="7" t="n">
        <v>6</v>
      </c>
      <c r="AG1877" s="7" t="n">
        <v>6</v>
      </c>
      <c r="AH1877" s="7" t="n">
        <v>3</v>
      </c>
      <c r="AI1877" s="7" t="n">
        <v>3</v>
      </c>
      <c r="AJ1877" s="7" t="n">
        <v>2</v>
      </c>
      <c r="AK1877" s="7" t="n">
        <v>2</v>
      </c>
      <c r="AL1877" s="7" t="n">
        <v>4</v>
      </c>
      <c r="AM1877" s="7" t="n">
        <v>4</v>
      </c>
      <c r="AN1877" s="7" t="n">
        <v>1</v>
      </c>
      <c r="AO1877" s="7" t="n">
        <v>1</v>
      </c>
      <c r="AP1877" s="7" t="n">
        <v>0</v>
      </c>
      <c r="AQ1877" s="7" t="n">
        <v>0</v>
      </c>
      <c r="AR1877" s="6" t="s">
        <v>63</v>
      </c>
      <c r="AS1877" s="6" t="s">
        <v>57</v>
      </c>
      <c r="AT1877" s="9" t="str">
        <f aca="false">HYPERLINK("http://catalog.hathitrust.org/Record/001379496","HathiTrust Record")</f>
        <v>HathiTrust Record</v>
      </c>
      <c r="AU1877" s="9" t="str">
        <f aca="false">HYPERLINK("https://creighton-primo.hosted.exlibrisgroup.com/primo-explore/search?tab=default_tab&amp;search_scope=EVERYTHING&amp;vid=01CRU&amp;lang=en_US&amp;offset=0&amp;query=any,contains,991003395209702656","Catalog Record")</f>
        <v>Catalog Record</v>
      </c>
      <c r="AV1877" s="9" t="str">
        <f aca="false">HYPERLINK("http://www.worldcat.org/oclc/934136","WorldCat Record")</f>
        <v>WorldCat Record</v>
      </c>
      <c r="AW1877" s="6" t="s">
        <v>16519</v>
      </c>
      <c r="AX1877" s="6" t="s">
        <v>16520</v>
      </c>
      <c r="AY1877" s="6" t="s">
        <v>16521</v>
      </c>
      <c r="AZ1877" s="6" t="s">
        <v>16521</v>
      </c>
      <c r="BA1877" s="6" t="s">
        <v>16522</v>
      </c>
      <c r="BB1877" s="28"/>
      <c r="BC1877" s="6" t="s">
        <v>16523</v>
      </c>
      <c r="BE1877" s="15" t="s">
        <v>2145</v>
      </c>
      <c r="BF1877" s="6" t="s">
        <v>16524</v>
      </c>
    </row>
    <row r="1878" customFormat="false" ht="59.5" hidden="false" customHeight="false" outlineLevel="0" collapsed="false">
      <c r="A1878" s="26" t="s">
        <v>63</v>
      </c>
      <c r="B1878" s="27" t="s">
        <v>2129</v>
      </c>
      <c r="C1878" s="27" t="s">
        <v>2130</v>
      </c>
      <c r="D1878" s="27" t="s">
        <v>16525</v>
      </c>
      <c r="E1878" s="27" t="s">
        <v>16526</v>
      </c>
      <c r="F1878" s="27" t="s">
        <v>16527</v>
      </c>
      <c r="G1878" s="28"/>
      <c r="H1878" s="6" t="s">
        <v>63</v>
      </c>
      <c r="I1878" s="6" t="s">
        <v>62</v>
      </c>
      <c r="J1878" s="6" t="s">
        <v>63</v>
      </c>
      <c r="K1878" s="6" t="s">
        <v>63</v>
      </c>
      <c r="L1878" s="6" t="s">
        <v>64</v>
      </c>
      <c r="M1878" s="28"/>
      <c r="N1878" s="27" t="s">
        <v>16528</v>
      </c>
      <c r="O1878" s="6" t="s">
        <v>4025</v>
      </c>
      <c r="P1878" s="27" t="s">
        <v>327</v>
      </c>
      <c r="Q1878" s="6" t="s">
        <v>67</v>
      </c>
      <c r="R1878" s="6" t="s">
        <v>68</v>
      </c>
      <c r="S1878" s="27" t="s">
        <v>16529</v>
      </c>
      <c r="T1878" s="6" t="s">
        <v>6138</v>
      </c>
      <c r="U1878" s="7" t="n">
        <v>3</v>
      </c>
      <c r="V1878" s="7" t="n">
        <v>3</v>
      </c>
      <c r="W1878" s="8" t="s">
        <v>16530</v>
      </c>
      <c r="X1878" s="8" t="s">
        <v>16530</v>
      </c>
      <c r="Y1878" s="8" t="s">
        <v>4721</v>
      </c>
      <c r="Z1878" s="8" t="s">
        <v>4721</v>
      </c>
      <c r="AA1878" s="7" t="n">
        <v>142</v>
      </c>
      <c r="AB1878" s="7" t="n">
        <v>130</v>
      </c>
      <c r="AC1878" s="7" t="n">
        <v>132</v>
      </c>
      <c r="AD1878" s="7" t="n">
        <v>2</v>
      </c>
      <c r="AE1878" s="7" t="n">
        <v>2</v>
      </c>
      <c r="AF1878" s="7" t="n">
        <v>6</v>
      </c>
      <c r="AG1878" s="7" t="n">
        <v>6</v>
      </c>
      <c r="AH1878" s="7" t="n">
        <v>0</v>
      </c>
      <c r="AI1878" s="7" t="n">
        <v>0</v>
      </c>
      <c r="AJ1878" s="7" t="n">
        <v>3</v>
      </c>
      <c r="AK1878" s="7" t="n">
        <v>3</v>
      </c>
      <c r="AL1878" s="7" t="n">
        <v>3</v>
      </c>
      <c r="AM1878" s="7" t="n">
        <v>3</v>
      </c>
      <c r="AN1878" s="7" t="n">
        <v>1</v>
      </c>
      <c r="AO1878" s="7" t="n">
        <v>1</v>
      </c>
      <c r="AP1878" s="7" t="n">
        <v>0</v>
      </c>
      <c r="AQ1878" s="7" t="n">
        <v>0</v>
      </c>
      <c r="AR1878" s="6" t="s">
        <v>63</v>
      </c>
      <c r="AS1878" s="6" t="s">
        <v>57</v>
      </c>
      <c r="AT1878" s="9" t="str">
        <f aca="false">HYPERLINK("http://catalog.hathitrust.org/Record/002450152","HathiTrust Record")</f>
        <v>HathiTrust Record</v>
      </c>
      <c r="AU1878" s="9" t="str">
        <f aca="false">HYPERLINK("https://creighton-primo.hosted.exlibrisgroup.com/primo-explore/search?tab=default_tab&amp;search_scope=EVERYTHING&amp;vid=01CRU&amp;lang=en_US&amp;offset=0&amp;query=any,contains,991001751999702656","Catalog Record")</f>
        <v>Catalog Record</v>
      </c>
      <c r="AV1878" s="9" t="str">
        <f aca="false">HYPERLINK("http://www.worldcat.org/oclc/22183616","WorldCat Record")</f>
        <v>WorldCat Record</v>
      </c>
      <c r="AW1878" s="6" t="s">
        <v>16531</v>
      </c>
      <c r="AX1878" s="6" t="s">
        <v>16532</v>
      </c>
      <c r="AY1878" s="6" t="s">
        <v>16533</v>
      </c>
      <c r="AZ1878" s="6" t="s">
        <v>16533</v>
      </c>
      <c r="BA1878" s="6" t="s">
        <v>16534</v>
      </c>
      <c r="BB1878" s="6" t="s">
        <v>16535</v>
      </c>
      <c r="BC1878" s="6" t="s">
        <v>16536</v>
      </c>
      <c r="BE1878" s="15" t="s">
        <v>2145</v>
      </c>
      <c r="BF1878" s="6" t="s">
        <v>16537</v>
      </c>
    </row>
    <row r="1879" customFormat="false" ht="117" hidden="false" customHeight="false" outlineLevel="0" collapsed="false">
      <c r="A1879" s="26" t="s">
        <v>63</v>
      </c>
      <c r="B1879" s="27" t="s">
        <v>2129</v>
      </c>
      <c r="C1879" s="27" t="s">
        <v>2130</v>
      </c>
      <c r="D1879" s="27" t="s">
        <v>16538</v>
      </c>
      <c r="E1879" s="27" t="s">
        <v>16539</v>
      </c>
      <c r="F1879" s="27" t="s">
        <v>16540</v>
      </c>
      <c r="G1879" s="6" t="s">
        <v>502</v>
      </c>
      <c r="H1879" s="6" t="s">
        <v>57</v>
      </c>
      <c r="I1879" s="6" t="s">
        <v>62</v>
      </c>
      <c r="J1879" s="6" t="s">
        <v>63</v>
      </c>
      <c r="K1879" s="6" t="s">
        <v>63</v>
      </c>
      <c r="L1879" s="6" t="s">
        <v>64</v>
      </c>
      <c r="M1879" s="27" t="s">
        <v>16541</v>
      </c>
      <c r="N1879" s="27" t="s">
        <v>16542</v>
      </c>
      <c r="O1879" s="6" t="s">
        <v>13876</v>
      </c>
      <c r="P1879" s="28"/>
      <c r="Q1879" s="6" t="s">
        <v>67</v>
      </c>
      <c r="R1879" s="6" t="s">
        <v>222</v>
      </c>
      <c r="S1879" s="28"/>
      <c r="T1879" s="6" t="s">
        <v>6138</v>
      </c>
      <c r="U1879" s="7" t="n">
        <v>0</v>
      </c>
      <c r="V1879" s="7" t="n">
        <v>3</v>
      </c>
      <c r="W1879" s="28"/>
      <c r="X1879" s="8" t="s">
        <v>16298</v>
      </c>
      <c r="Y1879" s="8" t="s">
        <v>16064</v>
      </c>
      <c r="Z1879" s="8" t="s">
        <v>16064</v>
      </c>
      <c r="AA1879" s="7" t="n">
        <v>170</v>
      </c>
      <c r="AB1879" s="7" t="n">
        <v>150</v>
      </c>
      <c r="AC1879" s="7" t="n">
        <v>466</v>
      </c>
      <c r="AD1879" s="7" t="n">
        <v>2</v>
      </c>
      <c r="AE1879" s="7" t="n">
        <v>4</v>
      </c>
      <c r="AF1879" s="7" t="n">
        <v>4</v>
      </c>
      <c r="AG1879" s="7" t="n">
        <v>22</v>
      </c>
      <c r="AH1879" s="7" t="n">
        <v>0</v>
      </c>
      <c r="AI1879" s="7" t="n">
        <v>6</v>
      </c>
      <c r="AJ1879" s="7" t="n">
        <v>1</v>
      </c>
      <c r="AK1879" s="7" t="n">
        <v>3</v>
      </c>
      <c r="AL1879" s="7" t="n">
        <v>2</v>
      </c>
      <c r="AM1879" s="7" t="n">
        <v>11</v>
      </c>
      <c r="AN1879" s="7" t="n">
        <v>1</v>
      </c>
      <c r="AO1879" s="7" t="n">
        <v>3</v>
      </c>
      <c r="AP1879" s="7" t="n">
        <v>0</v>
      </c>
      <c r="AQ1879" s="7" t="n">
        <v>0</v>
      </c>
      <c r="AR1879" s="6" t="s">
        <v>57</v>
      </c>
      <c r="AS1879" s="6" t="s">
        <v>63</v>
      </c>
      <c r="AT1879" s="9" t="str">
        <f aca="false">HYPERLINK("http://catalog.hathitrust.org/Record/001379502","HathiTrust Record")</f>
        <v>HathiTrust Record</v>
      </c>
      <c r="AU1879" s="9" t="str">
        <f aca="false">HYPERLINK("https://creighton-primo.hosted.exlibrisgroup.com/primo-explore/search?tab=default_tab&amp;search_scope=EVERYTHING&amp;vid=01CRU&amp;lang=en_US&amp;offset=0&amp;query=any,contains,991003237199702656","Catalog Record")</f>
        <v>Catalog Record</v>
      </c>
      <c r="AV1879" s="9" t="str">
        <f aca="false">HYPERLINK("http://www.worldcat.org/oclc/761559","WorldCat Record")</f>
        <v>WorldCat Record</v>
      </c>
      <c r="AW1879" s="6" t="s">
        <v>16543</v>
      </c>
      <c r="AX1879" s="6" t="s">
        <v>16544</v>
      </c>
      <c r="AY1879" s="6" t="s">
        <v>16545</v>
      </c>
      <c r="AZ1879" s="6" t="s">
        <v>16545</v>
      </c>
      <c r="BA1879" s="6" t="s">
        <v>16546</v>
      </c>
      <c r="BB1879" s="28"/>
      <c r="BC1879" s="6" t="s">
        <v>16547</v>
      </c>
      <c r="BE1879" s="15" t="s">
        <v>2145</v>
      </c>
      <c r="BF1879" s="6" t="s">
        <v>16548</v>
      </c>
    </row>
    <row r="1880" customFormat="false" ht="117" hidden="false" customHeight="false" outlineLevel="0" collapsed="false">
      <c r="A1880" s="26" t="s">
        <v>63</v>
      </c>
      <c r="B1880" s="27" t="s">
        <v>2129</v>
      </c>
      <c r="C1880" s="27" t="s">
        <v>2130</v>
      </c>
      <c r="D1880" s="27" t="s">
        <v>16538</v>
      </c>
      <c r="E1880" s="27" t="s">
        <v>16539</v>
      </c>
      <c r="F1880" s="27" t="s">
        <v>16540</v>
      </c>
      <c r="G1880" s="6" t="s">
        <v>498</v>
      </c>
      <c r="H1880" s="6" t="s">
        <v>57</v>
      </c>
      <c r="I1880" s="6" t="s">
        <v>62</v>
      </c>
      <c r="J1880" s="6" t="s">
        <v>63</v>
      </c>
      <c r="K1880" s="6" t="s">
        <v>63</v>
      </c>
      <c r="L1880" s="6" t="s">
        <v>64</v>
      </c>
      <c r="M1880" s="27" t="s">
        <v>16541</v>
      </c>
      <c r="N1880" s="27" t="s">
        <v>16542</v>
      </c>
      <c r="O1880" s="6" t="s">
        <v>13876</v>
      </c>
      <c r="P1880" s="28"/>
      <c r="Q1880" s="6" t="s">
        <v>67</v>
      </c>
      <c r="R1880" s="6" t="s">
        <v>222</v>
      </c>
      <c r="S1880" s="28"/>
      <c r="T1880" s="6" t="s">
        <v>6138</v>
      </c>
      <c r="U1880" s="7" t="n">
        <v>3</v>
      </c>
      <c r="V1880" s="7" t="n">
        <v>3</v>
      </c>
      <c r="W1880" s="8" t="s">
        <v>16298</v>
      </c>
      <c r="X1880" s="8" t="s">
        <v>16298</v>
      </c>
      <c r="Y1880" s="8" t="s">
        <v>16064</v>
      </c>
      <c r="Z1880" s="8" t="s">
        <v>16064</v>
      </c>
      <c r="AA1880" s="7" t="n">
        <v>170</v>
      </c>
      <c r="AB1880" s="7" t="n">
        <v>150</v>
      </c>
      <c r="AC1880" s="7" t="n">
        <v>466</v>
      </c>
      <c r="AD1880" s="7" t="n">
        <v>2</v>
      </c>
      <c r="AE1880" s="7" t="n">
        <v>4</v>
      </c>
      <c r="AF1880" s="7" t="n">
        <v>4</v>
      </c>
      <c r="AG1880" s="7" t="n">
        <v>22</v>
      </c>
      <c r="AH1880" s="7" t="n">
        <v>0</v>
      </c>
      <c r="AI1880" s="7" t="n">
        <v>6</v>
      </c>
      <c r="AJ1880" s="7" t="n">
        <v>1</v>
      </c>
      <c r="AK1880" s="7" t="n">
        <v>3</v>
      </c>
      <c r="AL1880" s="7" t="n">
        <v>2</v>
      </c>
      <c r="AM1880" s="7" t="n">
        <v>11</v>
      </c>
      <c r="AN1880" s="7" t="n">
        <v>1</v>
      </c>
      <c r="AO1880" s="7" t="n">
        <v>3</v>
      </c>
      <c r="AP1880" s="7" t="n">
        <v>0</v>
      </c>
      <c r="AQ1880" s="7" t="n">
        <v>0</v>
      </c>
      <c r="AR1880" s="6" t="s">
        <v>57</v>
      </c>
      <c r="AS1880" s="6" t="s">
        <v>63</v>
      </c>
      <c r="AT1880" s="9" t="str">
        <f aca="false">HYPERLINK("http://catalog.hathitrust.org/Record/001379502","HathiTrust Record")</f>
        <v>HathiTrust Record</v>
      </c>
      <c r="AU1880" s="9" t="str">
        <f aca="false">HYPERLINK("https://creighton-primo.hosted.exlibrisgroup.com/primo-explore/search?tab=default_tab&amp;search_scope=EVERYTHING&amp;vid=01CRU&amp;lang=en_US&amp;offset=0&amp;query=any,contains,991003237199702656","Catalog Record")</f>
        <v>Catalog Record</v>
      </c>
      <c r="AV1880" s="9" t="str">
        <f aca="false">HYPERLINK("http://www.worldcat.org/oclc/761559","WorldCat Record")</f>
        <v>WorldCat Record</v>
      </c>
      <c r="AW1880" s="6" t="s">
        <v>16543</v>
      </c>
      <c r="AX1880" s="6" t="s">
        <v>16544</v>
      </c>
      <c r="AY1880" s="6" t="s">
        <v>16545</v>
      </c>
      <c r="AZ1880" s="6" t="s">
        <v>16545</v>
      </c>
      <c r="BA1880" s="6" t="s">
        <v>16546</v>
      </c>
      <c r="BB1880" s="28"/>
      <c r="BC1880" s="6" t="s">
        <v>16549</v>
      </c>
      <c r="BE1880" s="15" t="s">
        <v>2145</v>
      </c>
      <c r="BF1880" s="6" t="s">
        <v>16550</v>
      </c>
    </row>
    <row r="1881" customFormat="false" ht="105.5" hidden="false" customHeight="false" outlineLevel="0" collapsed="false">
      <c r="A1881" s="26" t="s">
        <v>63</v>
      </c>
      <c r="B1881" s="27" t="s">
        <v>2129</v>
      </c>
      <c r="C1881" s="27" t="s">
        <v>2130</v>
      </c>
      <c r="D1881" s="27" t="s">
        <v>16551</v>
      </c>
      <c r="E1881" s="27" t="s">
        <v>16552</v>
      </c>
      <c r="F1881" s="27" t="s">
        <v>16553</v>
      </c>
      <c r="G1881" s="28"/>
      <c r="H1881" s="6" t="s">
        <v>63</v>
      </c>
      <c r="I1881" s="6" t="s">
        <v>62</v>
      </c>
      <c r="J1881" s="6" t="s">
        <v>63</v>
      </c>
      <c r="K1881" s="6" t="s">
        <v>63</v>
      </c>
      <c r="L1881" s="6" t="s">
        <v>64</v>
      </c>
      <c r="M1881" s="27" t="s">
        <v>16554</v>
      </c>
      <c r="N1881" s="27" t="s">
        <v>16555</v>
      </c>
      <c r="O1881" s="6" t="s">
        <v>4053</v>
      </c>
      <c r="P1881" s="28"/>
      <c r="Q1881" s="6" t="s">
        <v>67</v>
      </c>
      <c r="R1881" s="6" t="s">
        <v>409</v>
      </c>
      <c r="S1881" s="28"/>
      <c r="T1881" s="6" t="s">
        <v>6138</v>
      </c>
      <c r="U1881" s="7" t="n">
        <v>1</v>
      </c>
      <c r="V1881" s="7" t="n">
        <v>1</v>
      </c>
      <c r="W1881" s="8" t="s">
        <v>16556</v>
      </c>
      <c r="X1881" s="8" t="s">
        <v>16556</v>
      </c>
      <c r="Y1881" s="8" t="s">
        <v>16064</v>
      </c>
      <c r="Z1881" s="8" t="s">
        <v>16064</v>
      </c>
      <c r="AA1881" s="7" t="n">
        <v>184</v>
      </c>
      <c r="AB1881" s="7" t="n">
        <v>165</v>
      </c>
      <c r="AC1881" s="7" t="n">
        <v>213</v>
      </c>
      <c r="AD1881" s="7" t="n">
        <v>1</v>
      </c>
      <c r="AE1881" s="7" t="n">
        <v>2</v>
      </c>
      <c r="AF1881" s="7" t="n">
        <v>21</v>
      </c>
      <c r="AG1881" s="7" t="n">
        <v>23</v>
      </c>
      <c r="AH1881" s="7" t="n">
        <v>5</v>
      </c>
      <c r="AI1881" s="7" t="n">
        <v>5</v>
      </c>
      <c r="AJ1881" s="7" t="n">
        <v>5</v>
      </c>
      <c r="AK1881" s="7" t="n">
        <v>5</v>
      </c>
      <c r="AL1881" s="7" t="n">
        <v>19</v>
      </c>
      <c r="AM1881" s="7" t="n">
        <v>21</v>
      </c>
      <c r="AN1881" s="7" t="n">
        <v>0</v>
      </c>
      <c r="AO1881" s="7" t="n">
        <v>0</v>
      </c>
      <c r="AP1881" s="7" t="n">
        <v>0</v>
      </c>
      <c r="AQ1881" s="7" t="n">
        <v>0</v>
      </c>
      <c r="AR1881" s="6" t="s">
        <v>63</v>
      </c>
      <c r="AS1881" s="6" t="s">
        <v>63</v>
      </c>
      <c r="AT1881" s="28"/>
      <c r="AU1881" s="9" t="str">
        <f aca="false">HYPERLINK("https://creighton-primo.hosted.exlibrisgroup.com/primo-explore/search?tab=default_tab&amp;search_scope=EVERYTHING&amp;vid=01CRU&amp;lang=en_US&amp;offset=0&amp;query=any,contains,991004050149702656","Catalog Record")</f>
        <v>Catalog Record</v>
      </c>
      <c r="AV1881" s="9" t="str">
        <f aca="false">HYPERLINK("http://www.worldcat.org/oclc/2212070","WorldCat Record")</f>
        <v>WorldCat Record</v>
      </c>
      <c r="AW1881" s="6" t="s">
        <v>16557</v>
      </c>
      <c r="AX1881" s="6" t="s">
        <v>16558</v>
      </c>
      <c r="AY1881" s="6" t="s">
        <v>16559</v>
      </c>
      <c r="AZ1881" s="6" t="s">
        <v>16559</v>
      </c>
      <c r="BA1881" s="6" t="s">
        <v>16560</v>
      </c>
      <c r="BB1881" s="28"/>
      <c r="BC1881" s="6" t="s">
        <v>16561</v>
      </c>
      <c r="BE1881" s="15" t="s">
        <v>2145</v>
      </c>
      <c r="BF1881" s="6" t="s">
        <v>16562</v>
      </c>
    </row>
    <row r="1882" customFormat="false" ht="151.5" hidden="false" customHeight="false" outlineLevel="0" collapsed="false">
      <c r="A1882" s="26" t="s">
        <v>63</v>
      </c>
      <c r="B1882" s="27" t="s">
        <v>2129</v>
      </c>
      <c r="C1882" s="27" t="s">
        <v>2130</v>
      </c>
      <c r="D1882" s="27" t="s">
        <v>16563</v>
      </c>
      <c r="E1882" s="27" t="s">
        <v>16564</v>
      </c>
      <c r="F1882" s="27" t="s">
        <v>16565</v>
      </c>
      <c r="G1882" s="28"/>
      <c r="H1882" s="6" t="s">
        <v>63</v>
      </c>
      <c r="I1882" s="6" t="s">
        <v>62</v>
      </c>
      <c r="J1882" s="6" t="s">
        <v>63</v>
      </c>
      <c r="K1882" s="6" t="s">
        <v>63</v>
      </c>
      <c r="L1882" s="6" t="s">
        <v>64</v>
      </c>
      <c r="M1882" s="27" t="s">
        <v>16566</v>
      </c>
      <c r="N1882" s="27" t="s">
        <v>16567</v>
      </c>
      <c r="O1882" s="6" t="s">
        <v>2315</v>
      </c>
      <c r="P1882" s="28"/>
      <c r="Q1882" s="6" t="s">
        <v>67</v>
      </c>
      <c r="R1882" s="6" t="s">
        <v>1108</v>
      </c>
      <c r="S1882" s="28"/>
      <c r="T1882" s="6" t="s">
        <v>6138</v>
      </c>
      <c r="U1882" s="7" t="n">
        <v>2</v>
      </c>
      <c r="V1882" s="7" t="n">
        <v>2</v>
      </c>
      <c r="W1882" s="8" t="s">
        <v>9067</v>
      </c>
      <c r="X1882" s="8" t="s">
        <v>9067</v>
      </c>
      <c r="Y1882" s="8" t="s">
        <v>16064</v>
      </c>
      <c r="Z1882" s="8" t="s">
        <v>16064</v>
      </c>
      <c r="AA1882" s="7" t="n">
        <v>184</v>
      </c>
      <c r="AB1882" s="7" t="n">
        <v>147</v>
      </c>
      <c r="AC1882" s="7" t="n">
        <v>214</v>
      </c>
      <c r="AD1882" s="7" t="n">
        <v>3</v>
      </c>
      <c r="AE1882" s="7" t="n">
        <v>4</v>
      </c>
      <c r="AF1882" s="7" t="n">
        <v>10</v>
      </c>
      <c r="AG1882" s="7" t="n">
        <v>15</v>
      </c>
      <c r="AH1882" s="7" t="n">
        <v>3</v>
      </c>
      <c r="AI1882" s="7" t="n">
        <v>4</v>
      </c>
      <c r="AJ1882" s="7" t="n">
        <v>2</v>
      </c>
      <c r="AK1882" s="7" t="n">
        <v>5</v>
      </c>
      <c r="AL1882" s="7" t="n">
        <v>6</v>
      </c>
      <c r="AM1882" s="7" t="n">
        <v>8</v>
      </c>
      <c r="AN1882" s="7" t="n">
        <v>1</v>
      </c>
      <c r="AO1882" s="7" t="n">
        <v>2</v>
      </c>
      <c r="AP1882" s="7" t="n">
        <v>0</v>
      </c>
      <c r="AQ1882" s="7" t="n">
        <v>0</v>
      </c>
      <c r="AR1882" s="6" t="s">
        <v>63</v>
      </c>
      <c r="AS1882" s="6" t="s">
        <v>63</v>
      </c>
      <c r="AT1882" s="28"/>
      <c r="AU1882" s="9" t="str">
        <f aca="false">HYPERLINK("https://creighton-primo.hosted.exlibrisgroup.com/primo-explore/search?tab=default_tab&amp;search_scope=EVERYTHING&amp;vid=01CRU&amp;lang=en_US&amp;offset=0&amp;query=any,contains,991000666709702656","Catalog Record")</f>
        <v>Catalog Record</v>
      </c>
      <c r="AV1882" s="9" t="str">
        <f aca="false">HYPERLINK("http://www.worldcat.org/oclc/12285721","WorldCat Record")</f>
        <v>WorldCat Record</v>
      </c>
      <c r="AW1882" s="6" t="s">
        <v>16568</v>
      </c>
      <c r="AX1882" s="6" t="s">
        <v>16569</v>
      </c>
      <c r="AY1882" s="6" t="s">
        <v>16570</v>
      </c>
      <c r="AZ1882" s="6" t="s">
        <v>16570</v>
      </c>
      <c r="BA1882" s="6" t="s">
        <v>16571</v>
      </c>
      <c r="BB1882" s="6" t="s">
        <v>16572</v>
      </c>
      <c r="BC1882" s="6" t="s">
        <v>16573</v>
      </c>
      <c r="BE1882" s="15" t="s">
        <v>2145</v>
      </c>
      <c r="BF1882" s="6" t="s">
        <v>16574</v>
      </c>
    </row>
    <row r="1883" customFormat="false" ht="174.5" hidden="false" customHeight="false" outlineLevel="0" collapsed="false">
      <c r="A1883" s="26" t="s">
        <v>63</v>
      </c>
      <c r="B1883" s="27" t="s">
        <v>2129</v>
      </c>
      <c r="C1883" s="27" t="s">
        <v>2130</v>
      </c>
      <c r="D1883" s="27" t="s">
        <v>16575</v>
      </c>
      <c r="E1883" s="27" t="s">
        <v>16576</v>
      </c>
      <c r="F1883" s="27" t="s">
        <v>16577</v>
      </c>
      <c r="G1883" s="28"/>
      <c r="H1883" s="6" t="s">
        <v>63</v>
      </c>
      <c r="I1883" s="6" t="s">
        <v>62</v>
      </c>
      <c r="J1883" s="6" t="s">
        <v>63</v>
      </c>
      <c r="K1883" s="6" t="s">
        <v>63</v>
      </c>
      <c r="L1883" s="6" t="s">
        <v>64</v>
      </c>
      <c r="M1883" s="27" t="s">
        <v>3430</v>
      </c>
      <c r="N1883" s="27" t="s">
        <v>16578</v>
      </c>
      <c r="O1883" s="6" t="s">
        <v>167</v>
      </c>
      <c r="P1883" s="28"/>
      <c r="Q1883" s="6" t="s">
        <v>67</v>
      </c>
      <c r="R1883" s="6" t="s">
        <v>68</v>
      </c>
      <c r="S1883" s="27" t="s">
        <v>16579</v>
      </c>
      <c r="T1883" s="6" t="s">
        <v>6138</v>
      </c>
      <c r="U1883" s="7" t="n">
        <v>2</v>
      </c>
      <c r="V1883" s="7" t="n">
        <v>2</v>
      </c>
      <c r="W1883" s="8" t="s">
        <v>9067</v>
      </c>
      <c r="X1883" s="8" t="s">
        <v>9067</v>
      </c>
      <c r="Y1883" s="8" t="s">
        <v>16064</v>
      </c>
      <c r="Z1883" s="8" t="s">
        <v>16064</v>
      </c>
      <c r="AA1883" s="7" t="n">
        <v>292</v>
      </c>
      <c r="AB1883" s="7" t="n">
        <v>243</v>
      </c>
      <c r="AC1883" s="7" t="n">
        <v>254</v>
      </c>
      <c r="AD1883" s="7" t="n">
        <v>2</v>
      </c>
      <c r="AE1883" s="7" t="n">
        <v>2</v>
      </c>
      <c r="AF1883" s="7" t="n">
        <v>20</v>
      </c>
      <c r="AG1883" s="7" t="n">
        <v>20</v>
      </c>
      <c r="AH1883" s="7" t="n">
        <v>7</v>
      </c>
      <c r="AI1883" s="7" t="n">
        <v>7</v>
      </c>
      <c r="AJ1883" s="7" t="n">
        <v>4</v>
      </c>
      <c r="AK1883" s="7" t="n">
        <v>4</v>
      </c>
      <c r="AL1883" s="7" t="n">
        <v>13</v>
      </c>
      <c r="AM1883" s="7" t="n">
        <v>13</v>
      </c>
      <c r="AN1883" s="7" t="n">
        <v>1</v>
      </c>
      <c r="AO1883" s="7" t="n">
        <v>1</v>
      </c>
      <c r="AP1883" s="7" t="n">
        <v>0</v>
      </c>
      <c r="AQ1883" s="7" t="n">
        <v>0</v>
      </c>
      <c r="AR1883" s="6" t="s">
        <v>63</v>
      </c>
      <c r="AS1883" s="6" t="s">
        <v>63</v>
      </c>
      <c r="AT1883" s="28"/>
      <c r="AU1883" s="9" t="str">
        <f aca="false">HYPERLINK("https://creighton-primo.hosted.exlibrisgroup.com/primo-explore/search?tab=default_tab&amp;search_scope=EVERYTHING&amp;vid=01CRU&amp;lang=en_US&amp;offset=0&amp;query=any,contains,991003159299702656","Catalog Record")</f>
        <v>Catalog Record</v>
      </c>
      <c r="AV1883" s="9" t="str">
        <f aca="false">HYPERLINK("http://www.worldcat.org/oclc/698343","WorldCat Record")</f>
        <v>WorldCat Record</v>
      </c>
      <c r="AW1883" s="6" t="s">
        <v>16580</v>
      </c>
      <c r="AX1883" s="6" t="s">
        <v>16581</v>
      </c>
      <c r="AY1883" s="6" t="s">
        <v>16582</v>
      </c>
      <c r="AZ1883" s="6" t="s">
        <v>16582</v>
      </c>
      <c r="BA1883" s="6" t="s">
        <v>16583</v>
      </c>
      <c r="BB1883" s="28"/>
      <c r="BC1883" s="6" t="s">
        <v>16584</v>
      </c>
      <c r="BE1883" s="15" t="s">
        <v>2145</v>
      </c>
      <c r="BF1883" s="6" t="s">
        <v>16585</v>
      </c>
    </row>
    <row r="1884" customFormat="false" ht="48" hidden="false" customHeight="false" outlineLevel="0" collapsed="false">
      <c r="A1884" s="26" t="s">
        <v>63</v>
      </c>
      <c r="B1884" s="27" t="s">
        <v>2129</v>
      </c>
      <c r="C1884" s="27" t="s">
        <v>2130</v>
      </c>
      <c r="D1884" s="27" t="s">
        <v>16586</v>
      </c>
      <c r="E1884" s="27" t="s">
        <v>16587</v>
      </c>
      <c r="F1884" s="27" t="s">
        <v>16588</v>
      </c>
      <c r="G1884" s="28"/>
      <c r="H1884" s="6" t="s">
        <v>63</v>
      </c>
      <c r="I1884" s="6" t="s">
        <v>62</v>
      </c>
      <c r="J1884" s="6" t="s">
        <v>63</v>
      </c>
      <c r="K1884" s="6" t="s">
        <v>63</v>
      </c>
      <c r="L1884" s="6" t="s">
        <v>64</v>
      </c>
      <c r="M1884" s="27" t="s">
        <v>16589</v>
      </c>
      <c r="N1884" s="27" t="s">
        <v>16590</v>
      </c>
      <c r="O1884" s="6" t="s">
        <v>2797</v>
      </c>
      <c r="P1884" s="28"/>
      <c r="Q1884" s="6" t="s">
        <v>67</v>
      </c>
      <c r="R1884" s="6" t="s">
        <v>123</v>
      </c>
      <c r="S1884" s="28"/>
      <c r="T1884" s="6" t="s">
        <v>6138</v>
      </c>
      <c r="U1884" s="7" t="n">
        <v>7</v>
      </c>
      <c r="V1884" s="7" t="n">
        <v>7</v>
      </c>
      <c r="W1884" s="8" t="s">
        <v>16591</v>
      </c>
      <c r="X1884" s="8" t="s">
        <v>16591</v>
      </c>
      <c r="Y1884" s="8" t="s">
        <v>16493</v>
      </c>
      <c r="Z1884" s="8" t="s">
        <v>16493</v>
      </c>
      <c r="AA1884" s="7" t="n">
        <v>578</v>
      </c>
      <c r="AB1884" s="7" t="n">
        <v>459</v>
      </c>
      <c r="AC1884" s="7" t="n">
        <v>567</v>
      </c>
      <c r="AD1884" s="7" t="n">
        <v>5</v>
      </c>
      <c r="AE1884" s="7" t="n">
        <v>5</v>
      </c>
      <c r="AF1884" s="7" t="n">
        <v>32</v>
      </c>
      <c r="AG1884" s="7" t="n">
        <v>35</v>
      </c>
      <c r="AH1884" s="7" t="n">
        <v>12</v>
      </c>
      <c r="AI1884" s="7" t="n">
        <v>14</v>
      </c>
      <c r="AJ1884" s="7" t="n">
        <v>8</v>
      </c>
      <c r="AK1884" s="7" t="n">
        <v>9</v>
      </c>
      <c r="AL1884" s="7" t="n">
        <v>21</v>
      </c>
      <c r="AM1884" s="7" t="n">
        <v>22</v>
      </c>
      <c r="AN1884" s="7" t="n">
        <v>3</v>
      </c>
      <c r="AO1884" s="7" t="n">
        <v>3</v>
      </c>
      <c r="AP1884" s="7" t="n">
        <v>0</v>
      </c>
      <c r="AQ1884" s="7" t="n">
        <v>0</v>
      </c>
      <c r="AR1884" s="6" t="s">
        <v>63</v>
      </c>
      <c r="AS1884" s="6" t="s">
        <v>57</v>
      </c>
      <c r="AT1884" s="9" t="str">
        <f aca="false">HYPERLINK("http://catalog.hathitrust.org/Record/001395588","HathiTrust Record")</f>
        <v>HathiTrust Record</v>
      </c>
      <c r="AU1884" s="9" t="str">
        <f aca="false">HYPERLINK("https://creighton-primo.hosted.exlibrisgroup.com/primo-explore/search?tab=default_tab&amp;search_scope=EVERYTHING&amp;vid=01CRU&amp;lang=en_US&amp;offset=0&amp;query=any,contains,991003376779702656","Catalog Record")</f>
        <v>Catalog Record</v>
      </c>
      <c r="AV1884" s="9" t="str">
        <f aca="false">HYPERLINK("http://www.worldcat.org/oclc/31478971","WorldCat Record")</f>
        <v>WorldCat Record</v>
      </c>
      <c r="AW1884" s="6" t="s">
        <v>16592</v>
      </c>
      <c r="AX1884" s="6" t="s">
        <v>16593</v>
      </c>
      <c r="AY1884" s="6" t="s">
        <v>16594</v>
      </c>
      <c r="AZ1884" s="6" t="s">
        <v>16594</v>
      </c>
      <c r="BA1884" s="6" t="s">
        <v>16595</v>
      </c>
      <c r="BB1884" s="28"/>
      <c r="BC1884" s="6" t="s">
        <v>16596</v>
      </c>
      <c r="BE1884" s="15" t="s">
        <v>2145</v>
      </c>
      <c r="BF1884" s="6" t="s">
        <v>16597</v>
      </c>
    </row>
    <row r="1885" customFormat="false" ht="209" hidden="false" customHeight="false" outlineLevel="0" collapsed="false">
      <c r="A1885" s="26" t="s">
        <v>63</v>
      </c>
      <c r="B1885" s="27" t="s">
        <v>2129</v>
      </c>
      <c r="C1885" s="27" t="s">
        <v>2130</v>
      </c>
      <c r="D1885" s="27" t="s">
        <v>16598</v>
      </c>
      <c r="E1885" s="27" t="s">
        <v>16599</v>
      </c>
      <c r="F1885" s="27" t="s">
        <v>16600</v>
      </c>
      <c r="G1885" s="6" t="s">
        <v>502</v>
      </c>
      <c r="H1885" s="6" t="s">
        <v>57</v>
      </c>
      <c r="I1885" s="6" t="s">
        <v>62</v>
      </c>
      <c r="J1885" s="6" t="s">
        <v>63</v>
      </c>
      <c r="K1885" s="6" t="s">
        <v>63</v>
      </c>
      <c r="L1885" s="6" t="s">
        <v>64</v>
      </c>
      <c r="M1885" s="27" t="s">
        <v>16601</v>
      </c>
      <c r="N1885" s="27" t="s">
        <v>16602</v>
      </c>
      <c r="O1885" s="6" t="s">
        <v>2369</v>
      </c>
      <c r="P1885" s="28"/>
      <c r="Q1885" s="6" t="s">
        <v>67</v>
      </c>
      <c r="R1885" s="6" t="s">
        <v>9091</v>
      </c>
      <c r="S1885" s="28"/>
      <c r="T1885" s="6" t="s">
        <v>6138</v>
      </c>
      <c r="U1885" s="7" t="n">
        <v>0</v>
      </c>
      <c r="V1885" s="7" t="n">
        <v>1</v>
      </c>
      <c r="W1885" s="28"/>
      <c r="X1885" s="8" t="s">
        <v>9915</v>
      </c>
      <c r="Y1885" s="8" t="s">
        <v>2868</v>
      </c>
      <c r="Z1885" s="8" t="s">
        <v>2868</v>
      </c>
      <c r="AA1885" s="7" t="n">
        <v>75</v>
      </c>
      <c r="AB1885" s="7" t="n">
        <v>65</v>
      </c>
      <c r="AC1885" s="7" t="n">
        <v>98</v>
      </c>
      <c r="AD1885" s="7" t="n">
        <v>1</v>
      </c>
      <c r="AE1885" s="7" t="n">
        <v>1</v>
      </c>
      <c r="AF1885" s="7" t="n">
        <v>6</v>
      </c>
      <c r="AG1885" s="7" t="n">
        <v>10</v>
      </c>
      <c r="AH1885" s="7" t="n">
        <v>1</v>
      </c>
      <c r="AI1885" s="7" t="n">
        <v>2</v>
      </c>
      <c r="AJ1885" s="7" t="n">
        <v>3</v>
      </c>
      <c r="AK1885" s="7" t="n">
        <v>4</v>
      </c>
      <c r="AL1885" s="7" t="n">
        <v>4</v>
      </c>
      <c r="AM1885" s="7" t="n">
        <v>7</v>
      </c>
      <c r="AN1885" s="7" t="n">
        <v>0</v>
      </c>
      <c r="AO1885" s="7" t="n">
        <v>0</v>
      </c>
      <c r="AP1885" s="7" t="n">
        <v>0</v>
      </c>
      <c r="AQ1885" s="7" t="n">
        <v>0</v>
      </c>
      <c r="AR1885" s="6" t="s">
        <v>63</v>
      </c>
      <c r="AS1885" s="6" t="s">
        <v>57</v>
      </c>
      <c r="AT1885" s="9" t="str">
        <f aca="false">HYPERLINK("http://catalog.hathitrust.org/Record/101869649","HathiTrust Record")</f>
        <v>HathiTrust Record</v>
      </c>
      <c r="AU1885" s="9" t="str">
        <f aca="false">HYPERLINK("https://creighton-primo.hosted.exlibrisgroup.com/primo-explore/search?tab=default_tab&amp;search_scope=EVERYTHING&amp;vid=01CRU&amp;lang=en_US&amp;offset=0&amp;query=any,contains,991004192169702656","Catalog Record")</f>
        <v>Catalog Record</v>
      </c>
      <c r="AV1885" s="9" t="str">
        <f aca="false">HYPERLINK("http://www.worldcat.org/oclc/2633905","WorldCat Record")</f>
        <v>WorldCat Record</v>
      </c>
      <c r="AW1885" s="6" t="s">
        <v>16603</v>
      </c>
      <c r="AX1885" s="6" t="s">
        <v>16604</v>
      </c>
      <c r="AY1885" s="6" t="s">
        <v>16605</v>
      </c>
      <c r="AZ1885" s="6" t="s">
        <v>16605</v>
      </c>
      <c r="BA1885" s="6" t="s">
        <v>16606</v>
      </c>
      <c r="BB1885" s="28"/>
      <c r="BC1885" s="6" t="s">
        <v>16607</v>
      </c>
      <c r="BE1885" s="15" t="s">
        <v>2145</v>
      </c>
      <c r="BF1885" s="6" t="s">
        <v>16608</v>
      </c>
    </row>
    <row r="1886" customFormat="false" ht="209" hidden="false" customHeight="false" outlineLevel="0" collapsed="false">
      <c r="A1886" s="26" t="s">
        <v>63</v>
      </c>
      <c r="B1886" s="27" t="s">
        <v>2129</v>
      </c>
      <c r="C1886" s="27" t="s">
        <v>2130</v>
      </c>
      <c r="D1886" s="27" t="s">
        <v>16598</v>
      </c>
      <c r="E1886" s="27" t="s">
        <v>16599</v>
      </c>
      <c r="F1886" s="27" t="s">
        <v>16600</v>
      </c>
      <c r="G1886" s="6" t="s">
        <v>498</v>
      </c>
      <c r="H1886" s="6" t="s">
        <v>57</v>
      </c>
      <c r="I1886" s="6" t="s">
        <v>62</v>
      </c>
      <c r="J1886" s="6" t="s">
        <v>63</v>
      </c>
      <c r="K1886" s="6" t="s">
        <v>63</v>
      </c>
      <c r="L1886" s="6" t="s">
        <v>64</v>
      </c>
      <c r="M1886" s="27" t="s">
        <v>16601</v>
      </c>
      <c r="N1886" s="27" t="s">
        <v>16602</v>
      </c>
      <c r="O1886" s="6" t="s">
        <v>2369</v>
      </c>
      <c r="P1886" s="28"/>
      <c r="Q1886" s="6" t="s">
        <v>67</v>
      </c>
      <c r="R1886" s="6" t="s">
        <v>9091</v>
      </c>
      <c r="S1886" s="28"/>
      <c r="T1886" s="6" t="s">
        <v>6138</v>
      </c>
      <c r="U1886" s="7" t="n">
        <v>1</v>
      </c>
      <c r="V1886" s="7" t="n">
        <v>1</v>
      </c>
      <c r="W1886" s="8" t="s">
        <v>9915</v>
      </c>
      <c r="X1886" s="8" t="s">
        <v>9915</v>
      </c>
      <c r="Y1886" s="8" t="s">
        <v>2868</v>
      </c>
      <c r="Z1886" s="8" t="s">
        <v>2868</v>
      </c>
      <c r="AA1886" s="7" t="n">
        <v>75</v>
      </c>
      <c r="AB1886" s="7" t="n">
        <v>65</v>
      </c>
      <c r="AC1886" s="7" t="n">
        <v>98</v>
      </c>
      <c r="AD1886" s="7" t="n">
        <v>1</v>
      </c>
      <c r="AE1886" s="7" t="n">
        <v>1</v>
      </c>
      <c r="AF1886" s="7" t="n">
        <v>6</v>
      </c>
      <c r="AG1886" s="7" t="n">
        <v>10</v>
      </c>
      <c r="AH1886" s="7" t="n">
        <v>1</v>
      </c>
      <c r="AI1886" s="7" t="n">
        <v>2</v>
      </c>
      <c r="AJ1886" s="7" t="n">
        <v>3</v>
      </c>
      <c r="AK1886" s="7" t="n">
        <v>4</v>
      </c>
      <c r="AL1886" s="7" t="n">
        <v>4</v>
      </c>
      <c r="AM1886" s="7" t="n">
        <v>7</v>
      </c>
      <c r="AN1886" s="7" t="n">
        <v>0</v>
      </c>
      <c r="AO1886" s="7" t="n">
        <v>0</v>
      </c>
      <c r="AP1886" s="7" t="n">
        <v>0</v>
      </c>
      <c r="AQ1886" s="7" t="n">
        <v>0</v>
      </c>
      <c r="AR1886" s="6" t="s">
        <v>63</v>
      </c>
      <c r="AS1886" s="6" t="s">
        <v>57</v>
      </c>
      <c r="AT1886" s="9" t="str">
        <f aca="false">HYPERLINK("http://catalog.hathitrust.org/Record/101869649","HathiTrust Record")</f>
        <v>HathiTrust Record</v>
      </c>
      <c r="AU1886" s="9" t="str">
        <f aca="false">HYPERLINK("https://creighton-primo.hosted.exlibrisgroup.com/primo-explore/search?tab=default_tab&amp;search_scope=EVERYTHING&amp;vid=01CRU&amp;lang=en_US&amp;offset=0&amp;query=any,contains,991004192169702656","Catalog Record")</f>
        <v>Catalog Record</v>
      </c>
      <c r="AV1886" s="9" t="str">
        <f aca="false">HYPERLINK("http://www.worldcat.org/oclc/2633905","WorldCat Record")</f>
        <v>WorldCat Record</v>
      </c>
      <c r="AW1886" s="6" t="s">
        <v>16603</v>
      </c>
      <c r="AX1886" s="6" t="s">
        <v>16604</v>
      </c>
      <c r="AY1886" s="6" t="s">
        <v>16605</v>
      </c>
      <c r="AZ1886" s="6" t="s">
        <v>16605</v>
      </c>
      <c r="BA1886" s="6" t="s">
        <v>16606</v>
      </c>
      <c r="BB1886" s="28"/>
      <c r="BC1886" s="6" t="s">
        <v>16609</v>
      </c>
      <c r="BE1886" s="15" t="s">
        <v>2145</v>
      </c>
      <c r="BF1886" s="6" t="s">
        <v>16610</v>
      </c>
    </row>
    <row r="1887" customFormat="false" ht="82.5" hidden="false" customHeight="false" outlineLevel="0" collapsed="false">
      <c r="A1887" s="26" t="s">
        <v>63</v>
      </c>
      <c r="B1887" s="27" t="s">
        <v>2129</v>
      </c>
      <c r="C1887" s="27" t="s">
        <v>2130</v>
      </c>
      <c r="D1887" s="27" t="s">
        <v>16611</v>
      </c>
      <c r="E1887" s="27" t="s">
        <v>16612</v>
      </c>
      <c r="F1887" s="27" t="s">
        <v>16613</v>
      </c>
      <c r="G1887" s="6" t="s">
        <v>3504</v>
      </c>
      <c r="H1887" s="6" t="s">
        <v>57</v>
      </c>
      <c r="I1887" s="6" t="s">
        <v>62</v>
      </c>
      <c r="J1887" s="6" t="s">
        <v>63</v>
      </c>
      <c r="K1887" s="6" t="s">
        <v>63</v>
      </c>
      <c r="L1887" s="6" t="s">
        <v>64</v>
      </c>
      <c r="M1887" s="27" t="s">
        <v>16614</v>
      </c>
      <c r="N1887" s="27" t="s">
        <v>16615</v>
      </c>
      <c r="O1887" s="6" t="s">
        <v>3919</v>
      </c>
      <c r="P1887" s="28"/>
      <c r="Q1887" s="6" t="s">
        <v>67</v>
      </c>
      <c r="R1887" s="6" t="s">
        <v>367</v>
      </c>
      <c r="S1887" s="28"/>
      <c r="T1887" s="6" t="s">
        <v>6138</v>
      </c>
      <c r="U1887" s="7" t="n">
        <v>2</v>
      </c>
      <c r="V1887" s="7" t="n">
        <v>3</v>
      </c>
      <c r="W1887" s="8" t="s">
        <v>16616</v>
      </c>
      <c r="X1887" s="8" t="s">
        <v>16616</v>
      </c>
      <c r="Y1887" s="8" t="s">
        <v>9498</v>
      </c>
      <c r="Z1887" s="8" t="s">
        <v>9498</v>
      </c>
      <c r="AA1887" s="7" t="n">
        <v>358</v>
      </c>
      <c r="AB1887" s="7" t="n">
        <v>330</v>
      </c>
      <c r="AC1887" s="7" t="n">
        <v>346</v>
      </c>
      <c r="AD1887" s="7" t="n">
        <v>1</v>
      </c>
      <c r="AE1887" s="7" t="n">
        <v>1</v>
      </c>
      <c r="AF1887" s="7" t="n">
        <v>23</v>
      </c>
      <c r="AG1887" s="7" t="n">
        <v>23</v>
      </c>
      <c r="AH1887" s="7" t="n">
        <v>15</v>
      </c>
      <c r="AI1887" s="7" t="n">
        <v>15</v>
      </c>
      <c r="AJ1887" s="7" t="n">
        <v>5</v>
      </c>
      <c r="AK1887" s="7" t="n">
        <v>5</v>
      </c>
      <c r="AL1887" s="7" t="n">
        <v>10</v>
      </c>
      <c r="AM1887" s="7" t="n">
        <v>10</v>
      </c>
      <c r="AN1887" s="7" t="n">
        <v>0</v>
      </c>
      <c r="AO1887" s="7" t="n">
        <v>0</v>
      </c>
      <c r="AP1887" s="7" t="n">
        <v>0</v>
      </c>
      <c r="AQ1887" s="7" t="n">
        <v>0</v>
      </c>
      <c r="AR1887" s="6" t="s">
        <v>57</v>
      </c>
      <c r="AS1887" s="6" t="s">
        <v>63</v>
      </c>
      <c r="AT1887" s="9" t="str">
        <f aca="false">HYPERLINK("http://catalog.hathitrust.org/Record/006752721","HathiTrust Record")</f>
        <v>HathiTrust Record</v>
      </c>
      <c r="AU1887" s="9" t="str">
        <f aca="false">HYPERLINK("https://creighton-primo.hosted.exlibrisgroup.com/primo-explore/search?tab=default_tab&amp;search_scope=EVERYTHING&amp;vid=01CRU&amp;lang=en_US&amp;offset=0&amp;query=any,contains,991001207039702656","Catalog Record")</f>
        <v>Catalog Record</v>
      </c>
      <c r="AV1887" s="9" t="str">
        <f aca="false">HYPERLINK("http://www.worldcat.org/oclc/192334","WorldCat Record")</f>
        <v>WorldCat Record</v>
      </c>
      <c r="AW1887" s="6" t="s">
        <v>16617</v>
      </c>
      <c r="AX1887" s="6" t="s">
        <v>16618</v>
      </c>
      <c r="AY1887" s="6" t="s">
        <v>16619</v>
      </c>
      <c r="AZ1887" s="6" t="s">
        <v>16619</v>
      </c>
      <c r="BA1887" s="6" t="s">
        <v>16620</v>
      </c>
      <c r="BB1887" s="28"/>
      <c r="BC1887" s="6" t="s">
        <v>16621</v>
      </c>
      <c r="BE1887" s="15" t="s">
        <v>2145</v>
      </c>
      <c r="BF1887" s="6" t="s">
        <v>16622</v>
      </c>
    </row>
    <row r="1888" customFormat="false" ht="209" hidden="false" customHeight="false" outlineLevel="0" collapsed="false">
      <c r="A1888" s="26" t="s">
        <v>63</v>
      </c>
      <c r="B1888" s="27" t="s">
        <v>2129</v>
      </c>
      <c r="C1888" s="27" t="s">
        <v>2130</v>
      </c>
      <c r="D1888" s="27" t="s">
        <v>16623</v>
      </c>
      <c r="E1888" s="27" t="s">
        <v>16624</v>
      </c>
      <c r="F1888" s="27" t="s">
        <v>16625</v>
      </c>
      <c r="G1888" s="28"/>
      <c r="H1888" s="6" t="s">
        <v>63</v>
      </c>
      <c r="I1888" s="6" t="s">
        <v>62</v>
      </c>
      <c r="J1888" s="6" t="s">
        <v>63</v>
      </c>
      <c r="K1888" s="6" t="s">
        <v>63</v>
      </c>
      <c r="L1888" s="6" t="s">
        <v>64</v>
      </c>
      <c r="M1888" s="27" t="s">
        <v>16626</v>
      </c>
      <c r="N1888" s="27" t="s">
        <v>16627</v>
      </c>
      <c r="O1888" s="6" t="s">
        <v>108</v>
      </c>
      <c r="P1888" s="28"/>
      <c r="Q1888" s="6" t="s">
        <v>67</v>
      </c>
      <c r="R1888" s="6" t="s">
        <v>802</v>
      </c>
      <c r="S1888" s="27" t="s">
        <v>16628</v>
      </c>
      <c r="T1888" s="6" t="s">
        <v>6138</v>
      </c>
      <c r="U1888" s="7" t="n">
        <v>3</v>
      </c>
      <c r="V1888" s="7" t="n">
        <v>3</v>
      </c>
      <c r="W1888" s="8" t="s">
        <v>16629</v>
      </c>
      <c r="X1888" s="8" t="s">
        <v>16629</v>
      </c>
      <c r="Y1888" s="8" t="s">
        <v>2868</v>
      </c>
      <c r="Z1888" s="8" t="s">
        <v>2868</v>
      </c>
      <c r="AA1888" s="7" t="n">
        <v>296</v>
      </c>
      <c r="AB1888" s="7" t="n">
        <v>209</v>
      </c>
      <c r="AC1888" s="7" t="n">
        <v>211</v>
      </c>
      <c r="AD1888" s="7" t="n">
        <v>2</v>
      </c>
      <c r="AE1888" s="7" t="n">
        <v>2</v>
      </c>
      <c r="AF1888" s="7" t="n">
        <v>14</v>
      </c>
      <c r="AG1888" s="7" t="n">
        <v>14</v>
      </c>
      <c r="AH1888" s="7" t="n">
        <v>1</v>
      </c>
      <c r="AI1888" s="7" t="n">
        <v>1</v>
      </c>
      <c r="AJ1888" s="7" t="n">
        <v>4</v>
      </c>
      <c r="AK1888" s="7" t="n">
        <v>4</v>
      </c>
      <c r="AL1888" s="7" t="n">
        <v>10</v>
      </c>
      <c r="AM1888" s="7" t="n">
        <v>10</v>
      </c>
      <c r="AN1888" s="7" t="n">
        <v>1</v>
      </c>
      <c r="AO1888" s="7" t="n">
        <v>1</v>
      </c>
      <c r="AP1888" s="7" t="n">
        <v>0</v>
      </c>
      <c r="AQ1888" s="7" t="n">
        <v>0</v>
      </c>
      <c r="AR1888" s="6" t="s">
        <v>63</v>
      </c>
      <c r="AS1888" s="6" t="s">
        <v>57</v>
      </c>
      <c r="AT1888" s="9" t="str">
        <f aca="false">HYPERLINK("http://catalog.hathitrust.org/Record/000220830","HathiTrust Record")</f>
        <v>HathiTrust Record</v>
      </c>
      <c r="AU1888" s="9" t="str">
        <f aca="false">HYPERLINK("https://creighton-primo.hosted.exlibrisgroup.com/primo-explore/search?tab=default_tab&amp;search_scope=EVERYTHING&amp;vid=01CRU&amp;lang=en_US&amp;offset=0&amp;query=any,contains,991004640089702656","Catalog Record")</f>
        <v>Catalog Record</v>
      </c>
      <c r="AV1888" s="9" t="str">
        <f aca="false">HYPERLINK("http://www.worldcat.org/oclc/4452876","WorldCat Record")</f>
        <v>WorldCat Record</v>
      </c>
      <c r="AW1888" s="6" t="s">
        <v>16630</v>
      </c>
      <c r="AX1888" s="6" t="s">
        <v>16631</v>
      </c>
      <c r="AY1888" s="6" t="s">
        <v>16632</v>
      </c>
      <c r="AZ1888" s="6" t="s">
        <v>16632</v>
      </c>
      <c r="BA1888" s="6" t="s">
        <v>16633</v>
      </c>
      <c r="BB1888" s="6" t="s">
        <v>16634</v>
      </c>
      <c r="BC1888" s="6" t="s">
        <v>16635</v>
      </c>
      <c r="BE1888" s="15" t="s">
        <v>2145</v>
      </c>
      <c r="BF1888" s="6" t="s">
        <v>16636</v>
      </c>
    </row>
    <row r="1889" customFormat="false" ht="186" hidden="false" customHeight="false" outlineLevel="0" collapsed="false">
      <c r="A1889" s="26" t="s">
        <v>63</v>
      </c>
      <c r="B1889" s="27" t="s">
        <v>2129</v>
      </c>
      <c r="C1889" s="27" t="s">
        <v>2130</v>
      </c>
      <c r="D1889" s="27" t="s">
        <v>16637</v>
      </c>
      <c r="E1889" s="27" t="s">
        <v>16638</v>
      </c>
      <c r="F1889" s="27" t="s">
        <v>16639</v>
      </c>
      <c r="G1889" s="28"/>
      <c r="H1889" s="6" t="s">
        <v>63</v>
      </c>
      <c r="I1889" s="6" t="s">
        <v>62</v>
      </c>
      <c r="J1889" s="6" t="s">
        <v>63</v>
      </c>
      <c r="K1889" s="6" t="s">
        <v>63</v>
      </c>
      <c r="L1889" s="6" t="s">
        <v>64</v>
      </c>
      <c r="M1889" s="28"/>
      <c r="N1889" s="27" t="s">
        <v>16640</v>
      </c>
      <c r="O1889" s="6" t="s">
        <v>2623</v>
      </c>
      <c r="P1889" s="27" t="s">
        <v>327</v>
      </c>
      <c r="Q1889" s="6" t="s">
        <v>67</v>
      </c>
      <c r="R1889" s="6" t="s">
        <v>14839</v>
      </c>
      <c r="S1889" s="28"/>
      <c r="T1889" s="6" t="s">
        <v>6138</v>
      </c>
      <c r="U1889" s="7" t="n">
        <v>4</v>
      </c>
      <c r="V1889" s="7" t="n">
        <v>4</v>
      </c>
      <c r="W1889" s="8" t="s">
        <v>16641</v>
      </c>
      <c r="X1889" s="8" t="s">
        <v>16641</v>
      </c>
      <c r="Y1889" s="8" t="s">
        <v>2868</v>
      </c>
      <c r="Z1889" s="8" t="s">
        <v>2868</v>
      </c>
      <c r="AA1889" s="7" t="n">
        <v>447</v>
      </c>
      <c r="AB1889" s="7" t="n">
        <v>368</v>
      </c>
      <c r="AC1889" s="7" t="n">
        <v>437</v>
      </c>
      <c r="AD1889" s="7" t="n">
        <v>3</v>
      </c>
      <c r="AE1889" s="7" t="n">
        <v>4</v>
      </c>
      <c r="AF1889" s="7" t="n">
        <v>21</v>
      </c>
      <c r="AG1889" s="7" t="n">
        <v>29</v>
      </c>
      <c r="AH1889" s="7" t="n">
        <v>3</v>
      </c>
      <c r="AI1889" s="7" t="n">
        <v>7</v>
      </c>
      <c r="AJ1889" s="7" t="n">
        <v>10</v>
      </c>
      <c r="AK1889" s="7" t="n">
        <v>10</v>
      </c>
      <c r="AL1889" s="7" t="n">
        <v>13</v>
      </c>
      <c r="AM1889" s="7" t="n">
        <v>20</v>
      </c>
      <c r="AN1889" s="7" t="n">
        <v>2</v>
      </c>
      <c r="AO1889" s="7" t="n">
        <v>2</v>
      </c>
      <c r="AP1889" s="7" t="n">
        <v>0</v>
      </c>
      <c r="AQ1889" s="7" t="n">
        <v>0</v>
      </c>
      <c r="AR1889" s="6" t="s">
        <v>63</v>
      </c>
      <c r="AS1889" s="6" t="s">
        <v>63</v>
      </c>
      <c r="AT1889" s="28"/>
      <c r="AU1889" s="9" t="str">
        <f aca="false">HYPERLINK("https://creighton-primo.hosted.exlibrisgroup.com/primo-explore/search?tab=default_tab&amp;search_scope=EVERYTHING&amp;vid=01CRU&amp;lang=en_US&amp;offset=0&amp;query=any,contains,991004963819702656","Catalog Record")</f>
        <v>Catalog Record</v>
      </c>
      <c r="AV1889" s="9" t="str">
        <f aca="false">HYPERLINK("http://www.worldcat.org/oclc/6329337","WorldCat Record")</f>
        <v>WorldCat Record</v>
      </c>
      <c r="AW1889" s="6" t="s">
        <v>16642</v>
      </c>
      <c r="AX1889" s="6" t="s">
        <v>16643</v>
      </c>
      <c r="AY1889" s="6" t="s">
        <v>16644</v>
      </c>
      <c r="AZ1889" s="6" t="s">
        <v>16644</v>
      </c>
      <c r="BA1889" s="6" t="s">
        <v>16645</v>
      </c>
      <c r="BB1889" s="6" t="s">
        <v>16646</v>
      </c>
      <c r="BC1889" s="6" t="s">
        <v>16647</v>
      </c>
      <c r="BE1889" s="15" t="s">
        <v>2145</v>
      </c>
      <c r="BF1889" s="6" t="s">
        <v>16648</v>
      </c>
    </row>
    <row r="1890" customFormat="false" ht="220.5" hidden="false" customHeight="false" outlineLevel="0" collapsed="false">
      <c r="A1890" s="26" t="s">
        <v>63</v>
      </c>
      <c r="B1890" s="27" t="s">
        <v>2129</v>
      </c>
      <c r="C1890" s="27" t="s">
        <v>2130</v>
      </c>
      <c r="D1890" s="27" t="s">
        <v>16649</v>
      </c>
      <c r="E1890" s="27" t="s">
        <v>16650</v>
      </c>
      <c r="F1890" s="27" t="s">
        <v>16651</v>
      </c>
      <c r="G1890" s="6" t="s">
        <v>1513</v>
      </c>
      <c r="H1890" s="6" t="s">
        <v>57</v>
      </c>
      <c r="I1890" s="6" t="s">
        <v>62</v>
      </c>
      <c r="J1890" s="6" t="s">
        <v>63</v>
      </c>
      <c r="K1890" s="6" t="s">
        <v>63</v>
      </c>
      <c r="L1890" s="6" t="s">
        <v>64</v>
      </c>
      <c r="M1890" s="28"/>
      <c r="N1890" s="27" t="s">
        <v>16652</v>
      </c>
      <c r="O1890" s="6" t="s">
        <v>2975</v>
      </c>
      <c r="P1890" s="28"/>
      <c r="Q1890" s="6" t="s">
        <v>67</v>
      </c>
      <c r="R1890" s="6" t="s">
        <v>367</v>
      </c>
      <c r="S1890" s="28"/>
      <c r="T1890" s="6" t="s">
        <v>6138</v>
      </c>
      <c r="U1890" s="7" t="n">
        <v>0</v>
      </c>
      <c r="V1890" s="7" t="n">
        <v>2</v>
      </c>
      <c r="W1890" s="28"/>
      <c r="X1890" s="8" t="s">
        <v>16653</v>
      </c>
      <c r="Y1890" s="8" t="s">
        <v>16654</v>
      </c>
      <c r="Z1890" s="8" t="s">
        <v>16654</v>
      </c>
      <c r="AA1890" s="7" t="n">
        <v>98</v>
      </c>
      <c r="AB1890" s="7" t="n">
        <v>83</v>
      </c>
      <c r="AC1890" s="7" t="n">
        <v>83</v>
      </c>
      <c r="AD1890" s="7" t="n">
        <v>2</v>
      </c>
      <c r="AE1890" s="7" t="n">
        <v>2</v>
      </c>
      <c r="AF1890" s="7" t="n">
        <v>8</v>
      </c>
      <c r="AG1890" s="7" t="n">
        <v>8</v>
      </c>
      <c r="AH1890" s="7" t="n">
        <v>1</v>
      </c>
      <c r="AI1890" s="7" t="n">
        <v>1</v>
      </c>
      <c r="AJ1890" s="7" t="n">
        <v>4</v>
      </c>
      <c r="AK1890" s="7" t="n">
        <v>4</v>
      </c>
      <c r="AL1890" s="7" t="n">
        <v>4</v>
      </c>
      <c r="AM1890" s="7" t="n">
        <v>4</v>
      </c>
      <c r="AN1890" s="7" t="n">
        <v>1</v>
      </c>
      <c r="AO1890" s="7" t="n">
        <v>1</v>
      </c>
      <c r="AP1890" s="7" t="n">
        <v>0</v>
      </c>
      <c r="AQ1890" s="7" t="n">
        <v>0</v>
      </c>
      <c r="AR1890" s="6" t="s">
        <v>63</v>
      </c>
      <c r="AS1890" s="6" t="s">
        <v>63</v>
      </c>
      <c r="AT1890" s="28"/>
      <c r="AU1890" s="9" t="str">
        <f aca="false">HYPERLINK("https://creighton-primo.hosted.exlibrisgroup.com/primo-explore/search?tab=default_tab&amp;search_scope=EVERYTHING&amp;vid=01CRU&amp;lang=en_US&amp;offset=0&amp;query=any,contains,991002811889702656","Catalog Record")</f>
        <v>Catalog Record</v>
      </c>
      <c r="AV1890" s="9" t="str">
        <f aca="false">HYPERLINK("http://www.worldcat.org/oclc/7709390","WorldCat Record")</f>
        <v>WorldCat Record</v>
      </c>
      <c r="AW1890" s="6" t="s">
        <v>16655</v>
      </c>
      <c r="AX1890" s="6" t="s">
        <v>16656</v>
      </c>
      <c r="AY1890" s="6" t="s">
        <v>16657</v>
      </c>
      <c r="AZ1890" s="6" t="s">
        <v>16657</v>
      </c>
      <c r="BA1890" s="6" t="s">
        <v>16658</v>
      </c>
      <c r="BB1890" s="28"/>
      <c r="BC1890" s="6" t="s">
        <v>16659</v>
      </c>
      <c r="BE1890" s="15" t="s">
        <v>2145</v>
      </c>
      <c r="BF1890" s="6" t="s">
        <v>16660</v>
      </c>
    </row>
    <row r="1891" customFormat="false" ht="220.5" hidden="false" customHeight="false" outlineLevel="0" collapsed="false">
      <c r="A1891" s="26" t="s">
        <v>63</v>
      </c>
      <c r="B1891" s="27" t="s">
        <v>2129</v>
      </c>
      <c r="C1891" s="27" t="s">
        <v>2130</v>
      </c>
      <c r="D1891" s="27" t="s">
        <v>16649</v>
      </c>
      <c r="E1891" s="27" t="s">
        <v>16650</v>
      </c>
      <c r="F1891" s="27" t="s">
        <v>16651</v>
      </c>
      <c r="G1891" s="6" t="s">
        <v>1510</v>
      </c>
      <c r="H1891" s="6" t="s">
        <v>57</v>
      </c>
      <c r="I1891" s="6" t="s">
        <v>62</v>
      </c>
      <c r="J1891" s="6" t="s">
        <v>63</v>
      </c>
      <c r="K1891" s="6" t="s">
        <v>63</v>
      </c>
      <c r="L1891" s="6" t="s">
        <v>64</v>
      </c>
      <c r="M1891" s="28"/>
      <c r="N1891" s="27" t="s">
        <v>16652</v>
      </c>
      <c r="O1891" s="6" t="s">
        <v>2975</v>
      </c>
      <c r="P1891" s="28"/>
      <c r="Q1891" s="6" t="s">
        <v>67</v>
      </c>
      <c r="R1891" s="6" t="s">
        <v>367</v>
      </c>
      <c r="S1891" s="28"/>
      <c r="T1891" s="6" t="s">
        <v>6138</v>
      </c>
      <c r="U1891" s="7" t="n">
        <v>0</v>
      </c>
      <c r="V1891" s="7" t="n">
        <v>2</v>
      </c>
      <c r="W1891" s="28"/>
      <c r="X1891" s="8" t="s">
        <v>16653</v>
      </c>
      <c r="Y1891" s="8" t="s">
        <v>16654</v>
      </c>
      <c r="Z1891" s="8" t="s">
        <v>16654</v>
      </c>
      <c r="AA1891" s="7" t="n">
        <v>98</v>
      </c>
      <c r="AB1891" s="7" t="n">
        <v>83</v>
      </c>
      <c r="AC1891" s="7" t="n">
        <v>83</v>
      </c>
      <c r="AD1891" s="7" t="n">
        <v>2</v>
      </c>
      <c r="AE1891" s="7" t="n">
        <v>2</v>
      </c>
      <c r="AF1891" s="7" t="n">
        <v>8</v>
      </c>
      <c r="AG1891" s="7" t="n">
        <v>8</v>
      </c>
      <c r="AH1891" s="7" t="n">
        <v>1</v>
      </c>
      <c r="AI1891" s="7" t="n">
        <v>1</v>
      </c>
      <c r="AJ1891" s="7" t="n">
        <v>4</v>
      </c>
      <c r="AK1891" s="7" t="n">
        <v>4</v>
      </c>
      <c r="AL1891" s="7" t="n">
        <v>4</v>
      </c>
      <c r="AM1891" s="7" t="n">
        <v>4</v>
      </c>
      <c r="AN1891" s="7" t="n">
        <v>1</v>
      </c>
      <c r="AO1891" s="7" t="n">
        <v>1</v>
      </c>
      <c r="AP1891" s="7" t="n">
        <v>0</v>
      </c>
      <c r="AQ1891" s="7" t="n">
        <v>0</v>
      </c>
      <c r="AR1891" s="6" t="s">
        <v>63</v>
      </c>
      <c r="AS1891" s="6" t="s">
        <v>63</v>
      </c>
      <c r="AT1891" s="28"/>
      <c r="AU1891" s="9" t="str">
        <f aca="false">HYPERLINK("https://creighton-primo.hosted.exlibrisgroup.com/primo-explore/search?tab=default_tab&amp;search_scope=EVERYTHING&amp;vid=01CRU&amp;lang=en_US&amp;offset=0&amp;query=any,contains,991002811889702656","Catalog Record")</f>
        <v>Catalog Record</v>
      </c>
      <c r="AV1891" s="9" t="str">
        <f aca="false">HYPERLINK("http://www.worldcat.org/oclc/7709390","WorldCat Record")</f>
        <v>WorldCat Record</v>
      </c>
      <c r="AW1891" s="6" t="s">
        <v>16655</v>
      </c>
      <c r="AX1891" s="6" t="s">
        <v>16656</v>
      </c>
      <c r="AY1891" s="6" t="s">
        <v>16657</v>
      </c>
      <c r="AZ1891" s="6" t="s">
        <v>16657</v>
      </c>
      <c r="BA1891" s="6" t="s">
        <v>16658</v>
      </c>
      <c r="BB1891" s="28"/>
      <c r="BC1891" s="6" t="s">
        <v>16661</v>
      </c>
      <c r="BE1891" s="15" t="s">
        <v>2145</v>
      </c>
      <c r="BF1891" s="6" t="s">
        <v>16662</v>
      </c>
    </row>
    <row r="1892" customFormat="false" ht="220.5" hidden="false" customHeight="false" outlineLevel="0" collapsed="false">
      <c r="A1892" s="26" t="s">
        <v>63</v>
      </c>
      <c r="B1892" s="27" t="s">
        <v>2129</v>
      </c>
      <c r="C1892" s="27" t="s">
        <v>2130</v>
      </c>
      <c r="D1892" s="27" t="s">
        <v>16649</v>
      </c>
      <c r="E1892" s="27" t="s">
        <v>16650</v>
      </c>
      <c r="F1892" s="27" t="s">
        <v>16651</v>
      </c>
      <c r="G1892" s="6" t="s">
        <v>16663</v>
      </c>
      <c r="H1892" s="6" t="s">
        <v>57</v>
      </c>
      <c r="I1892" s="6" t="s">
        <v>62</v>
      </c>
      <c r="J1892" s="6" t="s">
        <v>63</v>
      </c>
      <c r="K1892" s="6" t="s">
        <v>63</v>
      </c>
      <c r="L1892" s="6" t="s">
        <v>64</v>
      </c>
      <c r="M1892" s="28"/>
      <c r="N1892" s="27" t="s">
        <v>16652</v>
      </c>
      <c r="O1892" s="6" t="s">
        <v>2975</v>
      </c>
      <c r="P1892" s="28"/>
      <c r="Q1892" s="6" t="s">
        <v>67</v>
      </c>
      <c r="R1892" s="6" t="s">
        <v>367</v>
      </c>
      <c r="S1892" s="28"/>
      <c r="T1892" s="6" t="s">
        <v>6138</v>
      </c>
      <c r="U1892" s="7" t="n">
        <v>2</v>
      </c>
      <c r="V1892" s="7" t="n">
        <v>2</v>
      </c>
      <c r="W1892" s="8" t="s">
        <v>16653</v>
      </c>
      <c r="X1892" s="8" t="s">
        <v>16653</v>
      </c>
      <c r="Y1892" s="8" t="s">
        <v>16654</v>
      </c>
      <c r="Z1892" s="8" t="s">
        <v>16654</v>
      </c>
      <c r="AA1892" s="7" t="n">
        <v>98</v>
      </c>
      <c r="AB1892" s="7" t="n">
        <v>83</v>
      </c>
      <c r="AC1892" s="7" t="n">
        <v>83</v>
      </c>
      <c r="AD1892" s="7" t="n">
        <v>2</v>
      </c>
      <c r="AE1892" s="7" t="n">
        <v>2</v>
      </c>
      <c r="AF1892" s="7" t="n">
        <v>8</v>
      </c>
      <c r="AG1892" s="7" t="n">
        <v>8</v>
      </c>
      <c r="AH1892" s="7" t="n">
        <v>1</v>
      </c>
      <c r="AI1892" s="7" t="n">
        <v>1</v>
      </c>
      <c r="AJ1892" s="7" t="n">
        <v>4</v>
      </c>
      <c r="AK1892" s="7" t="n">
        <v>4</v>
      </c>
      <c r="AL1892" s="7" t="n">
        <v>4</v>
      </c>
      <c r="AM1892" s="7" t="n">
        <v>4</v>
      </c>
      <c r="AN1892" s="7" t="n">
        <v>1</v>
      </c>
      <c r="AO1892" s="7" t="n">
        <v>1</v>
      </c>
      <c r="AP1892" s="7" t="n">
        <v>0</v>
      </c>
      <c r="AQ1892" s="7" t="n">
        <v>0</v>
      </c>
      <c r="AR1892" s="6" t="s">
        <v>63</v>
      </c>
      <c r="AS1892" s="6" t="s">
        <v>63</v>
      </c>
      <c r="AT1892" s="28"/>
      <c r="AU1892" s="9" t="str">
        <f aca="false">HYPERLINK("https://creighton-primo.hosted.exlibrisgroup.com/primo-explore/search?tab=default_tab&amp;search_scope=EVERYTHING&amp;vid=01CRU&amp;lang=en_US&amp;offset=0&amp;query=any,contains,991002811889702656","Catalog Record")</f>
        <v>Catalog Record</v>
      </c>
      <c r="AV1892" s="9" t="str">
        <f aca="false">HYPERLINK("http://www.worldcat.org/oclc/7709390","WorldCat Record")</f>
        <v>WorldCat Record</v>
      </c>
      <c r="AW1892" s="6" t="s">
        <v>16655</v>
      </c>
      <c r="AX1892" s="6" t="s">
        <v>16656</v>
      </c>
      <c r="AY1892" s="6" t="s">
        <v>16657</v>
      </c>
      <c r="AZ1892" s="6" t="s">
        <v>16657</v>
      </c>
      <c r="BA1892" s="6" t="s">
        <v>16658</v>
      </c>
      <c r="BB1892" s="28"/>
      <c r="BC1892" s="6" t="s">
        <v>16664</v>
      </c>
      <c r="BE1892" s="15" t="s">
        <v>2145</v>
      </c>
      <c r="BF1892" s="6" t="s">
        <v>16665</v>
      </c>
    </row>
    <row r="1893" customFormat="false" ht="220.5" hidden="false" customHeight="false" outlineLevel="0" collapsed="false">
      <c r="A1893" s="26" t="s">
        <v>63</v>
      </c>
      <c r="B1893" s="27" t="s">
        <v>2129</v>
      </c>
      <c r="C1893" s="27" t="s">
        <v>2130</v>
      </c>
      <c r="D1893" s="27" t="s">
        <v>16649</v>
      </c>
      <c r="E1893" s="27" t="s">
        <v>16650</v>
      </c>
      <c r="F1893" s="27" t="s">
        <v>16651</v>
      </c>
      <c r="G1893" s="6" t="s">
        <v>502</v>
      </c>
      <c r="H1893" s="6" t="s">
        <v>57</v>
      </c>
      <c r="I1893" s="6" t="s">
        <v>62</v>
      </c>
      <c r="J1893" s="6" t="s">
        <v>63</v>
      </c>
      <c r="K1893" s="6" t="s">
        <v>63</v>
      </c>
      <c r="L1893" s="6" t="s">
        <v>64</v>
      </c>
      <c r="M1893" s="28"/>
      <c r="N1893" s="27" t="s">
        <v>16652</v>
      </c>
      <c r="O1893" s="6" t="s">
        <v>2975</v>
      </c>
      <c r="P1893" s="28"/>
      <c r="Q1893" s="6" t="s">
        <v>67</v>
      </c>
      <c r="R1893" s="6" t="s">
        <v>367</v>
      </c>
      <c r="S1893" s="28"/>
      <c r="T1893" s="6" t="s">
        <v>6138</v>
      </c>
      <c r="U1893" s="7" t="n">
        <v>0</v>
      </c>
      <c r="V1893" s="7" t="n">
        <v>2</v>
      </c>
      <c r="W1893" s="28"/>
      <c r="X1893" s="8" t="s">
        <v>16653</v>
      </c>
      <c r="Y1893" s="8" t="s">
        <v>6522</v>
      </c>
      <c r="Z1893" s="8" t="s">
        <v>16654</v>
      </c>
      <c r="AA1893" s="7" t="n">
        <v>98</v>
      </c>
      <c r="AB1893" s="7" t="n">
        <v>83</v>
      </c>
      <c r="AC1893" s="7" t="n">
        <v>83</v>
      </c>
      <c r="AD1893" s="7" t="n">
        <v>2</v>
      </c>
      <c r="AE1893" s="7" t="n">
        <v>2</v>
      </c>
      <c r="AF1893" s="7" t="n">
        <v>8</v>
      </c>
      <c r="AG1893" s="7" t="n">
        <v>8</v>
      </c>
      <c r="AH1893" s="7" t="n">
        <v>1</v>
      </c>
      <c r="AI1893" s="7" t="n">
        <v>1</v>
      </c>
      <c r="AJ1893" s="7" t="n">
        <v>4</v>
      </c>
      <c r="AK1893" s="7" t="n">
        <v>4</v>
      </c>
      <c r="AL1893" s="7" t="n">
        <v>4</v>
      </c>
      <c r="AM1893" s="7" t="n">
        <v>4</v>
      </c>
      <c r="AN1893" s="7" t="n">
        <v>1</v>
      </c>
      <c r="AO1893" s="7" t="n">
        <v>1</v>
      </c>
      <c r="AP1893" s="7" t="n">
        <v>0</v>
      </c>
      <c r="AQ1893" s="7" t="n">
        <v>0</v>
      </c>
      <c r="AR1893" s="6" t="s">
        <v>63</v>
      </c>
      <c r="AS1893" s="6" t="s">
        <v>63</v>
      </c>
      <c r="AT1893" s="28"/>
      <c r="AU1893" s="9" t="str">
        <f aca="false">HYPERLINK("https://creighton-primo.hosted.exlibrisgroup.com/primo-explore/search?tab=default_tab&amp;search_scope=EVERYTHING&amp;vid=01CRU&amp;lang=en_US&amp;offset=0&amp;query=any,contains,991002811889702656","Catalog Record")</f>
        <v>Catalog Record</v>
      </c>
      <c r="AV1893" s="9" t="str">
        <f aca="false">HYPERLINK("http://www.worldcat.org/oclc/7709390","WorldCat Record")</f>
        <v>WorldCat Record</v>
      </c>
      <c r="AW1893" s="6" t="s">
        <v>16655</v>
      </c>
      <c r="AX1893" s="6" t="s">
        <v>16656</v>
      </c>
      <c r="AY1893" s="6" t="s">
        <v>16657</v>
      </c>
      <c r="AZ1893" s="6" t="s">
        <v>16657</v>
      </c>
      <c r="BA1893" s="6" t="s">
        <v>16658</v>
      </c>
      <c r="BB1893" s="28"/>
      <c r="BC1893" s="6" t="s">
        <v>16666</v>
      </c>
      <c r="BE1893" s="15" t="s">
        <v>2145</v>
      </c>
      <c r="BF1893" s="6" t="s">
        <v>16667</v>
      </c>
    </row>
    <row r="1894" customFormat="false" ht="220.5" hidden="false" customHeight="false" outlineLevel="0" collapsed="false">
      <c r="A1894" s="26" t="s">
        <v>63</v>
      </c>
      <c r="B1894" s="27" t="s">
        <v>2129</v>
      </c>
      <c r="C1894" s="27" t="s">
        <v>2130</v>
      </c>
      <c r="D1894" s="27" t="s">
        <v>16649</v>
      </c>
      <c r="E1894" s="27" t="s">
        <v>16650</v>
      </c>
      <c r="F1894" s="27" t="s">
        <v>16651</v>
      </c>
      <c r="G1894" s="6" t="s">
        <v>498</v>
      </c>
      <c r="H1894" s="6" t="s">
        <v>57</v>
      </c>
      <c r="I1894" s="6" t="s">
        <v>62</v>
      </c>
      <c r="J1894" s="6" t="s">
        <v>63</v>
      </c>
      <c r="K1894" s="6" t="s">
        <v>63</v>
      </c>
      <c r="L1894" s="6" t="s">
        <v>64</v>
      </c>
      <c r="M1894" s="28"/>
      <c r="N1894" s="27" t="s">
        <v>16652</v>
      </c>
      <c r="O1894" s="6" t="s">
        <v>2975</v>
      </c>
      <c r="P1894" s="28"/>
      <c r="Q1894" s="6" t="s">
        <v>67</v>
      </c>
      <c r="R1894" s="6" t="s">
        <v>367</v>
      </c>
      <c r="S1894" s="28"/>
      <c r="T1894" s="6" t="s">
        <v>6138</v>
      </c>
      <c r="U1894" s="7" t="n">
        <v>0</v>
      </c>
      <c r="V1894" s="7" t="n">
        <v>2</v>
      </c>
      <c r="W1894" s="28"/>
      <c r="X1894" s="8" t="s">
        <v>16653</v>
      </c>
      <c r="Y1894" s="8" t="s">
        <v>16654</v>
      </c>
      <c r="Z1894" s="8" t="s">
        <v>16654</v>
      </c>
      <c r="AA1894" s="7" t="n">
        <v>98</v>
      </c>
      <c r="AB1894" s="7" t="n">
        <v>83</v>
      </c>
      <c r="AC1894" s="7" t="n">
        <v>83</v>
      </c>
      <c r="AD1894" s="7" t="n">
        <v>2</v>
      </c>
      <c r="AE1894" s="7" t="n">
        <v>2</v>
      </c>
      <c r="AF1894" s="7" t="n">
        <v>8</v>
      </c>
      <c r="AG1894" s="7" t="n">
        <v>8</v>
      </c>
      <c r="AH1894" s="7" t="n">
        <v>1</v>
      </c>
      <c r="AI1894" s="7" t="n">
        <v>1</v>
      </c>
      <c r="AJ1894" s="7" t="n">
        <v>4</v>
      </c>
      <c r="AK1894" s="7" t="n">
        <v>4</v>
      </c>
      <c r="AL1894" s="7" t="n">
        <v>4</v>
      </c>
      <c r="AM1894" s="7" t="n">
        <v>4</v>
      </c>
      <c r="AN1894" s="7" t="n">
        <v>1</v>
      </c>
      <c r="AO1894" s="7" t="n">
        <v>1</v>
      </c>
      <c r="AP1894" s="7" t="n">
        <v>0</v>
      </c>
      <c r="AQ1894" s="7" t="n">
        <v>0</v>
      </c>
      <c r="AR1894" s="6" t="s">
        <v>63</v>
      </c>
      <c r="AS1894" s="6" t="s">
        <v>63</v>
      </c>
      <c r="AT1894" s="28"/>
      <c r="AU1894" s="9" t="str">
        <f aca="false">HYPERLINK("https://creighton-primo.hosted.exlibrisgroup.com/primo-explore/search?tab=default_tab&amp;search_scope=EVERYTHING&amp;vid=01CRU&amp;lang=en_US&amp;offset=0&amp;query=any,contains,991002811889702656","Catalog Record")</f>
        <v>Catalog Record</v>
      </c>
      <c r="AV1894" s="9" t="str">
        <f aca="false">HYPERLINK("http://www.worldcat.org/oclc/7709390","WorldCat Record")</f>
        <v>WorldCat Record</v>
      </c>
      <c r="AW1894" s="6" t="s">
        <v>16655</v>
      </c>
      <c r="AX1894" s="6" t="s">
        <v>16656</v>
      </c>
      <c r="AY1894" s="6" t="s">
        <v>16657</v>
      </c>
      <c r="AZ1894" s="6" t="s">
        <v>16657</v>
      </c>
      <c r="BA1894" s="6" t="s">
        <v>16658</v>
      </c>
      <c r="BB1894" s="28"/>
      <c r="BC1894" s="6" t="s">
        <v>16668</v>
      </c>
      <c r="BE1894" s="15" t="s">
        <v>2145</v>
      </c>
      <c r="BF1894" s="6" t="s">
        <v>16669</v>
      </c>
    </row>
    <row r="1895" customFormat="false" ht="220.5" hidden="false" customHeight="false" outlineLevel="0" collapsed="false">
      <c r="A1895" s="26" t="s">
        <v>63</v>
      </c>
      <c r="B1895" s="27" t="s">
        <v>2129</v>
      </c>
      <c r="C1895" s="27" t="s">
        <v>2130</v>
      </c>
      <c r="D1895" s="27" t="s">
        <v>16649</v>
      </c>
      <c r="E1895" s="27" t="s">
        <v>16650</v>
      </c>
      <c r="F1895" s="27" t="s">
        <v>16651</v>
      </c>
      <c r="G1895" s="6" t="s">
        <v>16670</v>
      </c>
      <c r="H1895" s="6" t="s">
        <v>57</v>
      </c>
      <c r="I1895" s="6" t="s">
        <v>62</v>
      </c>
      <c r="J1895" s="6" t="s">
        <v>63</v>
      </c>
      <c r="K1895" s="6" t="s">
        <v>63</v>
      </c>
      <c r="L1895" s="6" t="s">
        <v>64</v>
      </c>
      <c r="M1895" s="28"/>
      <c r="N1895" s="27" t="s">
        <v>16652</v>
      </c>
      <c r="O1895" s="6" t="s">
        <v>2975</v>
      </c>
      <c r="P1895" s="28"/>
      <c r="Q1895" s="6" t="s">
        <v>67</v>
      </c>
      <c r="R1895" s="6" t="s">
        <v>367</v>
      </c>
      <c r="S1895" s="28"/>
      <c r="T1895" s="6" t="s">
        <v>6138</v>
      </c>
      <c r="U1895" s="7" t="n">
        <v>0</v>
      </c>
      <c r="V1895" s="7" t="n">
        <v>2</v>
      </c>
      <c r="W1895" s="28"/>
      <c r="X1895" s="8" t="s">
        <v>16653</v>
      </c>
      <c r="Y1895" s="8" t="s">
        <v>16654</v>
      </c>
      <c r="Z1895" s="8" t="s">
        <v>16654</v>
      </c>
      <c r="AA1895" s="7" t="n">
        <v>98</v>
      </c>
      <c r="AB1895" s="7" t="n">
        <v>83</v>
      </c>
      <c r="AC1895" s="7" t="n">
        <v>83</v>
      </c>
      <c r="AD1895" s="7" t="n">
        <v>2</v>
      </c>
      <c r="AE1895" s="7" t="n">
        <v>2</v>
      </c>
      <c r="AF1895" s="7" t="n">
        <v>8</v>
      </c>
      <c r="AG1895" s="7" t="n">
        <v>8</v>
      </c>
      <c r="AH1895" s="7" t="n">
        <v>1</v>
      </c>
      <c r="AI1895" s="7" t="n">
        <v>1</v>
      </c>
      <c r="AJ1895" s="7" t="n">
        <v>4</v>
      </c>
      <c r="AK1895" s="7" t="n">
        <v>4</v>
      </c>
      <c r="AL1895" s="7" t="n">
        <v>4</v>
      </c>
      <c r="AM1895" s="7" t="n">
        <v>4</v>
      </c>
      <c r="AN1895" s="7" t="n">
        <v>1</v>
      </c>
      <c r="AO1895" s="7" t="n">
        <v>1</v>
      </c>
      <c r="AP1895" s="7" t="n">
        <v>0</v>
      </c>
      <c r="AQ1895" s="7" t="n">
        <v>0</v>
      </c>
      <c r="AR1895" s="6" t="s">
        <v>63</v>
      </c>
      <c r="AS1895" s="6" t="s">
        <v>63</v>
      </c>
      <c r="AT1895" s="28"/>
      <c r="AU1895" s="9" t="str">
        <f aca="false">HYPERLINK("https://creighton-primo.hosted.exlibrisgroup.com/primo-explore/search?tab=default_tab&amp;search_scope=EVERYTHING&amp;vid=01CRU&amp;lang=en_US&amp;offset=0&amp;query=any,contains,991002811889702656","Catalog Record")</f>
        <v>Catalog Record</v>
      </c>
      <c r="AV1895" s="9" t="str">
        <f aca="false">HYPERLINK("http://www.worldcat.org/oclc/7709390","WorldCat Record")</f>
        <v>WorldCat Record</v>
      </c>
      <c r="AW1895" s="6" t="s">
        <v>16655</v>
      </c>
      <c r="AX1895" s="6" t="s">
        <v>16656</v>
      </c>
      <c r="AY1895" s="6" t="s">
        <v>16657</v>
      </c>
      <c r="AZ1895" s="6" t="s">
        <v>16657</v>
      </c>
      <c r="BA1895" s="6" t="s">
        <v>16658</v>
      </c>
      <c r="BB1895" s="28"/>
      <c r="BC1895" s="6" t="s">
        <v>16671</v>
      </c>
      <c r="BE1895" s="15" t="s">
        <v>2145</v>
      </c>
      <c r="BF1895" s="6" t="s">
        <v>16672</v>
      </c>
    </row>
    <row r="1896" customFormat="false" ht="209" hidden="false" customHeight="false" outlineLevel="0" collapsed="false">
      <c r="A1896" s="26" t="s">
        <v>63</v>
      </c>
      <c r="B1896" s="27" t="s">
        <v>2129</v>
      </c>
      <c r="C1896" s="27" t="s">
        <v>2130</v>
      </c>
      <c r="D1896" s="27" t="s">
        <v>16673</v>
      </c>
      <c r="E1896" s="27" t="s">
        <v>16599</v>
      </c>
      <c r="F1896" s="27" t="s">
        <v>16600</v>
      </c>
      <c r="G1896" s="28"/>
      <c r="H1896" s="6" t="s">
        <v>57</v>
      </c>
      <c r="I1896" s="6" t="s">
        <v>62</v>
      </c>
      <c r="J1896" s="6" t="s">
        <v>57</v>
      </c>
      <c r="K1896" s="6" t="s">
        <v>63</v>
      </c>
      <c r="L1896" s="6" t="s">
        <v>64</v>
      </c>
      <c r="M1896" s="27" t="s">
        <v>16601</v>
      </c>
      <c r="N1896" s="27" t="s">
        <v>16602</v>
      </c>
      <c r="O1896" s="6" t="s">
        <v>2369</v>
      </c>
      <c r="P1896" s="28"/>
      <c r="Q1896" s="6" t="s">
        <v>67</v>
      </c>
      <c r="R1896" s="6" t="s">
        <v>9091</v>
      </c>
      <c r="S1896" s="28"/>
      <c r="T1896" s="6" t="s">
        <v>6138</v>
      </c>
      <c r="U1896" s="7" t="n">
        <v>0</v>
      </c>
      <c r="V1896" s="7" t="n">
        <v>1</v>
      </c>
      <c r="W1896" s="28"/>
      <c r="X1896" s="8" t="s">
        <v>9915</v>
      </c>
      <c r="Y1896" s="8" t="s">
        <v>2868</v>
      </c>
      <c r="Z1896" s="8" t="s">
        <v>2868</v>
      </c>
      <c r="AA1896" s="7" t="n">
        <v>75</v>
      </c>
      <c r="AB1896" s="7" t="n">
        <v>65</v>
      </c>
      <c r="AC1896" s="7" t="n">
        <v>98</v>
      </c>
      <c r="AD1896" s="7" t="n">
        <v>1</v>
      </c>
      <c r="AE1896" s="7" t="n">
        <v>1</v>
      </c>
      <c r="AF1896" s="7" t="n">
        <v>6</v>
      </c>
      <c r="AG1896" s="7" t="n">
        <v>10</v>
      </c>
      <c r="AH1896" s="7" t="n">
        <v>1</v>
      </c>
      <c r="AI1896" s="7" t="n">
        <v>2</v>
      </c>
      <c r="AJ1896" s="7" t="n">
        <v>3</v>
      </c>
      <c r="AK1896" s="7" t="n">
        <v>4</v>
      </c>
      <c r="AL1896" s="7" t="n">
        <v>4</v>
      </c>
      <c r="AM1896" s="7" t="n">
        <v>7</v>
      </c>
      <c r="AN1896" s="7" t="n">
        <v>0</v>
      </c>
      <c r="AO1896" s="7" t="n">
        <v>0</v>
      </c>
      <c r="AP1896" s="7" t="n">
        <v>0</v>
      </c>
      <c r="AQ1896" s="7" t="n">
        <v>0</v>
      </c>
      <c r="AR1896" s="6" t="s">
        <v>63</v>
      </c>
      <c r="AS1896" s="6" t="s">
        <v>57</v>
      </c>
      <c r="AT1896" s="9" t="str">
        <f aca="false">HYPERLINK("http://catalog.hathitrust.org/Record/101869649","HathiTrust Record")</f>
        <v>HathiTrust Record</v>
      </c>
      <c r="AU1896" s="9" t="str">
        <f aca="false">HYPERLINK("https://creighton-primo.hosted.exlibrisgroup.com/primo-explore/search?tab=default_tab&amp;search_scope=EVERYTHING&amp;vid=01CRU&amp;lang=en_US&amp;offset=0&amp;query=any,contains,991004192169702656","Catalog Record")</f>
        <v>Catalog Record</v>
      </c>
      <c r="AV1896" s="9" t="str">
        <f aca="false">HYPERLINK("http://www.worldcat.org/oclc/2633905","WorldCat Record")</f>
        <v>WorldCat Record</v>
      </c>
      <c r="AW1896" s="6" t="s">
        <v>16603</v>
      </c>
      <c r="AX1896" s="6" t="s">
        <v>16604</v>
      </c>
      <c r="AY1896" s="6" t="s">
        <v>16605</v>
      </c>
      <c r="AZ1896" s="6" t="s">
        <v>16605</v>
      </c>
      <c r="BA1896" s="6" t="s">
        <v>16606</v>
      </c>
      <c r="BB1896" s="28"/>
      <c r="BC1896" s="6" t="s">
        <v>16674</v>
      </c>
      <c r="BE1896" s="15" t="s">
        <v>2145</v>
      </c>
      <c r="BF1896" s="6" t="s">
        <v>16675</v>
      </c>
    </row>
    <row r="1897" customFormat="false" ht="243.5" hidden="false" customHeight="false" outlineLevel="0" collapsed="false">
      <c r="A1897" s="26" t="s">
        <v>63</v>
      </c>
      <c r="B1897" s="27" t="s">
        <v>2129</v>
      </c>
      <c r="C1897" s="27" t="s">
        <v>2130</v>
      </c>
      <c r="D1897" s="27" t="s">
        <v>16676</v>
      </c>
      <c r="E1897" s="27" t="s">
        <v>16677</v>
      </c>
      <c r="F1897" s="27" t="s">
        <v>16678</v>
      </c>
      <c r="G1897" s="28"/>
      <c r="H1897" s="6" t="s">
        <v>63</v>
      </c>
      <c r="I1897" s="6" t="s">
        <v>62</v>
      </c>
      <c r="J1897" s="6" t="s">
        <v>63</v>
      </c>
      <c r="K1897" s="6" t="s">
        <v>63</v>
      </c>
      <c r="L1897" s="6" t="s">
        <v>64</v>
      </c>
      <c r="M1897" s="27" t="s">
        <v>16679</v>
      </c>
      <c r="N1897" s="27" t="s">
        <v>16680</v>
      </c>
      <c r="O1897" s="6" t="s">
        <v>16681</v>
      </c>
      <c r="P1897" s="28"/>
      <c r="Q1897" s="6" t="s">
        <v>67</v>
      </c>
      <c r="R1897" s="6" t="s">
        <v>384</v>
      </c>
      <c r="S1897" s="28"/>
      <c r="T1897" s="6" t="s">
        <v>6138</v>
      </c>
      <c r="U1897" s="7" t="n">
        <v>2</v>
      </c>
      <c r="V1897" s="7" t="n">
        <v>2</v>
      </c>
      <c r="W1897" s="8" t="s">
        <v>16682</v>
      </c>
      <c r="X1897" s="8" t="s">
        <v>16682</v>
      </c>
      <c r="Y1897" s="8" t="s">
        <v>2868</v>
      </c>
      <c r="Z1897" s="8" t="s">
        <v>2868</v>
      </c>
      <c r="AA1897" s="7" t="n">
        <v>229</v>
      </c>
      <c r="AB1897" s="7" t="n">
        <v>166</v>
      </c>
      <c r="AC1897" s="7" t="n">
        <v>285</v>
      </c>
      <c r="AD1897" s="7" t="n">
        <v>2</v>
      </c>
      <c r="AE1897" s="7" t="n">
        <v>3</v>
      </c>
      <c r="AF1897" s="7" t="n">
        <v>11</v>
      </c>
      <c r="AG1897" s="7" t="n">
        <v>21</v>
      </c>
      <c r="AH1897" s="7" t="n">
        <v>2</v>
      </c>
      <c r="AI1897" s="7" t="n">
        <v>3</v>
      </c>
      <c r="AJ1897" s="7" t="n">
        <v>5</v>
      </c>
      <c r="AK1897" s="7" t="n">
        <v>8</v>
      </c>
      <c r="AL1897" s="7" t="n">
        <v>7</v>
      </c>
      <c r="AM1897" s="7" t="n">
        <v>13</v>
      </c>
      <c r="AN1897" s="7" t="n">
        <v>1</v>
      </c>
      <c r="AO1897" s="7" t="n">
        <v>2</v>
      </c>
      <c r="AP1897" s="7" t="n">
        <v>0</v>
      </c>
      <c r="AQ1897" s="7" t="n">
        <v>0</v>
      </c>
      <c r="AR1897" s="6" t="s">
        <v>57</v>
      </c>
      <c r="AS1897" s="6" t="s">
        <v>63</v>
      </c>
      <c r="AT1897" s="9" t="str">
        <f aca="false">HYPERLINK("http://catalog.hathitrust.org/Record/001381597","HathiTrust Record")</f>
        <v>HathiTrust Record</v>
      </c>
      <c r="AU1897" s="9" t="str">
        <f aca="false">HYPERLINK("https://creighton-primo.hosted.exlibrisgroup.com/primo-explore/search?tab=default_tab&amp;search_scope=EVERYTHING&amp;vid=01CRU&amp;lang=en_US&amp;offset=0&amp;query=any,contains,991004289309702656","Catalog Record")</f>
        <v>Catalog Record</v>
      </c>
      <c r="AV1897" s="9" t="str">
        <f aca="false">HYPERLINK("http://www.worldcat.org/oclc/2937798","WorldCat Record")</f>
        <v>WorldCat Record</v>
      </c>
      <c r="AW1897" s="6" t="s">
        <v>16683</v>
      </c>
      <c r="AX1897" s="6" t="s">
        <v>16684</v>
      </c>
      <c r="AY1897" s="6" t="s">
        <v>16685</v>
      </c>
      <c r="AZ1897" s="6" t="s">
        <v>16685</v>
      </c>
      <c r="BA1897" s="6" t="s">
        <v>16686</v>
      </c>
      <c r="BB1897" s="28"/>
      <c r="BC1897" s="6" t="s">
        <v>16687</v>
      </c>
      <c r="BE1897" s="15" t="s">
        <v>2145</v>
      </c>
      <c r="BF1897" s="6" t="s">
        <v>16688</v>
      </c>
    </row>
    <row r="1898" customFormat="false" ht="128.5" hidden="false" customHeight="false" outlineLevel="0" collapsed="false">
      <c r="A1898" s="26" t="s">
        <v>63</v>
      </c>
      <c r="B1898" s="27" t="s">
        <v>2129</v>
      </c>
      <c r="C1898" s="27" t="s">
        <v>2130</v>
      </c>
      <c r="D1898" s="27" t="s">
        <v>16689</v>
      </c>
      <c r="E1898" s="27" t="s">
        <v>16690</v>
      </c>
      <c r="F1898" s="27" t="s">
        <v>16691</v>
      </c>
      <c r="G1898" s="28"/>
      <c r="H1898" s="6" t="s">
        <v>63</v>
      </c>
      <c r="I1898" s="6" t="s">
        <v>62</v>
      </c>
      <c r="J1898" s="6" t="s">
        <v>63</v>
      </c>
      <c r="K1898" s="6" t="s">
        <v>63</v>
      </c>
      <c r="L1898" s="6" t="s">
        <v>64</v>
      </c>
      <c r="M1898" s="27" t="s">
        <v>5000</v>
      </c>
      <c r="N1898" s="27" t="s">
        <v>16692</v>
      </c>
      <c r="O1898" s="6" t="s">
        <v>3405</v>
      </c>
      <c r="P1898" s="28"/>
      <c r="Q1898" s="6" t="s">
        <v>4501</v>
      </c>
      <c r="R1898" s="6" t="s">
        <v>367</v>
      </c>
      <c r="S1898" s="27" t="s">
        <v>16693</v>
      </c>
      <c r="T1898" s="6" t="s">
        <v>6138</v>
      </c>
      <c r="U1898" s="7" t="n">
        <v>3</v>
      </c>
      <c r="V1898" s="7" t="n">
        <v>3</v>
      </c>
      <c r="W1898" s="8" t="s">
        <v>16694</v>
      </c>
      <c r="X1898" s="8" t="s">
        <v>16694</v>
      </c>
      <c r="Y1898" s="8" t="s">
        <v>16695</v>
      </c>
      <c r="Z1898" s="8" t="s">
        <v>16695</v>
      </c>
      <c r="AA1898" s="7" t="n">
        <v>396</v>
      </c>
      <c r="AB1898" s="7" t="n">
        <v>272</v>
      </c>
      <c r="AC1898" s="7" t="n">
        <v>279</v>
      </c>
      <c r="AD1898" s="7" t="n">
        <v>1</v>
      </c>
      <c r="AE1898" s="7" t="n">
        <v>1</v>
      </c>
      <c r="AF1898" s="7" t="n">
        <v>25</v>
      </c>
      <c r="AG1898" s="7" t="n">
        <v>25</v>
      </c>
      <c r="AH1898" s="7" t="n">
        <v>5</v>
      </c>
      <c r="AI1898" s="7" t="n">
        <v>5</v>
      </c>
      <c r="AJ1898" s="7" t="n">
        <v>8</v>
      </c>
      <c r="AK1898" s="7" t="n">
        <v>8</v>
      </c>
      <c r="AL1898" s="7" t="n">
        <v>20</v>
      </c>
      <c r="AM1898" s="7" t="n">
        <v>20</v>
      </c>
      <c r="AN1898" s="7" t="n">
        <v>0</v>
      </c>
      <c r="AO1898" s="7" t="n">
        <v>0</v>
      </c>
      <c r="AP1898" s="7" t="n">
        <v>0</v>
      </c>
      <c r="AQ1898" s="7" t="n">
        <v>0</v>
      </c>
      <c r="AR1898" s="6" t="s">
        <v>63</v>
      </c>
      <c r="AS1898" s="6" t="s">
        <v>57</v>
      </c>
      <c r="AT1898" s="9" t="str">
        <f aca="false">HYPERLINK("http://catalog.hathitrust.org/Record/001381619","HathiTrust Record")</f>
        <v>HathiTrust Record</v>
      </c>
      <c r="AU1898" s="9" t="str">
        <f aca="false">HYPERLINK("https://creighton-primo.hosted.exlibrisgroup.com/primo-explore/search?tab=default_tab&amp;search_scope=EVERYTHING&amp;vid=01CRU&amp;lang=en_US&amp;offset=0&amp;query=any,contains,991003380399702656","Catalog Record")</f>
        <v>Catalog Record</v>
      </c>
      <c r="AV1898" s="9" t="str">
        <f aca="false">HYPERLINK("http://www.worldcat.org/oclc/40335936","WorldCat Record")</f>
        <v>WorldCat Record</v>
      </c>
      <c r="AW1898" s="6" t="s">
        <v>16696</v>
      </c>
      <c r="AX1898" s="6" t="s">
        <v>16697</v>
      </c>
      <c r="AY1898" s="6" t="s">
        <v>16698</v>
      </c>
      <c r="AZ1898" s="6" t="s">
        <v>16698</v>
      </c>
      <c r="BA1898" s="6" t="s">
        <v>16699</v>
      </c>
      <c r="BB1898" s="28"/>
      <c r="BC1898" s="6" t="s">
        <v>16700</v>
      </c>
      <c r="BE1898" s="15" t="s">
        <v>2145</v>
      </c>
      <c r="BF1898" s="6" t="s">
        <v>16701</v>
      </c>
    </row>
    <row r="1899" customFormat="false" ht="82.5" hidden="false" customHeight="false" outlineLevel="0" collapsed="false">
      <c r="A1899" s="26" t="s">
        <v>63</v>
      </c>
      <c r="B1899" s="27" t="s">
        <v>2129</v>
      </c>
      <c r="C1899" s="27" t="s">
        <v>2130</v>
      </c>
      <c r="D1899" s="27" t="s">
        <v>16702</v>
      </c>
      <c r="E1899" s="27" t="s">
        <v>16703</v>
      </c>
      <c r="F1899" s="27" t="s">
        <v>16613</v>
      </c>
      <c r="G1899" s="28"/>
      <c r="H1899" s="6" t="s">
        <v>57</v>
      </c>
      <c r="I1899" s="6" t="s">
        <v>62</v>
      </c>
      <c r="J1899" s="6" t="s">
        <v>57</v>
      </c>
      <c r="K1899" s="6" t="s">
        <v>63</v>
      </c>
      <c r="L1899" s="6" t="s">
        <v>64</v>
      </c>
      <c r="M1899" s="27" t="s">
        <v>16614</v>
      </c>
      <c r="N1899" s="27" t="s">
        <v>16615</v>
      </c>
      <c r="O1899" s="6" t="s">
        <v>3919</v>
      </c>
      <c r="P1899" s="28"/>
      <c r="Q1899" s="6" t="s">
        <v>67</v>
      </c>
      <c r="R1899" s="6" t="s">
        <v>367</v>
      </c>
      <c r="S1899" s="28"/>
      <c r="T1899" s="6" t="s">
        <v>6138</v>
      </c>
      <c r="U1899" s="7" t="n">
        <v>1</v>
      </c>
      <c r="V1899" s="7" t="n">
        <v>3</v>
      </c>
      <c r="W1899" s="8" t="s">
        <v>16616</v>
      </c>
      <c r="X1899" s="8" t="s">
        <v>16616</v>
      </c>
      <c r="Y1899" s="8" t="s">
        <v>9498</v>
      </c>
      <c r="Z1899" s="8" t="s">
        <v>9498</v>
      </c>
      <c r="AA1899" s="7" t="n">
        <v>358</v>
      </c>
      <c r="AB1899" s="7" t="n">
        <v>330</v>
      </c>
      <c r="AC1899" s="7" t="n">
        <v>346</v>
      </c>
      <c r="AD1899" s="7" t="n">
        <v>1</v>
      </c>
      <c r="AE1899" s="7" t="n">
        <v>1</v>
      </c>
      <c r="AF1899" s="7" t="n">
        <v>23</v>
      </c>
      <c r="AG1899" s="7" t="n">
        <v>23</v>
      </c>
      <c r="AH1899" s="7" t="n">
        <v>15</v>
      </c>
      <c r="AI1899" s="7" t="n">
        <v>15</v>
      </c>
      <c r="AJ1899" s="7" t="n">
        <v>5</v>
      </c>
      <c r="AK1899" s="7" t="n">
        <v>5</v>
      </c>
      <c r="AL1899" s="7" t="n">
        <v>10</v>
      </c>
      <c r="AM1899" s="7" t="n">
        <v>10</v>
      </c>
      <c r="AN1899" s="7" t="n">
        <v>0</v>
      </c>
      <c r="AO1899" s="7" t="n">
        <v>0</v>
      </c>
      <c r="AP1899" s="7" t="n">
        <v>0</v>
      </c>
      <c r="AQ1899" s="7" t="n">
        <v>0</v>
      </c>
      <c r="AR1899" s="6" t="s">
        <v>57</v>
      </c>
      <c r="AS1899" s="6" t="s">
        <v>63</v>
      </c>
      <c r="AT1899" s="9" t="str">
        <f aca="false">HYPERLINK("http://catalog.hathitrust.org/Record/006752721","HathiTrust Record")</f>
        <v>HathiTrust Record</v>
      </c>
      <c r="AU1899" s="9" t="str">
        <f aca="false">HYPERLINK("https://creighton-primo.hosted.exlibrisgroup.com/primo-explore/search?tab=default_tab&amp;search_scope=EVERYTHING&amp;vid=01CRU&amp;lang=en_US&amp;offset=0&amp;query=any,contains,991001207039702656","Catalog Record")</f>
        <v>Catalog Record</v>
      </c>
      <c r="AV1899" s="9" t="str">
        <f aca="false">HYPERLINK("http://www.worldcat.org/oclc/192334","WorldCat Record")</f>
        <v>WorldCat Record</v>
      </c>
      <c r="AW1899" s="6" t="s">
        <v>16617</v>
      </c>
      <c r="AX1899" s="6" t="s">
        <v>16618</v>
      </c>
      <c r="AY1899" s="6" t="s">
        <v>16619</v>
      </c>
      <c r="AZ1899" s="6" t="s">
        <v>16619</v>
      </c>
      <c r="BA1899" s="6" t="s">
        <v>16620</v>
      </c>
      <c r="BB1899" s="28"/>
      <c r="BC1899" s="6" t="s">
        <v>16704</v>
      </c>
      <c r="BE1899" s="15" t="s">
        <v>2145</v>
      </c>
      <c r="BF1899" s="6" t="s">
        <v>16705</v>
      </c>
    </row>
    <row r="1900" customFormat="false" ht="151.5" hidden="false" customHeight="false" outlineLevel="0" collapsed="false">
      <c r="A1900" s="26" t="s">
        <v>63</v>
      </c>
      <c r="B1900" s="27" t="s">
        <v>2129</v>
      </c>
      <c r="C1900" s="27" t="s">
        <v>2130</v>
      </c>
      <c r="D1900" s="27" t="s">
        <v>16706</v>
      </c>
      <c r="E1900" s="27" t="s">
        <v>16707</v>
      </c>
      <c r="F1900" s="27" t="s">
        <v>16708</v>
      </c>
      <c r="G1900" s="28"/>
      <c r="H1900" s="6" t="s">
        <v>63</v>
      </c>
      <c r="I1900" s="6" t="s">
        <v>62</v>
      </c>
      <c r="J1900" s="6" t="s">
        <v>63</v>
      </c>
      <c r="K1900" s="6" t="s">
        <v>63</v>
      </c>
      <c r="L1900" s="6" t="s">
        <v>64</v>
      </c>
      <c r="M1900" s="27" t="s">
        <v>16709</v>
      </c>
      <c r="N1900" s="27" t="s">
        <v>16710</v>
      </c>
      <c r="O1900" s="6" t="s">
        <v>108</v>
      </c>
      <c r="P1900" s="28"/>
      <c r="Q1900" s="6" t="s">
        <v>67</v>
      </c>
      <c r="R1900" s="6" t="s">
        <v>500</v>
      </c>
      <c r="S1900" s="27" t="s">
        <v>10625</v>
      </c>
      <c r="T1900" s="6" t="s">
        <v>6138</v>
      </c>
      <c r="U1900" s="7" t="n">
        <v>1</v>
      </c>
      <c r="V1900" s="7" t="n">
        <v>1</v>
      </c>
      <c r="W1900" s="8" t="s">
        <v>16711</v>
      </c>
      <c r="X1900" s="8" t="s">
        <v>16711</v>
      </c>
      <c r="Y1900" s="8" t="s">
        <v>9498</v>
      </c>
      <c r="Z1900" s="8" t="s">
        <v>9498</v>
      </c>
      <c r="AA1900" s="7" t="n">
        <v>682</v>
      </c>
      <c r="AB1900" s="7" t="n">
        <v>585</v>
      </c>
      <c r="AC1900" s="7" t="n">
        <v>604</v>
      </c>
      <c r="AD1900" s="7" t="n">
        <v>5</v>
      </c>
      <c r="AE1900" s="7" t="n">
        <v>5</v>
      </c>
      <c r="AF1900" s="7" t="n">
        <v>33</v>
      </c>
      <c r="AG1900" s="7" t="n">
        <v>34</v>
      </c>
      <c r="AH1900" s="7" t="n">
        <v>12</v>
      </c>
      <c r="AI1900" s="7" t="n">
        <v>12</v>
      </c>
      <c r="AJ1900" s="7" t="n">
        <v>7</v>
      </c>
      <c r="AK1900" s="7" t="n">
        <v>8</v>
      </c>
      <c r="AL1900" s="7" t="n">
        <v>21</v>
      </c>
      <c r="AM1900" s="7" t="n">
        <v>22</v>
      </c>
      <c r="AN1900" s="7" t="n">
        <v>3</v>
      </c>
      <c r="AO1900" s="7" t="n">
        <v>3</v>
      </c>
      <c r="AP1900" s="7" t="n">
        <v>0</v>
      </c>
      <c r="AQ1900" s="7" t="n">
        <v>0</v>
      </c>
      <c r="AR1900" s="6" t="s">
        <v>63</v>
      </c>
      <c r="AS1900" s="6" t="s">
        <v>57</v>
      </c>
      <c r="AT1900" s="9" t="str">
        <f aca="false">HYPERLINK("http://catalog.hathitrust.org/Record/000749752","HathiTrust Record")</f>
        <v>HathiTrust Record</v>
      </c>
      <c r="AU1900" s="9" t="str">
        <f aca="false">HYPERLINK("https://creighton-primo.hosted.exlibrisgroup.com/primo-explore/search?tab=default_tab&amp;search_scope=EVERYTHING&amp;vid=01CRU&amp;lang=en_US&amp;offset=0&amp;query=any,contains,991004412009702656","Catalog Record")</f>
        <v>Catalog Record</v>
      </c>
      <c r="AV1900" s="9" t="str">
        <f aca="false">HYPERLINK("http://www.worldcat.org/oclc/3345935","WorldCat Record")</f>
        <v>WorldCat Record</v>
      </c>
      <c r="AW1900" s="6" t="s">
        <v>16712</v>
      </c>
      <c r="AX1900" s="6" t="s">
        <v>16713</v>
      </c>
      <c r="AY1900" s="6" t="s">
        <v>16714</v>
      </c>
      <c r="AZ1900" s="6" t="s">
        <v>16714</v>
      </c>
      <c r="BA1900" s="6" t="s">
        <v>16715</v>
      </c>
      <c r="BB1900" s="6" t="s">
        <v>16716</v>
      </c>
      <c r="BC1900" s="6" t="s">
        <v>16717</v>
      </c>
      <c r="BE1900" s="15" t="s">
        <v>2145</v>
      </c>
      <c r="BF1900" s="6" t="s">
        <v>16718</v>
      </c>
    </row>
    <row r="1901" customFormat="false" ht="174.5" hidden="false" customHeight="false" outlineLevel="0" collapsed="false">
      <c r="A1901" s="26" t="s">
        <v>63</v>
      </c>
      <c r="B1901" s="27" t="s">
        <v>2129</v>
      </c>
      <c r="C1901" s="27" t="s">
        <v>2130</v>
      </c>
      <c r="D1901" s="27" t="s">
        <v>16719</v>
      </c>
      <c r="E1901" s="27" t="s">
        <v>16720</v>
      </c>
      <c r="F1901" s="27" t="s">
        <v>16721</v>
      </c>
      <c r="G1901" s="28"/>
      <c r="H1901" s="6" t="s">
        <v>63</v>
      </c>
      <c r="I1901" s="6" t="s">
        <v>62</v>
      </c>
      <c r="J1901" s="6" t="s">
        <v>63</v>
      </c>
      <c r="K1901" s="6" t="s">
        <v>63</v>
      </c>
      <c r="L1901" s="6" t="s">
        <v>64</v>
      </c>
      <c r="M1901" s="27" t="s">
        <v>16722</v>
      </c>
      <c r="N1901" s="27" t="s">
        <v>16723</v>
      </c>
      <c r="O1901" s="6" t="s">
        <v>221</v>
      </c>
      <c r="P1901" s="28"/>
      <c r="Q1901" s="6" t="s">
        <v>67</v>
      </c>
      <c r="R1901" s="6" t="s">
        <v>1108</v>
      </c>
      <c r="S1901" s="28"/>
      <c r="T1901" s="6" t="s">
        <v>6138</v>
      </c>
      <c r="U1901" s="7" t="n">
        <v>2</v>
      </c>
      <c r="V1901" s="7" t="n">
        <v>2</v>
      </c>
      <c r="W1901" s="8" t="s">
        <v>16724</v>
      </c>
      <c r="X1901" s="8" t="s">
        <v>16724</v>
      </c>
      <c r="Y1901" s="8" t="s">
        <v>9498</v>
      </c>
      <c r="Z1901" s="8" t="s">
        <v>9498</v>
      </c>
      <c r="AA1901" s="7" t="n">
        <v>488</v>
      </c>
      <c r="AB1901" s="7" t="n">
        <v>385</v>
      </c>
      <c r="AC1901" s="7" t="n">
        <v>613</v>
      </c>
      <c r="AD1901" s="7" t="n">
        <v>5</v>
      </c>
      <c r="AE1901" s="7" t="n">
        <v>7</v>
      </c>
      <c r="AF1901" s="7" t="n">
        <v>26</v>
      </c>
      <c r="AG1901" s="7" t="n">
        <v>35</v>
      </c>
      <c r="AH1901" s="7" t="n">
        <v>7</v>
      </c>
      <c r="AI1901" s="7" t="n">
        <v>14</v>
      </c>
      <c r="AJ1901" s="7" t="n">
        <v>7</v>
      </c>
      <c r="AK1901" s="7" t="n">
        <v>9</v>
      </c>
      <c r="AL1901" s="7" t="n">
        <v>18</v>
      </c>
      <c r="AM1901" s="7" t="n">
        <v>19</v>
      </c>
      <c r="AN1901" s="7" t="n">
        <v>3</v>
      </c>
      <c r="AO1901" s="7" t="n">
        <v>4</v>
      </c>
      <c r="AP1901" s="7" t="n">
        <v>0</v>
      </c>
      <c r="AQ1901" s="7" t="n">
        <v>0</v>
      </c>
      <c r="AR1901" s="6" t="s">
        <v>63</v>
      </c>
      <c r="AS1901" s="6" t="s">
        <v>63</v>
      </c>
      <c r="AT1901" s="28"/>
      <c r="AU1901" s="9" t="str">
        <f aca="false">HYPERLINK("https://creighton-primo.hosted.exlibrisgroup.com/primo-explore/search?tab=default_tab&amp;search_scope=EVERYTHING&amp;vid=01CRU&amp;lang=en_US&amp;offset=0&amp;query=any,contains,991000102369702656","Catalog Record")</f>
        <v>Catalog Record</v>
      </c>
      <c r="AV1901" s="9" t="str">
        <f aca="false">HYPERLINK("http://www.worldcat.org/oclc/8954624","WorldCat Record")</f>
        <v>WorldCat Record</v>
      </c>
      <c r="AW1901" s="6" t="s">
        <v>16725</v>
      </c>
      <c r="AX1901" s="6" t="s">
        <v>16726</v>
      </c>
      <c r="AY1901" s="6" t="s">
        <v>16727</v>
      </c>
      <c r="AZ1901" s="6" t="s">
        <v>16727</v>
      </c>
      <c r="BA1901" s="6" t="s">
        <v>16728</v>
      </c>
      <c r="BB1901" s="6" t="s">
        <v>16729</v>
      </c>
      <c r="BC1901" s="6" t="s">
        <v>16730</v>
      </c>
      <c r="BE1901" s="15" t="s">
        <v>2145</v>
      </c>
      <c r="BF1901" s="6" t="s">
        <v>16731</v>
      </c>
    </row>
    <row r="1902" customFormat="false" ht="117" hidden="false" customHeight="false" outlineLevel="0" collapsed="false">
      <c r="A1902" s="26" t="s">
        <v>63</v>
      </c>
      <c r="B1902" s="27" t="s">
        <v>2129</v>
      </c>
      <c r="C1902" s="27" t="s">
        <v>2130</v>
      </c>
      <c r="D1902" s="27" t="s">
        <v>16732</v>
      </c>
      <c r="E1902" s="27" t="s">
        <v>16733</v>
      </c>
      <c r="F1902" s="27" t="s">
        <v>16734</v>
      </c>
      <c r="G1902" s="28"/>
      <c r="H1902" s="6" t="s">
        <v>63</v>
      </c>
      <c r="I1902" s="6" t="s">
        <v>62</v>
      </c>
      <c r="J1902" s="6" t="s">
        <v>63</v>
      </c>
      <c r="K1902" s="6" t="s">
        <v>63</v>
      </c>
      <c r="L1902" s="6" t="s">
        <v>64</v>
      </c>
      <c r="M1902" s="27" t="s">
        <v>16735</v>
      </c>
      <c r="N1902" s="27" t="s">
        <v>16736</v>
      </c>
      <c r="O1902" s="6" t="s">
        <v>9321</v>
      </c>
      <c r="P1902" s="28"/>
      <c r="Q1902" s="6" t="s">
        <v>67</v>
      </c>
      <c r="R1902" s="6" t="s">
        <v>123</v>
      </c>
      <c r="S1902" s="27" t="s">
        <v>16737</v>
      </c>
      <c r="T1902" s="6" t="s">
        <v>6138</v>
      </c>
      <c r="U1902" s="7" t="n">
        <v>4</v>
      </c>
      <c r="V1902" s="7" t="n">
        <v>4</v>
      </c>
      <c r="W1902" s="8" t="s">
        <v>16738</v>
      </c>
      <c r="X1902" s="8" t="s">
        <v>16738</v>
      </c>
      <c r="Y1902" s="8" t="s">
        <v>9498</v>
      </c>
      <c r="Z1902" s="8" t="s">
        <v>9498</v>
      </c>
      <c r="AA1902" s="7" t="n">
        <v>94</v>
      </c>
      <c r="AB1902" s="7" t="n">
        <v>79</v>
      </c>
      <c r="AC1902" s="7" t="n">
        <v>84</v>
      </c>
      <c r="AD1902" s="7" t="n">
        <v>1</v>
      </c>
      <c r="AE1902" s="7" t="n">
        <v>1</v>
      </c>
      <c r="AF1902" s="7" t="n">
        <v>13</v>
      </c>
      <c r="AG1902" s="7" t="n">
        <v>13</v>
      </c>
      <c r="AH1902" s="7" t="n">
        <v>2</v>
      </c>
      <c r="AI1902" s="7" t="n">
        <v>2</v>
      </c>
      <c r="AJ1902" s="7" t="n">
        <v>3</v>
      </c>
      <c r="AK1902" s="7" t="n">
        <v>3</v>
      </c>
      <c r="AL1902" s="7" t="n">
        <v>11</v>
      </c>
      <c r="AM1902" s="7" t="n">
        <v>11</v>
      </c>
      <c r="AN1902" s="7" t="n">
        <v>0</v>
      </c>
      <c r="AO1902" s="7" t="n">
        <v>0</v>
      </c>
      <c r="AP1902" s="7" t="n">
        <v>0</v>
      </c>
      <c r="AQ1902" s="7" t="n">
        <v>0</v>
      </c>
      <c r="AR1902" s="6" t="s">
        <v>63</v>
      </c>
      <c r="AS1902" s="6" t="s">
        <v>57</v>
      </c>
      <c r="AT1902" s="9" t="str">
        <f aca="false">HYPERLINK("http://catalog.hathitrust.org/Record/101983761","HathiTrust Record")</f>
        <v>HathiTrust Record</v>
      </c>
      <c r="AU1902" s="9" t="str">
        <f aca="false">HYPERLINK("https://creighton-primo.hosted.exlibrisgroup.com/primo-explore/search?tab=default_tab&amp;search_scope=EVERYTHING&amp;vid=01CRU&amp;lang=en_US&amp;offset=0&amp;query=any,contains,991003985879702656","Catalog Record")</f>
        <v>Catalog Record</v>
      </c>
      <c r="AV1902" s="9" t="str">
        <f aca="false">HYPERLINK("http://www.worldcat.org/oclc/2030720","WorldCat Record")</f>
        <v>WorldCat Record</v>
      </c>
      <c r="AW1902" s="6" t="s">
        <v>16739</v>
      </c>
      <c r="AX1902" s="6" t="s">
        <v>16740</v>
      </c>
      <c r="AY1902" s="6" t="s">
        <v>16741</v>
      </c>
      <c r="AZ1902" s="6" t="s">
        <v>16741</v>
      </c>
      <c r="BA1902" s="6" t="s">
        <v>16742</v>
      </c>
      <c r="BB1902" s="28"/>
      <c r="BC1902" s="6" t="s">
        <v>16743</v>
      </c>
      <c r="BE1902" s="15" t="s">
        <v>2145</v>
      </c>
      <c r="BF1902" s="6" t="s">
        <v>16744</v>
      </c>
    </row>
    <row r="1903" customFormat="false" ht="117" hidden="false" customHeight="false" outlineLevel="0" collapsed="false">
      <c r="A1903" s="26" t="s">
        <v>63</v>
      </c>
      <c r="B1903" s="27" t="s">
        <v>2129</v>
      </c>
      <c r="C1903" s="27" t="s">
        <v>2130</v>
      </c>
      <c r="D1903" s="27" t="s">
        <v>16745</v>
      </c>
      <c r="E1903" s="27" t="s">
        <v>16746</v>
      </c>
      <c r="F1903" s="27" t="s">
        <v>16747</v>
      </c>
      <c r="G1903" s="28"/>
      <c r="H1903" s="6" t="s">
        <v>63</v>
      </c>
      <c r="I1903" s="6" t="s">
        <v>62</v>
      </c>
      <c r="J1903" s="6" t="s">
        <v>63</v>
      </c>
      <c r="K1903" s="6" t="s">
        <v>63</v>
      </c>
      <c r="L1903" s="6" t="s">
        <v>64</v>
      </c>
      <c r="M1903" s="27" t="s">
        <v>16748</v>
      </c>
      <c r="N1903" s="27" t="s">
        <v>16749</v>
      </c>
      <c r="O1903" s="6" t="s">
        <v>2221</v>
      </c>
      <c r="P1903" s="28"/>
      <c r="Q1903" s="6" t="s">
        <v>67</v>
      </c>
      <c r="R1903" s="6" t="s">
        <v>384</v>
      </c>
      <c r="S1903" s="28"/>
      <c r="T1903" s="6" t="s">
        <v>6138</v>
      </c>
      <c r="U1903" s="7" t="n">
        <v>6</v>
      </c>
      <c r="V1903" s="7" t="n">
        <v>6</v>
      </c>
      <c r="W1903" s="8" t="s">
        <v>16750</v>
      </c>
      <c r="X1903" s="8" t="s">
        <v>16750</v>
      </c>
      <c r="Y1903" s="8" t="s">
        <v>16751</v>
      </c>
      <c r="Z1903" s="8" t="s">
        <v>16751</v>
      </c>
      <c r="AA1903" s="7" t="n">
        <v>347</v>
      </c>
      <c r="AB1903" s="7" t="n">
        <v>255</v>
      </c>
      <c r="AC1903" s="7" t="n">
        <v>340</v>
      </c>
      <c r="AD1903" s="7" t="n">
        <v>3</v>
      </c>
      <c r="AE1903" s="7" t="n">
        <v>3</v>
      </c>
      <c r="AF1903" s="7" t="n">
        <v>22</v>
      </c>
      <c r="AG1903" s="7" t="n">
        <v>23</v>
      </c>
      <c r="AH1903" s="7" t="n">
        <v>8</v>
      </c>
      <c r="AI1903" s="7" t="n">
        <v>8</v>
      </c>
      <c r="AJ1903" s="7" t="n">
        <v>6</v>
      </c>
      <c r="AK1903" s="7" t="n">
        <v>6</v>
      </c>
      <c r="AL1903" s="7" t="n">
        <v>15</v>
      </c>
      <c r="AM1903" s="7" t="n">
        <v>16</v>
      </c>
      <c r="AN1903" s="7" t="n">
        <v>1</v>
      </c>
      <c r="AO1903" s="7" t="n">
        <v>1</v>
      </c>
      <c r="AP1903" s="7" t="n">
        <v>0</v>
      </c>
      <c r="AQ1903" s="7" t="n">
        <v>0</v>
      </c>
      <c r="AR1903" s="6" t="s">
        <v>63</v>
      </c>
      <c r="AS1903" s="6" t="s">
        <v>63</v>
      </c>
      <c r="AT1903" s="28"/>
      <c r="AU1903" s="9" t="str">
        <f aca="false">HYPERLINK("https://creighton-primo.hosted.exlibrisgroup.com/primo-explore/search?tab=default_tab&amp;search_scope=EVERYTHING&amp;vid=01CRU&amp;lang=en_US&amp;offset=0&amp;query=any,contains,991001109559702656","Catalog Record")</f>
        <v>Catalog Record</v>
      </c>
      <c r="AV1903" s="9" t="str">
        <f aca="false">HYPERLINK("http://www.worldcat.org/oclc/16465167","WorldCat Record")</f>
        <v>WorldCat Record</v>
      </c>
      <c r="AW1903" s="6" t="s">
        <v>16752</v>
      </c>
      <c r="AX1903" s="6" t="s">
        <v>16753</v>
      </c>
      <c r="AY1903" s="6" t="s">
        <v>16754</v>
      </c>
      <c r="AZ1903" s="6" t="s">
        <v>16754</v>
      </c>
      <c r="BA1903" s="6" t="s">
        <v>16755</v>
      </c>
      <c r="BB1903" s="6" t="s">
        <v>16756</v>
      </c>
      <c r="BC1903" s="6" t="s">
        <v>16757</v>
      </c>
      <c r="BE1903" s="15" t="s">
        <v>2145</v>
      </c>
      <c r="BF1903" s="6" t="s">
        <v>16758</v>
      </c>
    </row>
    <row r="1904" customFormat="false" ht="140" hidden="false" customHeight="false" outlineLevel="0" collapsed="false">
      <c r="A1904" s="26" t="s">
        <v>63</v>
      </c>
      <c r="B1904" s="27" t="s">
        <v>2129</v>
      </c>
      <c r="C1904" s="27" t="s">
        <v>2130</v>
      </c>
      <c r="D1904" s="27" t="s">
        <v>16759</v>
      </c>
      <c r="E1904" s="27" t="s">
        <v>16760</v>
      </c>
      <c r="F1904" s="27" t="s">
        <v>16761</v>
      </c>
      <c r="G1904" s="28"/>
      <c r="H1904" s="6" t="s">
        <v>63</v>
      </c>
      <c r="I1904" s="6" t="s">
        <v>62</v>
      </c>
      <c r="J1904" s="6" t="s">
        <v>63</v>
      </c>
      <c r="K1904" s="6" t="s">
        <v>63</v>
      </c>
      <c r="L1904" s="6" t="s">
        <v>64</v>
      </c>
      <c r="M1904" s="27" t="s">
        <v>16762</v>
      </c>
      <c r="N1904" s="27" t="s">
        <v>16763</v>
      </c>
      <c r="O1904" s="6" t="s">
        <v>2893</v>
      </c>
      <c r="P1904" s="28"/>
      <c r="Q1904" s="6" t="s">
        <v>67</v>
      </c>
      <c r="R1904" s="6" t="s">
        <v>384</v>
      </c>
      <c r="S1904" s="28"/>
      <c r="T1904" s="6" t="s">
        <v>6138</v>
      </c>
      <c r="U1904" s="7" t="n">
        <v>2</v>
      </c>
      <c r="V1904" s="7" t="n">
        <v>2</v>
      </c>
      <c r="W1904" s="8" t="s">
        <v>16764</v>
      </c>
      <c r="X1904" s="8" t="s">
        <v>16764</v>
      </c>
      <c r="Y1904" s="8" t="s">
        <v>16765</v>
      </c>
      <c r="Z1904" s="8" t="s">
        <v>16765</v>
      </c>
      <c r="AA1904" s="7" t="n">
        <v>576</v>
      </c>
      <c r="AB1904" s="7" t="n">
        <v>444</v>
      </c>
      <c r="AC1904" s="7" t="n">
        <v>450</v>
      </c>
      <c r="AD1904" s="7" t="n">
        <v>3</v>
      </c>
      <c r="AE1904" s="7" t="n">
        <v>3</v>
      </c>
      <c r="AF1904" s="7" t="n">
        <v>32</v>
      </c>
      <c r="AG1904" s="7" t="n">
        <v>32</v>
      </c>
      <c r="AH1904" s="7" t="n">
        <v>11</v>
      </c>
      <c r="AI1904" s="7" t="n">
        <v>11</v>
      </c>
      <c r="AJ1904" s="7" t="n">
        <v>9</v>
      </c>
      <c r="AK1904" s="7" t="n">
        <v>9</v>
      </c>
      <c r="AL1904" s="7" t="n">
        <v>21</v>
      </c>
      <c r="AM1904" s="7" t="n">
        <v>21</v>
      </c>
      <c r="AN1904" s="7" t="n">
        <v>2</v>
      </c>
      <c r="AO1904" s="7" t="n">
        <v>2</v>
      </c>
      <c r="AP1904" s="7" t="n">
        <v>0</v>
      </c>
      <c r="AQ1904" s="7" t="n">
        <v>0</v>
      </c>
      <c r="AR1904" s="6" t="s">
        <v>63</v>
      </c>
      <c r="AS1904" s="6" t="s">
        <v>63</v>
      </c>
      <c r="AT1904" s="28"/>
      <c r="AU1904" s="9" t="str">
        <f aca="false">HYPERLINK("https://creighton-primo.hosted.exlibrisgroup.com/primo-explore/search?tab=default_tab&amp;search_scope=EVERYTHING&amp;vid=01CRU&amp;lang=en_US&amp;offset=0&amp;query=any,contains,991003842859702656","Catalog Record")</f>
        <v>Catalog Record</v>
      </c>
      <c r="AV1904" s="9" t="str">
        <f aca="false">HYPERLINK("http://www.worldcat.org/oclc/1621954","WorldCat Record")</f>
        <v>WorldCat Record</v>
      </c>
      <c r="AW1904" s="6" t="s">
        <v>16766</v>
      </c>
      <c r="AX1904" s="6" t="s">
        <v>16767</v>
      </c>
      <c r="AY1904" s="6" t="s">
        <v>16768</v>
      </c>
      <c r="AZ1904" s="6" t="s">
        <v>16768</v>
      </c>
      <c r="BA1904" s="6" t="s">
        <v>16769</v>
      </c>
      <c r="BB1904" s="6" t="s">
        <v>16770</v>
      </c>
      <c r="BC1904" s="6" t="s">
        <v>16771</v>
      </c>
      <c r="BE1904" s="15" t="s">
        <v>2145</v>
      </c>
      <c r="BF1904" s="6" t="s">
        <v>16772</v>
      </c>
    </row>
    <row r="1905" customFormat="false" ht="186" hidden="false" customHeight="false" outlineLevel="0" collapsed="false">
      <c r="A1905" s="26" t="s">
        <v>63</v>
      </c>
      <c r="B1905" s="27" t="s">
        <v>2129</v>
      </c>
      <c r="C1905" s="27" t="s">
        <v>2130</v>
      </c>
      <c r="D1905" s="27" t="s">
        <v>16773</v>
      </c>
      <c r="E1905" s="27" t="s">
        <v>16774</v>
      </c>
      <c r="F1905" s="27" t="s">
        <v>16775</v>
      </c>
      <c r="G1905" s="6" t="s">
        <v>1513</v>
      </c>
      <c r="H1905" s="6" t="s">
        <v>57</v>
      </c>
      <c r="I1905" s="6" t="s">
        <v>62</v>
      </c>
      <c r="J1905" s="6" t="s">
        <v>63</v>
      </c>
      <c r="K1905" s="6" t="s">
        <v>63</v>
      </c>
      <c r="L1905" s="6" t="s">
        <v>64</v>
      </c>
      <c r="M1905" s="27" t="s">
        <v>6035</v>
      </c>
      <c r="N1905" s="27" t="s">
        <v>16776</v>
      </c>
      <c r="O1905" s="6" t="s">
        <v>16777</v>
      </c>
      <c r="P1905" s="27" t="s">
        <v>16778</v>
      </c>
      <c r="Q1905" s="6" t="s">
        <v>4945</v>
      </c>
      <c r="R1905" s="6" t="s">
        <v>1086</v>
      </c>
      <c r="S1905" s="28"/>
      <c r="T1905" s="6" t="s">
        <v>6138</v>
      </c>
      <c r="U1905" s="7" t="n">
        <v>0</v>
      </c>
      <c r="V1905" s="7" t="n">
        <v>0</v>
      </c>
      <c r="W1905" s="8" t="s">
        <v>14738</v>
      </c>
      <c r="X1905" s="8" t="s">
        <v>14738</v>
      </c>
      <c r="Y1905" s="8" t="s">
        <v>16765</v>
      </c>
      <c r="Z1905" s="8" t="s">
        <v>16765</v>
      </c>
      <c r="AA1905" s="7" t="n">
        <v>94</v>
      </c>
      <c r="AB1905" s="7" t="n">
        <v>80</v>
      </c>
      <c r="AC1905" s="7" t="n">
        <v>113</v>
      </c>
      <c r="AD1905" s="7" t="n">
        <v>1</v>
      </c>
      <c r="AE1905" s="7" t="n">
        <v>1</v>
      </c>
      <c r="AF1905" s="7" t="n">
        <v>20</v>
      </c>
      <c r="AG1905" s="7" t="n">
        <v>22</v>
      </c>
      <c r="AH1905" s="7" t="n">
        <v>4</v>
      </c>
      <c r="AI1905" s="7" t="n">
        <v>6</v>
      </c>
      <c r="AJ1905" s="7" t="n">
        <v>8</v>
      </c>
      <c r="AK1905" s="7" t="n">
        <v>8</v>
      </c>
      <c r="AL1905" s="7" t="n">
        <v>14</v>
      </c>
      <c r="AM1905" s="7" t="n">
        <v>16</v>
      </c>
      <c r="AN1905" s="7" t="n">
        <v>0</v>
      </c>
      <c r="AO1905" s="7" t="n">
        <v>0</v>
      </c>
      <c r="AP1905" s="7" t="n">
        <v>0</v>
      </c>
      <c r="AQ1905" s="7" t="n">
        <v>0</v>
      </c>
      <c r="AR1905" s="6" t="s">
        <v>63</v>
      </c>
      <c r="AS1905" s="6" t="s">
        <v>63</v>
      </c>
      <c r="AT1905" s="28"/>
      <c r="AU1905" s="9" t="str">
        <f aca="false">HYPERLINK("https://creighton-primo.hosted.exlibrisgroup.com/primo-explore/search?tab=default_tab&amp;search_scope=EVERYTHING&amp;vid=01CRU&amp;lang=en_US&amp;offset=0&amp;query=any,contains,991003956079702656","Catalog Record")</f>
        <v>Catalog Record</v>
      </c>
      <c r="AV1905" s="9" t="str">
        <f aca="false">HYPERLINK("http://www.worldcat.org/oclc/1966715","WorldCat Record")</f>
        <v>WorldCat Record</v>
      </c>
      <c r="AW1905" s="6" t="s">
        <v>16779</v>
      </c>
      <c r="AX1905" s="6" t="s">
        <v>16780</v>
      </c>
      <c r="AY1905" s="6" t="s">
        <v>16781</v>
      </c>
      <c r="AZ1905" s="6" t="s">
        <v>16781</v>
      </c>
      <c r="BA1905" s="6" t="s">
        <v>16782</v>
      </c>
      <c r="BB1905" s="28"/>
      <c r="BC1905" s="6" t="s">
        <v>16783</v>
      </c>
      <c r="BE1905" s="15" t="s">
        <v>2145</v>
      </c>
      <c r="BF1905" s="6" t="s">
        <v>16784</v>
      </c>
    </row>
    <row r="1906" customFormat="false" ht="186" hidden="false" customHeight="false" outlineLevel="0" collapsed="false">
      <c r="A1906" s="26" t="s">
        <v>63</v>
      </c>
      <c r="B1906" s="27" t="s">
        <v>2129</v>
      </c>
      <c r="C1906" s="27" t="s">
        <v>2130</v>
      </c>
      <c r="D1906" s="27" t="s">
        <v>16773</v>
      </c>
      <c r="E1906" s="27" t="s">
        <v>16774</v>
      </c>
      <c r="F1906" s="27" t="s">
        <v>16775</v>
      </c>
      <c r="G1906" s="6" t="s">
        <v>498</v>
      </c>
      <c r="H1906" s="6" t="s">
        <v>57</v>
      </c>
      <c r="I1906" s="6" t="s">
        <v>62</v>
      </c>
      <c r="J1906" s="6" t="s">
        <v>63</v>
      </c>
      <c r="K1906" s="6" t="s">
        <v>63</v>
      </c>
      <c r="L1906" s="6" t="s">
        <v>64</v>
      </c>
      <c r="M1906" s="27" t="s">
        <v>6035</v>
      </c>
      <c r="N1906" s="27" t="s">
        <v>16776</v>
      </c>
      <c r="O1906" s="6" t="s">
        <v>16777</v>
      </c>
      <c r="P1906" s="27" t="s">
        <v>16778</v>
      </c>
      <c r="Q1906" s="6" t="s">
        <v>4945</v>
      </c>
      <c r="R1906" s="6" t="s">
        <v>1086</v>
      </c>
      <c r="S1906" s="28"/>
      <c r="T1906" s="6" t="s">
        <v>6138</v>
      </c>
      <c r="U1906" s="7" t="n">
        <v>0</v>
      </c>
      <c r="V1906" s="7" t="n">
        <v>0</v>
      </c>
      <c r="W1906" s="8" t="s">
        <v>14738</v>
      </c>
      <c r="X1906" s="8" t="s">
        <v>14738</v>
      </c>
      <c r="Y1906" s="8" t="s">
        <v>16765</v>
      </c>
      <c r="Z1906" s="8" t="s">
        <v>16765</v>
      </c>
      <c r="AA1906" s="7" t="n">
        <v>94</v>
      </c>
      <c r="AB1906" s="7" t="n">
        <v>80</v>
      </c>
      <c r="AC1906" s="7" t="n">
        <v>113</v>
      </c>
      <c r="AD1906" s="7" t="n">
        <v>1</v>
      </c>
      <c r="AE1906" s="7" t="n">
        <v>1</v>
      </c>
      <c r="AF1906" s="7" t="n">
        <v>20</v>
      </c>
      <c r="AG1906" s="7" t="n">
        <v>22</v>
      </c>
      <c r="AH1906" s="7" t="n">
        <v>4</v>
      </c>
      <c r="AI1906" s="7" t="n">
        <v>6</v>
      </c>
      <c r="AJ1906" s="7" t="n">
        <v>8</v>
      </c>
      <c r="AK1906" s="7" t="n">
        <v>8</v>
      </c>
      <c r="AL1906" s="7" t="n">
        <v>14</v>
      </c>
      <c r="AM1906" s="7" t="n">
        <v>16</v>
      </c>
      <c r="AN1906" s="7" t="n">
        <v>0</v>
      </c>
      <c r="AO1906" s="7" t="n">
        <v>0</v>
      </c>
      <c r="AP1906" s="7" t="n">
        <v>0</v>
      </c>
      <c r="AQ1906" s="7" t="n">
        <v>0</v>
      </c>
      <c r="AR1906" s="6" t="s">
        <v>63</v>
      </c>
      <c r="AS1906" s="6" t="s">
        <v>63</v>
      </c>
      <c r="AT1906" s="28"/>
      <c r="AU1906" s="9" t="str">
        <f aca="false">HYPERLINK("https://creighton-primo.hosted.exlibrisgroup.com/primo-explore/search?tab=default_tab&amp;search_scope=EVERYTHING&amp;vid=01CRU&amp;lang=en_US&amp;offset=0&amp;query=any,contains,991003956079702656","Catalog Record")</f>
        <v>Catalog Record</v>
      </c>
      <c r="AV1906" s="9" t="str">
        <f aca="false">HYPERLINK("http://www.worldcat.org/oclc/1966715","WorldCat Record")</f>
        <v>WorldCat Record</v>
      </c>
      <c r="AW1906" s="6" t="s">
        <v>16779</v>
      </c>
      <c r="AX1906" s="6" t="s">
        <v>16780</v>
      </c>
      <c r="AY1906" s="6" t="s">
        <v>16781</v>
      </c>
      <c r="AZ1906" s="6" t="s">
        <v>16781</v>
      </c>
      <c r="BA1906" s="6" t="s">
        <v>16782</v>
      </c>
      <c r="BB1906" s="28"/>
      <c r="BC1906" s="6" t="s">
        <v>16785</v>
      </c>
      <c r="BE1906" s="15" t="s">
        <v>2145</v>
      </c>
      <c r="BF1906" s="6" t="s">
        <v>16786</v>
      </c>
    </row>
    <row r="1907" customFormat="false" ht="186" hidden="false" customHeight="false" outlineLevel="0" collapsed="false">
      <c r="A1907" s="26" t="s">
        <v>63</v>
      </c>
      <c r="B1907" s="27" t="s">
        <v>2129</v>
      </c>
      <c r="C1907" s="27" t="s">
        <v>2130</v>
      </c>
      <c r="D1907" s="27" t="s">
        <v>16773</v>
      </c>
      <c r="E1907" s="27" t="s">
        <v>16774</v>
      </c>
      <c r="F1907" s="27" t="s">
        <v>16775</v>
      </c>
      <c r="G1907" s="6" t="s">
        <v>502</v>
      </c>
      <c r="H1907" s="6" t="s">
        <v>57</v>
      </c>
      <c r="I1907" s="6" t="s">
        <v>62</v>
      </c>
      <c r="J1907" s="6" t="s">
        <v>63</v>
      </c>
      <c r="K1907" s="6" t="s">
        <v>63</v>
      </c>
      <c r="L1907" s="6" t="s">
        <v>64</v>
      </c>
      <c r="M1907" s="27" t="s">
        <v>6035</v>
      </c>
      <c r="N1907" s="27" t="s">
        <v>16776</v>
      </c>
      <c r="O1907" s="6" t="s">
        <v>16777</v>
      </c>
      <c r="P1907" s="27" t="s">
        <v>16778</v>
      </c>
      <c r="Q1907" s="6" t="s">
        <v>4945</v>
      </c>
      <c r="R1907" s="6" t="s">
        <v>1086</v>
      </c>
      <c r="S1907" s="28"/>
      <c r="T1907" s="6" t="s">
        <v>6138</v>
      </c>
      <c r="U1907" s="7" t="n">
        <v>0</v>
      </c>
      <c r="V1907" s="7" t="n">
        <v>0</v>
      </c>
      <c r="W1907" s="8" t="s">
        <v>14738</v>
      </c>
      <c r="X1907" s="8" t="s">
        <v>14738</v>
      </c>
      <c r="Y1907" s="8" t="s">
        <v>16765</v>
      </c>
      <c r="Z1907" s="8" t="s">
        <v>16765</v>
      </c>
      <c r="AA1907" s="7" t="n">
        <v>94</v>
      </c>
      <c r="AB1907" s="7" t="n">
        <v>80</v>
      </c>
      <c r="AC1907" s="7" t="n">
        <v>113</v>
      </c>
      <c r="AD1907" s="7" t="n">
        <v>1</v>
      </c>
      <c r="AE1907" s="7" t="n">
        <v>1</v>
      </c>
      <c r="AF1907" s="7" t="n">
        <v>20</v>
      </c>
      <c r="AG1907" s="7" t="n">
        <v>22</v>
      </c>
      <c r="AH1907" s="7" t="n">
        <v>4</v>
      </c>
      <c r="AI1907" s="7" t="n">
        <v>6</v>
      </c>
      <c r="AJ1907" s="7" t="n">
        <v>8</v>
      </c>
      <c r="AK1907" s="7" t="n">
        <v>8</v>
      </c>
      <c r="AL1907" s="7" t="n">
        <v>14</v>
      </c>
      <c r="AM1907" s="7" t="n">
        <v>16</v>
      </c>
      <c r="AN1907" s="7" t="n">
        <v>0</v>
      </c>
      <c r="AO1907" s="7" t="n">
        <v>0</v>
      </c>
      <c r="AP1907" s="7" t="n">
        <v>0</v>
      </c>
      <c r="AQ1907" s="7" t="n">
        <v>0</v>
      </c>
      <c r="AR1907" s="6" t="s">
        <v>63</v>
      </c>
      <c r="AS1907" s="6" t="s">
        <v>63</v>
      </c>
      <c r="AT1907" s="28"/>
      <c r="AU1907" s="9" t="str">
        <f aca="false">HYPERLINK("https://creighton-primo.hosted.exlibrisgroup.com/primo-explore/search?tab=default_tab&amp;search_scope=EVERYTHING&amp;vid=01CRU&amp;lang=en_US&amp;offset=0&amp;query=any,contains,991003956079702656","Catalog Record")</f>
        <v>Catalog Record</v>
      </c>
      <c r="AV1907" s="9" t="str">
        <f aca="false">HYPERLINK("http://www.worldcat.org/oclc/1966715","WorldCat Record")</f>
        <v>WorldCat Record</v>
      </c>
      <c r="AW1907" s="6" t="s">
        <v>16779</v>
      </c>
      <c r="AX1907" s="6" t="s">
        <v>16780</v>
      </c>
      <c r="AY1907" s="6" t="s">
        <v>16781</v>
      </c>
      <c r="AZ1907" s="6" t="s">
        <v>16781</v>
      </c>
      <c r="BA1907" s="6" t="s">
        <v>16782</v>
      </c>
      <c r="BB1907" s="28"/>
      <c r="BC1907" s="6" t="s">
        <v>16787</v>
      </c>
      <c r="BE1907" s="15" t="s">
        <v>2145</v>
      </c>
      <c r="BF1907" s="6" t="s">
        <v>16788</v>
      </c>
    </row>
    <row r="1908" customFormat="false" ht="174.5" hidden="false" customHeight="false" outlineLevel="0" collapsed="false">
      <c r="A1908" s="26" t="s">
        <v>63</v>
      </c>
      <c r="B1908" s="27" t="s">
        <v>2129</v>
      </c>
      <c r="C1908" s="27" t="s">
        <v>2130</v>
      </c>
      <c r="D1908" s="27" t="s">
        <v>16789</v>
      </c>
      <c r="E1908" s="27" t="s">
        <v>16790</v>
      </c>
      <c r="F1908" s="27" t="s">
        <v>16791</v>
      </c>
      <c r="G1908" s="28"/>
      <c r="H1908" s="6" t="s">
        <v>63</v>
      </c>
      <c r="I1908" s="6" t="s">
        <v>62</v>
      </c>
      <c r="J1908" s="6" t="s">
        <v>63</v>
      </c>
      <c r="K1908" s="6" t="s">
        <v>63</v>
      </c>
      <c r="L1908" s="6" t="s">
        <v>64</v>
      </c>
      <c r="M1908" s="27" t="s">
        <v>16792</v>
      </c>
      <c r="N1908" s="28"/>
      <c r="O1908" s="6" t="s">
        <v>8465</v>
      </c>
      <c r="P1908" s="28"/>
      <c r="Q1908" s="6" t="s">
        <v>67</v>
      </c>
      <c r="R1908" s="6" t="s">
        <v>367</v>
      </c>
      <c r="S1908" s="28"/>
      <c r="T1908" s="6" t="s">
        <v>6138</v>
      </c>
      <c r="U1908" s="7" t="n">
        <v>2</v>
      </c>
      <c r="V1908" s="7" t="n">
        <v>2</v>
      </c>
      <c r="W1908" s="8" t="s">
        <v>16793</v>
      </c>
      <c r="X1908" s="8" t="s">
        <v>16793</v>
      </c>
      <c r="Y1908" s="8" t="s">
        <v>16794</v>
      </c>
      <c r="Z1908" s="8" t="s">
        <v>16794</v>
      </c>
      <c r="AA1908" s="7" t="n">
        <v>282</v>
      </c>
      <c r="AB1908" s="7" t="n">
        <v>244</v>
      </c>
      <c r="AC1908" s="7" t="n">
        <v>254</v>
      </c>
      <c r="AD1908" s="7" t="n">
        <v>4</v>
      </c>
      <c r="AE1908" s="7" t="n">
        <v>4</v>
      </c>
      <c r="AF1908" s="7" t="n">
        <v>32</v>
      </c>
      <c r="AG1908" s="7" t="n">
        <v>32</v>
      </c>
      <c r="AH1908" s="7" t="n">
        <v>8</v>
      </c>
      <c r="AI1908" s="7" t="n">
        <v>8</v>
      </c>
      <c r="AJ1908" s="7" t="n">
        <v>8</v>
      </c>
      <c r="AK1908" s="7" t="n">
        <v>8</v>
      </c>
      <c r="AL1908" s="7" t="n">
        <v>22</v>
      </c>
      <c r="AM1908" s="7" t="n">
        <v>22</v>
      </c>
      <c r="AN1908" s="7" t="n">
        <v>2</v>
      </c>
      <c r="AO1908" s="7" t="n">
        <v>2</v>
      </c>
      <c r="AP1908" s="7" t="n">
        <v>1</v>
      </c>
      <c r="AQ1908" s="7" t="n">
        <v>1</v>
      </c>
      <c r="AR1908" s="6" t="s">
        <v>57</v>
      </c>
      <c r="AS1908" s="6" t="s">
        <v>63</v>
      </c>
      <c r="AT1908" s="9" t="str">
        <f aca="false">HYPERLINK("http://catalog.hathitrust.org/Record/001180596","HathiTrust Record")</f>
        <v>HathiTrust Record</v>
      </c>
      <c r="AU1908" s="9" t="str">
        <f aca="false">HYPERLINK("https://creighton-primo.hosted.exlibrisgroup.com/primo-explore/search?tab=default_tab&amp;search_scope=EVERYTHING&amp;vid=01CRU&amp;lang=en_US&amp;offset=0&amp;query=any,contains,991003533649702656","Catalog Record")</f>
        <v>Catalog Record</v>
      </c>
      <c r="AV1908" s="9" t="str">
        <f aca="false">HYPERLINK("http://www.worldcat.org/oclc/1042993","WorldCat Record")</f>
        <v>WorldCat Record</v>
      </c>
      <c r="AW1908" s="6" t="s">
        <v>16795</v>
      </c>
      <c r="AX1908" s="6" t="s">
        <v>16796</v>
      </c>
      <c r="AY1908" s="6" t="s">
        <v>16797</v>
      </c>
      <c r="AZ1908" s="6" t="s">
        <v>16797</v>
      </c>
      <c r="BA1908" s="6" t="s">
        <v>16798</v>
      </c>
      <c r="BB1908" s="28"/>
      <c r="BC1908" s="6" t="s">
        <v>16799</v>
      </c>
      <c r="BE1908" s="15" t="s">
        <v>2145</v>
      </c>
      <c r="BF1908" s="6" t="s">
        <v>16800</v>
      </c>
    </row>
    <row r="1909" customFormat="false" ht="105.5" hidden="false" customHeight="false" outlineLevel="0" collapsed="false">
      <c r="A1909" s="26" t="s">
        <v>63</v>
      </c>
      <c r="B1909" s="27" t="s">
        <v>2129</v>
      </c>
      <c r="C1909" s="27" t="s">
        <v>2130</v>
      </c>
      <c r="D1909" s="27" t="s">
        <v>16801</v>
      </c>
      <c r="E1909" s="27" t="s">
        <v>16802</v>
      </c>
      <c r="F1909" s="27" t="s">
        <v>16803</v>
      </c>
      <c r="G1909" s="28"/>
      <c r="H1909" s="6" t="s">
        <v>63</v>
      </c>
      <c r="I1909" s="6" t="s">
        <v>62</v>
      </c>
      <c r="J1909" s="6" t="s">
        <v>63</v>
      </c>
      <c r="K1909" s="6" t="s">
        <v>63</v>
      </c>
      <c r="L1909" s="6" t="s">
        <v>64</v>
      </c>
      <c r="M1909" s="27" t="s">
        <v>14999</v>
      </c>
      <c r="N1909" s="27" t="s">
        <v>16804</v>
      </c>
      <c r="O1909" s="6" t="s">
        <v>2136</v>
      </c>
      <c r="P1909" s="27" t="s">
        <v>16805</v>
      </c>
      <c r="Q1909" s="6" t="s">
        <v>4945</v>
      </c>
      <c r="R1909" s="6" t="s">
        <v>367</v>
      </c>
      <c r="S1909" s="28"/>
      <c r="T1909" s="6" t="s">
        <v>6138</v>
      </c>
      <c r="U1909" s="7" t="n">
        <v>1</v>
      </c>
      <c r="V1909" s="7" t="n">
        <v>1</v>
      </c>
      <c r="W1909" s="8" t="s">
        <v>16806</v>
      </c>
      <c r="X1909" s="8" t="s">
        <v>16806</v>
      </c>
      <c r="Y1909" s="8" t="s">
        <v>10173</v>
      </c>
      <c r="Z1909" s="8" t="s">
        <v>10173</v>
      </c>
      <c r="AA1909" s="7" t="n">
        <v>81</v>
      </c>
      <c r="AB1909" s="7" t="n">
        <v>62</v>
      </c>
      <c r="AC1909" s="7" t="n">
        <v>136</v>
      </c>
      <c r="AD1909" s="7" t="n">
        <v>1</v>
      </c>
      <c r="AE1909" s="7" t="n">
        <v>2</v>
      </c>
      <c r="AF1909" s="7" t="n">
        <v>12</v>
      </c>
      <c r="AG1909" s="7" t="n">
        <v>23</v>
      </c>
      <c r="AH1909" s="7" t="n">
        <v>3</v>
      </c>
      <c r="AI1909" s="7" t="n">
        <v>5</v>
      </c>
      <c r="AJ1909" s="7" t="n">
        <v>3</v>
      </c>
      <c r="AK1909" s="7" t="n">
        <v>9</v>
      </c>
      <c r="AL1909" s="7" t="n">
        <v>11</v>
      </c>
      <c r="AM1909" s="7" t="n">
        <v>16</v>
      </c>
      <c r="AN1909" s="7" t="n">
        <v>0</v>
      </c>
      <c r="AO1909" s="7" t="n">
        <v>1</v>
      </c>
      <c r="AP1909" s="7" t="n">
        <v>0</v>
      </c>
      <c r="AQ1909" s="7" t="n">
        <v>0</v>
      </c>
      <c r="AR1909" s="6" t="s">
        <v>63</v>
      </c>
      <c r="AS1909" s="6" t="s">
        <v>57</v>
      </c>
      <c r="AT1909" s="9" t="str">
        <f aca="false">HYPERLINK("http://catalog.hathitrust.org/Record/001914282","HathiTrust Record")</f>
        <v>HathiTrust Record</v>
      </c>
      <c r="AU1909" s="9" t="str">
        <f aca="false">HYPERLINK("https://creighton-primo.hosted.exlibrisgroup.com/primo-explore/search?tab=default_tab&amp;search_scope=EVERYTHING&amp;vid=01CRU&amp;lang=en_US&amp;offset=0&amp;query=any,contains,991003609859702656","Catalog Record")</f>
        <v>Catalog Record</v>
      </c>
      <c r="AV1909" s="9" t="str">
        <f aca="false">HYPERLINK("http://www.worldcat.org/oclc/1192170","WorldCat Record")</f>
        <v>WorldCat Record</v>
      </c>
      <c r="AW1909" s="6" t="s">
        <v>16807</v>
      </c>
      <c r="AX1909" s="6" t="s">
        <v>16808</v>
      </c>
      <c r="AY1909" s="6" t="s">
        <v>16809</v>
      </c>
      <c r="AZ1909" s="6" t="s">
        <v>16809</v>
      </c>
      <c r="BA1909" s="6" t="s">
        <v>16810</v>
      </c>
      <c r="BB1909" s="28"/>
      <c r="BC1909" s="6" t="s">
        <v>16811</v>
      </c>
      <c r="BE1909" s="15" t="s">
        <v>2145</v>
      </c>
      <c r="BF1909" s="6" t="s">
        <v>16812</v>
      </c>
    </row>
    <row r="1910" customFormat="false" ht="94" hidden="false" customHeight="false" outlineLevel="0" collapsed="false">
      <c r="A1910" s="26" t="s">
        <v>63</v>
      </c>
      <c r="B1910" s="27" t="s">
        <v>2129</v>
      </c>
      <c r="C1910" s="27" t="s">
        <v>2130</v>
      </c>
      <c r="D1910" s="27" t="s">
        <v>16813</v>
      </c>
      <c r="E1910" s="27" t="s">
        <v>16814</v>
      </c>
      <c r="F1910" s="27" t="s">
        <v>16815</v>
      </c>
      <c r="G1910" s="6" t="s">
        <v>502</v>
      </c>
      <c r="H1910" s="6" t="s">
        <v>57</v>
      </c>
      <c r="I1910" s="6" t="s">
        <v>62</v>
      </c>
      <c r="J1910" s="6" t="s">
        <v>63</v>
      </c>
      <c r="K1910" s="6" t="s">
        <v>63</v>
      </c>
      <c r="L1910" s="6" t="s">
        <v>64</v>
      </c>
      <c r="M1910" s="27" t="s">
        <v>14999</v>
      </c>
      <c r="N1910" s="27" t="s">
        <v>16804</v>
      </c>
      <c r="O1910" s="6" t="s">
        <v>2136</v>
      </c>
      <c r="P1910" s="27" t="s">
        <v>16805</v>
      </c>
      <c r="Q1910" s="6" t="s">
        <v>4945</v>
      </c>
      <c r="R1910" s="6" t="s">
        <v>367</v>
      </c>
      <c r="S1910" s="28"/>
      <c r="T1910" s="6" t="s">
        <v>6138</v>
      </c>
      <c r="U1910" s="7" t="n">
        <v>3</v>
      </c>
      <c r="V1910" s="7" t="n">
        <v>7</v>
      </c>
      <c r="W1910" s="8" t="s">
        <v>15567</v>
      </c>
      <c r="X1910" s="8" t="s">
        <v>15567</v>
      </c>
      <c r="Y1910" s="8" t="s">
        <v>16816</v>
      </c>
      <c r="Z1910" s="8" t="s">
        <v>16816</v>
      </c>
      <c r="AA1910" s="7" t="n">
        <v>50</v>
      </c>
      <c r="AB1910" s="7" t="n">
        <v>45</v>
      </c>
      <c r="AC1910" s="7" t="n">
        <v>45</v>
      </c>
      <c r="AD1910" s="7" t="n">
        <v>1</v>
      </c>
      <c r="AE1910" s="7" t="n">
        <v>1</v>
      </c>
      <c r="AF1910" s="7" t="n">
        <v>10</v>
      </c>
      <c r="AG1910" s="7" t="n">
        <v>10</v>
      </c>
      <c r="AH1910" s="7" t="n">
        <v>1</v>
      </c>
      <c r="AI1910" s="7" t="n">
        <v>1</v>
      </c>
      <c r="AJ1910" s="7" t="n">
        <v>4</v>
      </c>
      <c r="AK1910" s="7" t="n">
        <v>4</v>
      </c>
      <c r="AL1910" s="7" t="n">
        <v>8</v>
      </c>
      <c r="AM1910" s="7" t="n">
        <v>8</v>
      </c>
      <c r="AN1910" s="7" t="n">
        <v>0</v>
      </c>
      <c r="AO1910" s="7" t="n">
        <v>0</v>
      </c>
      <c r="AP1910" s="7" t="n">
        <v>0</v>
      </c>
      <c r="AQ1910" s="7" t="n">
        <v>0</v>
      </c>
      <c r="AR1910" s="6" t="s">
        <v>63</v>
      </c>
      <c r="AS1910" s="6" t="s">
        <v>63</v>
      </c>
      <c r="AT1910" s="28"/>
      <c r="AU1910" s="9" t="str">
        <f aca="false">HYPERLINK("https://creighton-primo.hosted.exlibrisgroup.com/primo-explore/search?tab=default_tab&amp;search_scope=EVERYTHING&amp;vid=01CRU&amp;lang=en_US&amp;offset=0&amp;query=any,contains,991003609779702656","Catalog Record")</f>
        <v>Catalog Record</v>
      </c>
      <c r="AV1910" s="9" t="str">
        <f aca="false">HYPERLINK("http://www.worldcat.org/oclc/1192113","WorldCat Record")</f>
        <v>WorldCat Record</v>
      </c>
      <c r="AW1910" s="6" t="s">
        <v>16817</v>
      </c>
      <c r="AX1910" s="6" t="s">
        <v>16818</v>
      </c>
      <c r="AY1910" s="6" t="s">
        <v>16819</v>
      </c>
      <c r="AZ1910" s="6" t="s">
        <v>16819</v>
      </c>
      <c r="BA1910" s="6" t="s">
        <v>16820</v>
      </c>
      <c r="BB1910" s="28"/>
      <c r="BC1910" s="6" t="s">
        <v>16821</v>
      </c>
      <c r="BE1910" s="15" t="s">
        <v>2145</v>
      </c>
      <c r="BF1910" s="6" t="s">
        <v>16822</v>
      </c>
    </row>
    <row r="1911" customFormat="false" ht="94" hidden="false" customHeight="false" outlineLevel="0" collapsed="false">
      <c r="A1911" s="26" t="s">
        <v>63</v>
      </c>
      <c r="B1911" s="27" t="s">
        <v>2129</v>
      </c>
      <c r="C1911" s="27" t="s">
        <v>2130</v>
      </c>
      <c r="D1911" s="27" t="s">
        <v>16813</v>
      </c>
      <c r="E1911" s="27" t="s">
        <v>16814</v>
      </c>
      <c r="F1911" s="27" t="s">
        <v>16815</v>
      </c>
      <c r="G1911" s="6" t="s">
        <v>498</v>
      </c>
      <c r="H1911" s="6" t="s">
        <v>57</v>
      </c>
      <c r="I1911" s="6" t="s">
        <v>62</v>
      </c>
      <c r="J1911" s="6" t="s">
        <v>63</v>
      </c>
      <c r="K1911" s="6" t="s">
        <v>63</v>
      </c>
      <c r="L1911" s="6" t="s">
        <v>64</v>
      </c>
      <c r="M1911" s="27" t="s">
        <v>14999</v>
      </c>
      <c r="N1911" s="27" t="s">
        <v>16804</v>
      </c>
      <c r="O1911" s="6" t="s">
        <v>2136</v>
      </c>
      <c r="P1911" s="27" t="s">
        <v>16805</v>
      </c>
      <c r="Q1911" s="6" t="s">
        <v>4945</v>
      </c>
      <c r="R1911" s="6" t="s">
        <v>367</v>
      </c>
      <c r="S1911" s="28"/>
      <c r="T1911" s="6" t="s">
        <v>6138</v>
      </c>
      <c r="U1911" s="7" t="n">
        <v>4</v>
      </c>
      <c r="V1911" s="7" t="n">
        <v>7</v>
      </c>
      <c r="W1911" s="8" t="s">
        <v>15567</v>
      </c>
      <c r="X1911" s="8" t="s">
        <v>15567</v>
      </c>
      <c r="Y1911" s="8" t="s">
        <v>16816</v>
      </c>
      <c r="Z1911" s="8" t="s">
        <v>16816</v>
      </c>
      <c r="AA1911" s="7" t="n">
        <v>50</v>
      </c>
      <c r="AB1911" s="7" t="n">
        <v>45</v>
      </c>
      <c r="AC1911" s="7" t="n">
        <v>45</v>
      </c>
      <c r="AD1911" s="7" t="n">
        <v>1</v>
      </c>
      <c r="AE1911" s="7" t="n">
        <v>1</v>
      </c>
      <c r="AF1911" s="7" t="n">
        <v>10</v>
      </c>
      <c r="AG1911" s="7" t="n">
        <v>10</v>
      </c>
      <c r="AH1911" s="7" t="n">
        <v>1</v>
      </c>
      <c r="AI1911" s="7" t="n">
        <v>1</v>
      </c>
      <c r="AJ1911" s="7" t="n">
        <v>4</v>
      </c>
      <c r="AK1911" s="7" t="n">
        <v>4</v>
      </c>
      <c r="AL1911" s="7" t="n">
        <v>8</v>
      </c>
      <c r="AM1911" s="7" t="n">
        <v>8</v>
      </c>
      <c r="AN1911" s="7" t="n">
        <v>0</v>
      </c>
      <c r="AO1911" s="7" t="n">
        <v>0</v>
      </c>
      <c r="AP1911" s="7" t="n">
        <v>0</v>
      </c>
      <c r="AQ1911" s="7" t="n">
        <v>0</v>
      </c>
      <c r="AR1911" s="6" t="s">
        <v>63</v>
      </c>
      <c r="AS1911" s="6" t="s">
        <v>63</v>
      </c>
      <c r="AT1911" s="28"/>
      <c r="AU1911" s="9" t="str">
        <f aca="false">HYPERLINK("https://creighton-primo.hosted.exlibrisgroup.com/primo-explore/search?tab=default_tab&amp;search_scope=EVERYTHING&amp;vid=01CRU&amp;lang=en_US&amp;offset=0&amp;query=any,contains,991003609779702656","Catalog Record")</f>
        <v>Catalog Record</v>
      </c>
      <c r="AV1911" s="9" t="str">
        <f aca="false">HYPERLINK("http://www.worldcat.org/oclc/1192113","WorldCat Record")</f>
        <v>WorldCat Record</v>
      </c>
      <c r="AW1911" s="6" t="s">
        <v>16817</v>
      </c>
      <c r="AX1911" s="6" t="s">
        <v>16818</v>
      </c>
      <c r="AY1911" s="6" t="s">
        <v>16819</v>
      </c>
      <c r="AZ1911" s="6" t="s">
        <v>16819</v>
      </c>
      <c r="BA1911" s="6" t="s">
        <v>16820</v>
      </c>
      <c r="BB1911" s="28"/>
      <c r="BC1911" s="6" t="s">
        <v>16823</v>
      </c>
      <c r="BE1911" s="15" t="s">
        <v>2145</v>
      </c>
      <c r="BF1911" s="6" t="s">
        <v>16824</v>
      </c>
    </row>
    <row r="1912" customFormat="false" ht="243.5" hidden="false" customHeight="false" outlineLevel="0" collapsed="false">
      <c r="A1912" s="26" t="s">
        <v>63</v>
      </c>
      <c r="B1912" s="27" t="s">
        <v>2129</v>
      </c>
      <c r="C1912" s="27" t="s">
        <v>2130</v>
      </c>
      <c r="D1912" s="27" t="s">
        <v>16825</v>
      </c>
      <c r="E1912" s="27" t="s">
        <v>16826</v>
      </c>
      <c r="F1912" s="27" t="s">
        <v>16827</v>
      </c>
      <c r="G1912" s="28"/>
      <c r="H1912" s="6" t="s">
        <v>63</v>
      </c>
      <c r="I1912" s="6" t="s">
        <v>62</v>
      </c>
      <c r="J1912" s="6" t="s">
        <v>57</v>
      </c>
      <c r="K1912" s="6" t="s">
        <v>63</v>
      </c>
      <c r="L1912" s="6" t="s">
        <v>64</v>
      </c>
      <c r="M1912" s="27" t="s">
        <v>14999</v>
      </c>
      <c r="N1912" s="27" t="s">
        <v>16828</v>
      </c>
      <c r="O1912" s="6" t="s">
        <v>3919</v>
      </c>
      <c r="P1912" s="28"/>
      <c r="Q1912" s="6" t="s">
        <v>67</v>
      </c>
      <c r="R1912" s="6" t="s">
        <v>367</v>
      </c>
      <c r="S1912" s="28"/>
      <c r="T1912" s="6" t="s">
        <v>6138</v>
      </c>
      <c r="U1912" s="7" t="n">
        <v>5</v>
      </c>
      <c r="V1912" s="7" t="n">
        <v>6</v>
      </c>
      <c r="W1912" s="8" t="s">
        <v>11639</v>
      </c>
      <c r="X1912" s="8" t="s">
        <v>11639</v>
      </c>
      <c r="Y1912" s="8" t="s">
        <v>16816</v>
      </c>
      <c r="Z1912" s="8" t="s">
        <v>16816</v>
      </c>
      <c r="AA1912" s="7" t="n">
        <v>212</v>
      </c>
      <c r="AB1912" s="7" t="n">
        <v>177</v>
      </c>
      <c r="AC1912" s="7" t="n">
        <v>271</v>
      </c>
      <c r="AD1912" s="7" t="n">
        <v>3</v>
      </c>
      <c r="AE1912" s="7" t="n">
        <v>4</v>
      </c>
      <c r="AF1912" s="7" t="n">
        <v>26</v>
      </c>
      <c r="AG1912" s="7" t="n">
        <v>35</v>
      </c>
      <c r="AH1912" s="7" t="n">
        <v>4</v>
      </c>
      <c r="AI1912" s="7" t="n">
        <v>10</v>
      </c>
      <c r="AJ1912" s="7" t="n">
        <v>9</v>
      </c>
      <c r="AK1912" s="7" t="n">
        <v>10</v>
      </c>
      <c r="AL1912" s="7" t="n">
        <v>20</v>
      </c>
      <c r="AM1912" s="7" t="n">
        <v>25</v>
      </c>
      <c r="AN1912" s="7" t="n">
        <v>0</v>
      </c>
      <c r="AO1912" s="7" t="n">
        <v>1</v>
      </c>
      <c r="AP1912" s="7" t="n">
        <v>0</v>
      </c>
      <c r="AQ1912" s="7" t="n">
        <v>0</v>
      </c>
      <c r="AR1912" s="6" t="s">
        <v>63</v>
      </c>
      <c r="AS1912" s="6" t="s">
        <v>57</v>
      </c>
      <c r="AT1912" s="9" t="str">
        <f aca="false">HYPERLINK("http://catalog.hathitrust.org/Record/001381703","HathiTrust Record")</f>
        <v>HathiTrust Record</v>
      </c>
      <c r="AU1912" s="9" t="str">
        <f aca="false">HYPERLINK("https://creighton-primo.hosted.exlibrisgroup.com/primo-explore/search?tab=default_tab&amp;search_scope=EVERYTHING&amp;vid=01CRU&amp;lang=en_US&amp;offset=0&amp;query=any,contains,991003399129702656","Catalog Record")</f>
        <v>Catalog Record</v>
      </c>
      <c r="AV1912" s="9" t="str">
        <f aca="false">HYPERLINK("http://www.worldcat.org/oclc/938803","WorldCat Record")</f>
        <v>WorldCat Record</v>
      </c>
      <c r="AW1912" s="6" t="s">
        <v>16829</v>
      </c>
      <c r="AX1912" s="6" t="s">
        <v>16830</v>
      </c>
      <c r="AY1912" s="6" t="s">
        <v>16831</v>
      </c>
      <c r="AZ1912" s="6" t="s">
        <v>16831</v>
      </c>
      <c r="BA1912" s="6" t="s">
        <v>16832</v>
      </c>
      <c r="BB1912" s="28"/>
      <c r="BC1912" s="6" t="s">
        <v>16833</v>
      </c>
      <c r="BE1912" s="15" t="s">
        <v>2145</v>
      </c>
      <c r="BF1912" s="6" t="s">
        <v>16834</v>
      </c>
    </row>
    <row r="1913" customFormat="false" ht="243.5" hidden="false" customHeight="false" outlineLevel="0" collapsed="false">
      <c r="A1913" s="26" t="s">
        <v>63</v>
      </c>
      <c r="B1913" s="27" t="s">
        <v>2129</v>
      </c>
      <c r="C1913" s="27" t="s">
        <v>2130</v>
      </c>
      <c r="D1913" s="27" t="s">
        <v>16825</v>
      </c>
      <c r="E1913" s="27" t="s">
        <v>16826</v>
      </c>
      <c r="F1913" s="27" t="s">
        <v>16827</v>
      </c>
      <c r="G1913" s="28"/>
      <c r="H1913" s="6" t="s">
        <v>63</v>
      </c>
      <c r="I1913" s="6" t="s">
        <v>62</v>
      </c>
      <c r="J1913" s="6" t="s">
        <v>57</v>
      </c>
      <c r="K1913" s="6" t="s">
        <v>63</v>
      </c>
      <c r="L1913" s="6" t="s">
        <v>64</v>
      </c>
      <c r="M1913" s="27" t="s">
        <v>14999</v>
      </c>
      <c r="N1913" s="27" t="s">
        <v>16828</v>
      </c>
      <c r="O1913" s="6" t="s">
        <v>3919</v>
      </c>
      <c r="P1913" s="28"/>
      <c r="Q1913" s="6" t="s">
        <v>67</v>
      </c>
      <c r="R1913" s="6" t="s">
        <v>367</v>
      </c>
      <c r="S1913" s="28"/>
      <c r="T1913" s="6" t="s">
        <v>6138</v>
      </c>
      <c r="U1913" s="7" t="n">
        <v>1</v>
      </c>
      <c r="V1913" s="7" t="n">
        <v>6</v>
      </c>
      <c r="W1913" s="8" t="s">
        <v>16443</v>
      </c>
      <c r="X1913" s="8" t="s">
        <v>11639</v>
      </c>
      <c r="Y1913" s="8" t="s">
        <v>16816</v>
      </c>
      <c r="Z1913" s="8" t="s">
        <v>16816</v>
      </c>
      <c r="AA1913" s="7" t="n">
        <v>212</v>
      </c>
      <c r="AB1913" s="7" t="n">
        <v>177</v>
      </c>
      <c r="AC1913" s="7" t="n">
        <v>271</v>
      </c>
      <c r="AD1913" s="7" t="n">
        <v>3</v>
      </c>
      <c r="AE1913" s="7" t="n">
        <v>4</v>
      </c>
      <c r="AF1913" s="7" t="n">
        <v>26</v>
      </c>
      <c r="AG1913" s="7" t="n">
        <v>35</v>
      </c>
      <c r="AH1913" s="7" t="n">
        <v>4</v>
      </c>
      <c r="AI1913" s="7" t="n">
        <v>10</v>
      </c>
      <c r="AJ1913" s="7" t="n">
        <v>9</v>
      </c>
      <c r="AK1913" s="7" t="n">
        <v>10</v>
      </c>
      <c r="AL1913" s="7" t="n">
        <v>20</v>
      </c>
      <c r="AM1913" s="7" t="n">
        <v>25</v>
      </c>
      <c r="AN1913" s="7" t="n">
        <v>0</v>
      </c>
      <c r="AO1913" s="7" t="n">
        <v>1</v>
      </c>
      <c r="AP1913" s="7" t="n">
        <v>0</v>
      </c>
      <c r="AQ1913" s="7" t="n">
        <v>0</v>
      </c>
      <c r="AR1913" s="6" t="s">
        <v>63</v>
      </c>
      <c r="AS1913" s="6" t="s">
        <v>57</v>
      </c>
      <c r="AT1913" s="9" t="str">
        <f aca="false">HYPERLINK("http://catalog.hathitrust.org/Record/001381703","HathiTrust Record")</f>
        <v>HathiTrust Record</v>
      </c>
      <c r="AU1913" s="9" t="str">
        <f aca="false">HYPERLINK("https://creighton-primo.hosted.exlibrisgroup.com/primo-explore/search?tab=default_tab&amp;search_scope=EVERYTHING&amp;vid=01CRU&amp;lang=en_US&amp;offset=0&amp;query=any,contains,991003399129702656","Catalog Record")</f>
        <v>Catalog Record</v>
      </c>
      <c r="AV1913" s="9" t="str">
        <f aca="false">HYPERLINK("http://www.worldcat.org/oclc/938803","WorldCat Record")</f>
        <v>WorldCat Record</v>
      </c>
      <c r="AW1913" s="6" t="s">
        <v>16829</v>
      </c>
      <c r="AX1913" s="6" t="s">
        <v>16830</v>
      </c>
      <c r="AY1913" s="6" t="s">
        <v>16831</v>
      </c>
      <c r="AZ1913" s="6" t="s">
        <v>16831</v>
      </c>
      <c r="BA1913" s="6" t="s">
        <v>16832</v>
      </c>
      <c r="BB1913" s="28"/>
      <c r="BC1913" s="6" t="s">
        <v>16835</v>
      </c>
      <c r="BE1913" s="15" t="s">
        <v>2145</v>
      </c>
      <c r="BF1913" s="6" t="s">
        <v>16836</v>
      </c>
    </row>
    <row r="1914" customFormat="false" ht="151.5" hidden="false" customHeight="false" outlineLevel="0" collapsed="false">
      <c r="A1914" s="26" t="s">
        <v>63</v>
      </c>
      <c r="B1914" s="27" t="s">
        <v>2129</v>
      </c>
      <c r="C1914" s="27" t="s">
        <v>2130</v>
      </c>
      <c r="D1914" s="27" t="s">
        <v>16837</v>
      </c>
      <c r="E1914" s="27" t="s">
        <v>16838</v>
      </c>
      <c r="F1914" s="27" t="s">
        <v>16839</v>
      </c>
      <c r="G1914" s="28"/>
      <c r="H1914" s="6" t="s">
        <v>63</v>
      </c>
      <c r="I1914" s="6" t="s">
        <v>62</v>
      </c>
      <c r="J1914" s="6" t="s">
        <v>63</v>
      </c>
      <c r="K1914" s="6" t="s">
        <v>63</v>
      </c>
      <c r="L1914" s="6" t="s">
        <v>64</v>
      </c>
      <c r="M1914" s="27" t="s">
        <v>16840</v>
      </c>
      <c r="N1914" s="27" t="s">
        <v>16841</v>
      </c>
      <c r="O1914" s="6" t="s">
        <v>15591</v>
      </c>
      <c r="P1914" s="28"/>
      <c r="Q1914" s="6" t="s">
        <v>67</v>
      </c>
      <c r="R1914" s="6" t="s">
        <v>123</v>
      </c>
      <c r="S1914" s="27" t="s">
        <v>16842</v>
      </c>
      <c r="T1914" s="6" t="s">
        <v>6138</v>
      </c>
      <c r="U1914" s="7" t="n">
        <v>5</v>
      </c>
      <c r="V1914" s="7" t="n">
        <v>5</v>
      </c>
      <c r="W1914" s="8" t="s">
        <v>16843</v>
      </c>
      <c r="X1914" s="8" t="s">
        <v>16843</v>
      </c>
      <c r="Y1914" s="8" t="s">
        <v>16844</v>
      </c>
      <c r="Z1914" s="8" t="s">
        <v>16844</v>
      </c>
      <c r="AA1914" s="7" t="n">
        <v>102</v>
      </c>
      <c r="AB1914" s="7" t="n">
        <v>95</v>
      </c>
      <c r="AC1914" s="7" t="n">
        <v>147</v>
      </c>
      <c r="AD1914" s="7" t="n">
        <v>1</v>
      </c>
      <c r="AE1914" s="7" t="n">
        <v>1</v>
      </c>
      <c r="AF1914" s="7" t="n">
        <v>13</v>
      </c>
      <c r="AG1914" s="7" t="n">
        <v>25</v>
      </c>
      <c r="AH1914" s="7" t="n">
        <v>2</v>
      </c>
      <c r="AI1914" s="7" t="n">
        <v>6</v>
      </c>
      <c r="AJ1914" s="7" t="n">
        <v>5</v>
      </c>
      <c r="AK1914" s="7" t="n">
        <v>8</v>
      </c>
      <c r="AL1914" s="7" t="n">
        <v>10</v>
      </c>
      <c r="AM1914" s="7" t="n">
        <v>19</v>
      </c>
      <c r="AN1914" s="7" t="n">
        <v>0</v>
      </c>
      <c r="AO1914" s="7" t="n">
        <v>0</v>
      </c>
      <c r="AP1914" s="7" t="n">
        <v>0</v>
      </c>
      <c r="AQ1914" s="7" t="n">
        <v>0</v>
      </c>
      <c r="AR1914" s="6" t="s">
        <v>63</v>
      </c>
      <c r="AS1914" s="6" t="s">
        <v>63</v>
      </c>
      <c r="AT1914" s="9" t="str">
        <f aca="false">HYPERLINK("http://catalog.hathitrust.org/Record/001639910","HathiTrust Record")</f>
        <v>HathiTrust Record</v>
      </c>
      <c r="AU1914" s="9" t="str">
        <f aca="false">HYPERLINK("https://creighton-primo.hosted.exlibrisgroup.com/primo-explore/search?tab=default_tab&amp;search_scope=EVERYTHING&amp;vid=01CRU&amp;lang=en_US&amp;offset=0&amp;query=any,contains,991003606109702656","Catalog Record")</f>
        <v>Catalog Record</v>
      </c>
      <c r="AV1914" s="9" t="str">
        <f aca="false">HYPERLINK("http://www.worldcat.org/oclc/1186040","WorldCat Record")</f>
        <v>WorldCat Record</v>
      </c>
      <c r="AW1914" s="6" t="s">
        <v>16845</v>
      </c>
      <c r="AX1914" s="6" t="s">
        <v>16846</v>
      </c>
      <c r="AY1914" s="6" t="s">
        <v>16847</v>
      </c>
      <c r="AZ1914" s="6" t="s">
        <v>16847</v>
      </c>
      <c r="BA1914" s="6" t="s">
        <v>16848</v>
      </c>
      <c r="BB1914" s="28"/>
      <c r="BC1914" s="6" t="s">
        <v>16849</v>
      </c>
      <c r="BE1914" s="15" t="s">
        <v>2145</v>
      </c>
      <c r="BF1914" s="6" t="s">
        <v>16850</v>
      </c>
    </row>
    <row r="1915" customFormat="false" ht="117" hidden="false" customHeight="false" outlineLevel="0" collapsed="false">
      <c r="A1915" s="26" t="s">
        <v>63</v>
      </c>
      <c r="B1915" s="27" t="s">
        <v>2129</v>
      </c>
      <c r="C1915" s="27" t="s">
        <v>2130</v>
      </c>
      <c r="D1915" s="27" t="s">
        <v>16851</v>
      </c>
      <c r="E1915" s="27" t="s">
        <v>16852</v>
      </c>
      <c r="F1915" s="27" t="s">
        <v>16853</v>
      </c>
      <c r="G1915" s="28"/>
      <c r="H1915" s="6" t="s">
        <v>63</v>
      </c>
      <c r="I1915" s="6" t="s">
        <v>62</v>
      </c>
      <c r="J1915" s="6" t="s">
        <v>63</v>
      </c>
      <c r="K1915" s="6" t="s">
        <v>63</v>
      </c>
      <c r="L1915" s="6" t="s">
        <v>64</v>
      </c>
      <c r="M1915" s="27" t="s">
        <v>16854</v>
      </c>
      <c r="N1915" s="27" t="s">
        <v>16855</v>
      </c>
      <c r="O1915" s="6" t="s">
        <v>3094</v>
      </c>
      <c r="P1915" s="28"/>
      <c r="Q1915" s="6" t="s">
        <v>4501</v>
      </c>
      <c r="R1915" s="6" t="s">
        <v>671</v>
      </c>
      <c r="S1915" s="27" t="s">
        <v>16856</v>
      </c>
      <c r="T1915" s="6" t="s">
        <v>6138</v>
      </c>
      <c r="U1915" s="7" t="n">
        <v>0</v>
      </c>
      <c r="V1915" s="7" t="n">
        <v>0</v>
      </c>
      <c r="W1915" s="8" t="s">
        <v>16857</v>
      </c>
      <c r="X1915" s="8" t="s">
        <v>16857</v>
      </c>
      <c r="Y1915" s="8" t="s">
        <v>16844</v>
      </c>
      <c r="Z1915" s="8" t="s">
        <v>16844</v>
      </c>
      <c r="AA1915" s="7" t="n">
        <v>140</v>
      </c>
      <c r="AB1915" s="7" t="n">
        <v>108</v>
      </c>
      <c r="AC1915" s="7" t="n">
        <v>110</v>
      </c>
      <c r="AD1915" s="7" t="n">
        <v>2</v>
      </c>
      <c r="AE1915" s="7" t="n">
        <v>2</v>
      </c>
      <c r="AF1915" s="7" t="n">
        <v>19</v>
      </c>
      <c r="AG1915" s="7" t="n">
        <v>19</v>
      </c>
      <c r="AH1915" s="7" t="n">
        <v>4</v>
      </c>
      <c r="AI1915" s="7" t="n">
        <v>4</v>
      </c>
      <c r="AJ1915" s="7" t="n">
        <v>6</v>
      </c>
      <c r="AK1915" s="7" t="n">
        <v>6</v>
      </c>
      <c r="AL1915" s="7" t="n">
        <v>15</v>
      </c>
      <c r="AM1915" s="7" t="n">
        <v>15</v>
      </c>
      <c r="AN1915" s="7" t="n">
        <v>0</v>
      </c>
      <c r="AO1915" s="7" t="n">
        <v>0</v>
      </c>
      <c r="AP1915" s="7" t="n">
        <v>0</v>
      </c>
      <c r="AQ1915" s="7" t="n">
        <v>0</v>
      </c>
      <c r="AR1915" s="6" t="s">
        <v>63</v>
      </c>
      <c r="AS1915" s="6" t="s">
        <v>57</v>
      </c>
      <c r="AT1915" s="9" t="str">
        <f aca="false">HYPERLINK("http://catalog.hathitrust.org/Record/001958360","HathiTrust Record")</f>
        <v>HathiTrust Record</v>
      </c>
      <c r="AU1915" s="9" t="str">
        <f aca="false">HYPERLINK("https://creighton-primo.hosted.exlibrisgroup.com/primo-explore/search?tab=default_tab&amp;search_scope=EVERYTHING&amp;vid=01CRU&amp;lang=en_US&amp;offset=0&amp;query=any,contains,991004890709702656","Catalog Record")</f>
        <v>Catalog Record</v>
      </c>
      <c r="AV1915" s="9" t="str">
        <f aca="false">HYPERLINK("http://www.worldcat.org/oclc/827573","WorldCat Record")</f>
        <v>WorldCat Record</v>
      </c>
      <c r="AW1915" s="6" t="s">
        <v>16858</v>
      </c>
      <c r="AX1915" s="6" t="s">
        <v>16859</v>
      </c>
      <c r="AY1915" s="6" t="s">
        <v>16860</v>
      </c>
      <c r="AZ1915" s="6" t="s">
        <v>16860</v>
      </c>
      <c r="BA1915" s="6" t="s">
        <v>16861</v>
      </c>
      <c r="BB1915" s="28"/>
      <c r="BC1915" s="6" t="s">
        <v>16862</v>
      </c>
      <c r="BE1915" s="15" t="s">
        <v>2145</v>
      </c>
      <c r="BF1915" s="6" t="s">
        <v>16863</v>
      </c>
    </row>
    <row r="1916" customFormat="false" ht="186" hidden="false" customHeight="false" outlineLevel="0" collapsed="false">
      <c r="A1916" s="26" t="s">
        <v>63</v>
      </c>
      <c r="B1916" s="27" t="s">
        <v>2129</v>
      </c>
      <c r="C1916" s="27" t="s">
        <v>2130</v>
      </c>
      <c r="D1916" s="27" t="s">
        <v>16864</v>
      </c>
      <c r="E1916" s="27" t="s">
        <v>16865</v>
      </c>
      <c r="F1916" s="27" t="s">
        <v>16866</v>
      </c>
      <c r="G1916" s="28"/>
      <c r="H1916" s="6" t="s">
        <v>63</v>
      </c>
      <c r="I1916" s="6" t="s">
        <v>62</v>
      </c>
      <c r="J1916" s="6" t="s">
        <v>63</v>
      </c>
      <c r="K1916" s="6" t="s">
        <v>63</v>
      </c>
      <c r="L1916" s="6" t="s">
        <v>64</v>
      </c>
      <c r="M1916" s="27" t="s">
        <v>16867</v>
      </c>
      <c r="N1916" s="27" t="s">
        <v>16868</v>
      </c>
      <c r="O1916" s="6" t="s">
        <v>195</v>
      </c>
      <c r="P1916" s="28"/>
      <c r="Q1916" s="6" t="s">
        <v>9090</v>
      </c>
      <c r="R1916" s="6" t="s">
        <v>9091</v>
      </c>
      <c r="S1916" s="27" t="s">
        <v>16869</v>
      </c>
      <c r="T1916" s="6" t="s">
        <v>6138</v>
      </c>
      <c r="U1916" s="7" t="n">
        <v>2</v>
      </c>
      <c r="V1916" s="7" t="n">
        <v>2</v>
      </c>
      <c r="W1916" s="8" t="s">
        <v>16870</v>
      </c>
      <c r="X1916" s="8" t="s">
        <v>16870</v>
      </c>
      <c r="Y1916" s="8" t="s">
        <v>16844</v>
      </c>
      <c r="Z1916" s="8" t="s">
        <v>16844</v>
      </c>
      <c r="AA1916" s="7" t="n">
        <v>52</v>
      </c>
      <c r="AB1916" s="7" t="n">
        <v>26</v>
      </c>
      <c r="AC1916" s="7" t="n">
        <v>26</v>
      </c>
      <c r="AD1916" s="7" t="n">
        <v>1</v>
      </c>
      <c r="AE1916" s="7" t="n">
        <v>1</v>
      </c>
      <c r="AF1916" s="7" t="n">
        <v>4</v>
      </c>
      <c r="AG1916" s="7" t="n">
        <v>4</v>
      </c>
      <c r="AH1916" s="7" t="n">
        <v>1</v>
      </c>
      <c r="AI1916" s="7" t="n">
        <v>1</v>
      </c>
      <c r="AJ1916" s="7" t="n">
        <v>1</v>
      </c>
      <c r="AK1916" s="7" t="n">
        <v>1</v>
      </c>
      <c r="AL1916" s="7" t="n">
        <v>3</v>
      </c>
      <c r="AM1916" s="7" t="n">
        <v>3</v>
      </c>
      <c r="AN1916" s="7" t="n">
        <v>0</v>
      </c>
      <c r="AO1916" s="7" t="n">
        <v>0</v>
      </c>
      <c r="AP1916" s="7" t="n">
        <v>0</v>
      </c>
      <c r="AQ1916" s="7" t="n">
        <v>0</v>
      </c>
      <c r="AR1916" s="6" t="s">
        <v>63</v>
      </c>
      <c r="AS1916" s="6" t="s">
        <v>63</v>
      </c>
      <c r="AT1916" s="28"/>
      <c r="AU1916" s="9" t="str">
        <f aca="false">HYPERLINK("https://creighton-primo.hosted.exlibrisgroup.com/primo-explore/search?tab=default_tab&amp;search_scope=EVERYTHING&amp;vid=01CRU&amp;lang=en_US&amp;offset=0&amp;query=any,contains,991005046789702656","Catalog Record")</f>
        <v>Catalog Record</v>
      </c>
      <c r="AV1916" s="9" t="str">
        <f aca="false">HYPERLINK("http://www.worldcat.org/oclc/6846452","WorldCat Record")</f>
        <v>WorldCat Record</v>
      </c>
      <c r="AW1916" s="6" t="s">
        <v>16871</v>
      </c>
      <c r="AX1916" s="6" t="s">
        <v>16872</v>
      </c>
      <c r="AY1916" s="6" t="s">
        <v>16873</v>
      </c>
      <c r="AZ1916" s="6" t="s">
        <v>16873</v>
      </c>
      <c r="BA1916" s="6" t="s">
        <v>16874</v>
      </c>
      <c r="BB1916" s="28"/>
      <c r="BC1916" s="6" t="s">
        <v>16875</v>
      </c>
      <c r="BE1916" s="15" t="s">
        <v>2145</v>
      </c>
      <c r="BF1916" s="6" t="s">
        <v>16876</v>
      </c>
    </row>
    <row r="1917" customFormat="false" ht="151.5" hidden="false" customHeight="false" outlineLevel="0" collapsed="false">
      <c r="A1917" s="26" t="s">
        <v>63</v>
      </c>
      <c r="B1917" s="27" t="s">
        <v>2129</v>
      </c>
      <c r="C1917" s="27" t="s">
        <v>2130</v>
      </c>
      <c r="D1917" s="27" t="s">
        <v>16877</v>
      </c>
      <c r="E1917" s="27" t="s">
        <v>16878</v>
      </c>
      <c r="F1917" s="27" t="s">
        <v>16879</v>
      </c>
      <c r="G1917" s="28"/>
      <c r="H1917" s="6" t="s">
        <v>63</v>
      </c>
      <c r="I1917" s="6" t="s">
        <v>62</v>
      </c>
      <c r="J1917" s="6" t="s">
        <v>63</v>
      </c>
      <c r="K1917" s="6" t="s">
        <v>63</v>
      </c>
      <c r="L1917" s="6" t="s">
        <v>64</v>
      </c>
      <c r="M1917" s="27" t="s">
        <v>5000</v>
      </c>
      <c r="N1917" s="27" t="s">
        <v>16880</v>
      </c>
      <c r="O1917" s="6" t="s">
        <v>9321</v>
      </c>
      <c r="P1917" s="27" t="s">
        <v>16881</v>
      </c>
      <c r="Q1917" s="6" t="s">
        <v>4501</v>
      </c>
      <c r="R1917" s="6" t="s">
        <v>671</v>
      </c>
      <c r="S1917" s="27" t="s">
        <v>16882</v>
      </c>
      <c r="T1917" s="6" t="s">
        <v>6138</v>
      </c>
      <c r="U1917" s="7" t="n">
        <v>2</v>
      </c>
      <c r="V1917" s="7" t="n">
        <v>2</v>
      </c>
      <c r="W1917" s="8" t="s">
        <v>16883</v>
      </c>
      <c r="X1917" s="8" t="s">
        <v>16883</v>
      </c>
      <c r="Y1917" s="8" t="s">
        <v>2442</v>
      </c>
      <c r="Z1917" s="8" t="s">
        <v>2442</v>
      </c>
      <c r="AA1917" s="7" t="n">
        <v>130</v>
      </c>
      <c r="AB1917" s="7" t="n">
        <v>97</v>
      </c>
      <c r="AC1917" s="7" t="n">
        <v>230</v>
      </c>
      <c r="AD1917" s="7" t="n">
        <v>2</v>
      </c>
      <c r="AE1917" s="7" t="n">
        <v>3</v>
      </c>
      <c r="AF1917" s="7" t="n">
        <v>19</v>
      </c>
      <c r="AG1917" s="7" t="n">
        <v>29</v>
      </c>
      <c r="AH1917" s="7" t="n">
        <v>3</v>
      </c>
      <c r="AI1917" s="7" t="n">
        <v>6</v>
      </c>
      <c r="AJ1917" s="7" t="n">
        <v>5</v>
      </c>
      <c r="AK1917" s="7" t="n">
        <v>8</v>
      </c>
      <c r="AL1917" s="7" t="n">
        <v>16</v>
      </c>
      <c r="AM1917" s="7" t="n">
        <v>23</v>
      </c>
      <c r="AN1917" s="7" t="n">
        <v>1</v>
      </c>
      <c r="AO1917" s="7" t="n">
        <v>1</v>
      </c>
      <c r="AP1917" s="7" t="n">
        <v>0</v>
      </c>
      <c r="AQ1917" s="7" t="n">
        <v>0</v>
      </c>
      <c r="AR1917" s="6" t="s">
        <v>63</v>
      </c>
      <c r="AS1917" s="6" t="s">
        <v>57</v>
      </c>
      <c r="AT1917" s="9" t="str">
        <f aca="false">HYPERLINK("http://catalog.hathitrust.org/Record/001381732","HathiTrust Record")</f>
        <v>HathiTrust Record</v>
      </c>
      <c r="AU1917" s="9" t="str">
        <f aca="false">HYPERLINK("https://creighton-primo.hosted.exlibrisgroup.com/primo-explore/search?tab=default_tab&amp;search_scope=EVERYTHING&amp;vid=01CRU&amp;lang=en_US&amp;offset=0&amp;query=any,contains,991004878969702656","Catalog Record")</f>
        <v>Catalog Record</v>
      </c>
      <c r="AV1917" s="9" t="str">
        <f aca="false">HYPERLINK("http://www.worldcat.org/oclc/5802967","WorldCat Record")</f>
        <v>WorldCat Record</v>
      </c>
      <c r="AW1917" s="6" t="s">
        <v>16884</v>
      </c>
      <c r="AX1917" s="6" t="s">
        <v>16885</v>
      </c>
      <c r="AY1917" s="6" t="s">
        <v>16886</v>
      </c>
      <c r="AZ1917" s="6" t="s">
        <v>16886</v>
      </c>
      <c r="BA1917" s="6" t="s">
        <v>16887</v>
      </c>
      <c r="BB1917" s="28"/>
      <c r="BC1917" s="6" t="s">
        <v>16888</v>
      </c>
      <c r="BE1917" s="15" t="s">
        <v>2145</v>
      </c>
      <c r="BF1917" s="6" t="s">
        <v>16889</v>
      </c>
    </row>
    <row r="1918" customFormat="false" ht="59.5" hidden="false" customHeight="false" outlineLevel="0" collapsed="false">
      <c r="A1918" s="26" t="s">
        <v>63</v>
      </c>
      <c r="B1918" s="27" t="s">
        <v>2129</v>
      </c>
      <c r="C1918" s="27" t="s">
        <v>2130</v>
      </c>
      <c r="D1918" s="27" t="s">
        <v>16890</v>
      </c>
      <c r="E1918" s="27" t="s">
        <v>16891</v>
      </c>
      <c r="F1918" s="27" t="s">
        <v>16892</v>
      </c>
      <c r="G1918" s="28"/>
      <c r="H1918" s="6" t="s">
        <v>63</v>
      </c>
      <c r="I1918" s="6" t="s">
        <v>62</v>
      </c>
      <c r="J1918" s="6" t="s">
        <v>63</v>
      </c>
      <c r="K1918" s="6" t="s">
        <v>63</v>
      </c>
      <c r="L1918" s="6" t="s">
        <v>64</v>
      </c>
      <c r="M1918" s="27" t="s">
        <v>4250</v>
      </c>
      <c r="N1918" s="27" t="s">
        <v>16893</v>
      </c>
      <c r="O1918" s="6" t="s">
        <v>3661</v>
      </c>
      <c r="P1918" s="28"/>
      <c r="Q1918" s="6" t="s">
        <v>67</v>
      </c>
      <c r="R1918" s="6" t="s">
        <v>367</v>
      </c>
      <c r="S1918" s="28"/>
      <c r="T1918" s="6" t="s">
        <v>6138</v>
      </c>
      <c r="U1918" s="7" t="n">
        <v>5</v>
      </c>
      <c r="V1918" s="7" t="n">
        <v>5</v>
      </c>
      <c r="W1918" s="8" t="s">
        <v>16894</v>
      </c>
      <c r="X1918" s="8" t="s">
        <v>16894</v>
      </c>
      <c r="Y1918" s="8" t="s">
        <v>2442</v>
      </c>
      <c r="Z1918" s="8" t="s">
        <v>2442</v>
      </c>
      <c r="AA1918" s="7" t="n">
        <v>526</v>
      </c>
      <c r="AB1918" s="7" t="n">
        <v>422</v>
      </c>
      <c r="AC1918" s="7" t="n">
        <v>481</v>
      </c>
      <c r="AD1918" s="7" t="n">
        <v>3</v>
      </c>
      <c r="AE1918" s="7" t="n">
        <v>3</v>
      </c>
      <c r="AF1918" s="7" t="n">
        <v>32</v>
      </c>
      <c r="AG1918" s="7" t="n">
        <v>35</v>
      </c>
      <c r="AH1918" s="7" t="n">
        <v>9</v>
      </c>
      <c r="AI1918" s="7" t="n">
        <v>10</v>
      </c>
      <c r="AJ1918" s="7" t="n">
        <v>9</v>
      </c>
      <c r="AK1918" s="7" t="n">
        <v>10</v>
      </c>
      <c r="AL1918" s="7" t="n">
        <v>22</v>
      </c>
      <c r="AM1918" s="7" t="n">
        <v>24</v>
      </c>
      <c r="AN1918" s="7" t="n">
        <v>1</v>
      </c>
      <c r="AO1918" s="7" t="n">
        <v>1</v>
      </c>
      <c r="AP1918" s="7" t="n">
        <v>0</v>
      </c>
      <c r="AQ1918" s="7" t="n">
        <v>0</v>
      </c>
      <c r="AR1918" s="6" t="s">
        <v>63</v>
      </c>
      <c r="AS1918" s="6" t="s">
        <v>57</v>
      </c>
      <c r="AT1918" s="9" t="str">
        <f aca="false">HYPERLINK("http://catalog.hathitrust.org/Record/001958362","HathiTrust Record")</f>
        <v>HathiTrust Record</v>
      </c>
      <c r="AU1918" s="9" t="str">
        <f aca="false">HYPERLINK("https://creighton-primo.hosted.exlibrisgroup.com/primo-explore/search?tab=default_tab&amp;search_scope=EVERYTHING&amp;vid=01CRU&amp;lang=en_US&amp;offset=0&amp;query=any,contains,991002555699702656","Catalog Record")</f>
        <v>Catalog Record</v>
      </c>
      <c r="AV1918" s="9" t="str">
        <f aca="false">HYPERLINK("http://www.worldcat.org/oclc/371085","WorldCat Record")</f>
        <v>WorldCat Record</v>
      </c>
      <c r="AW1918" s="6" t="s">
        <v>16895</v>
      </c>
      <c r="AX1918" s="6" t="s">
        <v>16896</v>
      </c>
      <c r="AY1918" s="6" t="s">
        <v>16897</v>
      </c>
      <c r="AZ1918" s="6" t="s">
        <v>16897</v>
      </c>
      <c r="BA1918" s="6" t="s">
        <v>16898</v>
      </c>
      <c r="BB1918" s="28"/>
      <c r="BC1918" s="6" t="s">
        <v>16899</v>
      </c>
      <c r="BE1918" s="15" t="s">
        <v>2145</v>
      </c>
      <c r="BF1918" s="6" t="s">
        <v>16900</v>
      </c>
    </row>
    <row r="1919" customFormat="false" ht="174.5" hidden="false" customHeight="false" outlineLevel="0" collapsed="false">
      <c r="A1919" s="26" t="s">
        <v>63</v>
      </c>
      <c r="B1919" s="27" t="s">
        <v>2129</v>
      </c>
      <c r="C1919" s="27" t="s">
        <v>2130</v>
      </c>
      <c r="D1919" s="27" t="s">
        <v>16901</v>
      </c>
      <c r="E1919" s="27" t="s">
        <v>16902</v>
      </c>
      <c r="F1919" s="27" t="s">
        <v>16903</v>
      </c>
      <c r="G1919" s="28"/>
      <c r="H1919" s="6" t="s">
        <v>63</v>
      </c>
      <c r="I1919" s="6" t="s">
        <v>62</v>
      </c>
      <c r="J1919" s="6" t="s">
        <v>63</v>
      </c>
      <c r="K1919" s="6" t="s">
        <v>63</v>
      </c>
      <c r="L1919" s="6" t="s">
        <v>64</v>
      </c>
      <c r="M1919" s="27" t="s">
        <v>16904</v>
      </c>
      <c r="N1919" s="27" t="s">
        <v>16905</v>
      </c>
      <c r="O1919" s="6" t="s">
        <v>3405</v>
      </c>
      <c r="P1919" s="28"/>
      <c r="Q1919" s="6" t="s">
        <v>67</v>
      </c>
      <c r="R1919" s="6" t="s">
        <v>367</v>
      </c>
      <c r="S1919" s="27" t="s">
        <v>15133</v>
      </c>
      <c r="T1919" s="6" t="s">
        <v>6138</v>
      </c>
      <c r="U1919" s="7" t="n">
        <v>4</v>
      </c>
      <c r="V1919" s="7" t="n">
        <v>4</v>
      </c>
      <c r="W1919" s="8" t="s">
        <v>16906</v>
      </c>
      <c r="X1919" s="8" t="s">
        <v>16906</v>
      </c>
      <c r="Y1919" s="8" t="s">
        <v>2442</v>
      </c>
      <c r="Z1919" s="8" t="s">
        <v>2442</v>
      </c>
      <c r="AA1919" s="7" t="n">
        <v>287</v>
      </c>
      <c r="AB1919" s="7" t="n">
        <v>249</v>
      </c>
      <c r="AC1919" s="7" t="n">
        <v>250</v>
      </c>
      <c r="AD1919" s="7" t="n">
        <v>3</v>
      </c>
      <c r="AE1919" s="7" t="n">
        <v>3</v>
      </c>
      <c r="AF1919" s="7" t="n">
        <v>34</v>
      </c>
      <c r="AG1919" s="7" t="n">
        <v>34</v>
      </c>
      <c r="AH1919" s="7" t="n">
        <v>9</v>
      </c>
      <c r="AI1919" s="7" t="n">
        <v>9</v>
      </c>
      <c r="AJ1919" s="7" t="n">
        <v>10</v>
      </c>
      <c r="AK1919" s="7" t="n">
        <v>10</v>
      </c>
      <c r="AL1919" s="7" t="n">
        <v>26</v>
      </c>
      <c r="AM1919" s="7" t="n">
        <v>26</v>
      </c>
      <c r="AN1919" s="7" t="n">
        <v>1</v>
      </c>
      <c r="AO1919" s="7" t="n">
        <v>1</v>
      </c>
      <c r="AP1919" s="7" t="n">
        <v>0</v>
      </c>
      <c r="AQ1919" s="7" t="n">
        <v>0</v>
      </c>
      <c r="AR1919" s="6" t="s">
        <v>63</v>
      </c>
      <c r="AS1919" s="6" t="s">
        <v>63</v>
      </c>
      <c r="AT1919" s="28"/>
      <c r="AU1919" s="9" t="str">
        <f aca="false">HYPERLINK("https://creighton-primo.hosted.exlibrisgroup.com/primo-explore/search?tab=default_tab&amp;search_scope=EVERYTHING&amp;vid=01CRU&amp;lang=en_US&amp;offset=0&amp;query=any,contains,991003400019702656","Catalog Record")</f>
        <v>Catalog Record</v>
      </c>
      <c r="AV1919" s="9" t="str">
        <f aca="false">HYPERLINK("http://www.worldcat.org/oclc/940139","WorldCat Record")</f>
        <v>WorldCat Record</v>
      </c>
      <c r="AW1919" s="6" t="s">
        <v>16907</v>
      </c>
      <c r="AX1919" s="6" t="s">
        <v>16908</v>
      </c>
      <c r="AY1919" s="6" t="s">
        <v>16909</v>
      </c>
      <c r="AZ1919" s="6" t="s">
        <v>16909</v>
      </c>
      <c r="BA1919" s="6" t="s">
        <v>16910</v>
      </c>
      <c r="BB1919" s="28"/>
      <c r="BC1919" s="6" t="s">
        <v>16911</v>
      </c>
      <c r="BE1919" s="15" t="s">
        <v>2145</v>
      </c>
      <c r="BF1919" s="6" t="s">
        <v>16912</v>
      </c>
    </row>
    <row r="1920" customFormat="false" ht="151.5" hidden="false" customHeight="false" outlineLevel="0" collapsed="false">
      <c r="A1920" s="26" t="s">
        <v>63</v>
      </c>
      <c r="B1920" s="27" t="s">
        <v>2129</v>
      </c>
      <c r="C1920" s="27" t="s">
        <v>2130</v>
      </c>
      <c r="D1920" s="27" t="s">
        <v>16913</v>
      </c>
      <c r="E1920" s="27" t="s">
        <v>16914</v>
      </c>
      <c r="F1920" s="27" t="s">
        <v>16915</v>
      </c>
      <c r="G1920" s="28"/>
      <c r="H1920" s="6" t="s">
        <v>63</v>
      </c>
      <c r="I1920" s="6" t="s">
        <v>62</v>
      </c>
      <c r="J1920" s="6" t="s">
        <v>63</v>
      </c>
      <c r="K1920" s="6" t="s">
        <v>63</v>
      </c>
      <c r="L1920" s="6" t="s">
        <v>64</v>
      </c>
      <c r="M1920" s="27" t="s">
        <v>16916</v>
      </c>
      <c r="N1920" s="27" t="s">
        <v>16917</v>
      </c>
      <c r="O1920" s="6" t="s">
        <v>3405</v>
      </c>
      <c r="P1920" s="28"/>
      <c r="Q1920" s="6" t="s">
        <v>67</v>
      </c>
      <c r="R1920" s="6" t="s">
        <v>123</v>
      </c>
      <c r="S1920" s="28"/>
      <c r="T1920" s="6" t="s">
        <v>6138</v>
      </c>
      <c r="U1920" s="7" t="n">
        <v>1</v>
      </c>
      <c r="V1920" s="7" t="n">
        <v>1</v>
      </c>
      <c r="W1920" s="8" t="s">
        <v>16918</v>
      </c>
      <c r="X1920" s="8" t="s">
        <v>16918</v>
      </c>
      <c r="Y1920" s="8" t="s">
        <v>2442</v>
      </c>
      <c r="Z1920" s="8" t="s">
        <v>2442</v>
      </c>
      <c r="AA1920" s="7" t="n">
        <v>140</v>
      </c>
      <c r="AB1920" s="7" t="n">
        <v>126</v>
      </c>
      <c r="AC1920" s="7" t="n">
        <v>133</v>
      </c>
      <c r="AD1920" s="7" t="n">
        <v>1</v>
      </c>
      <c r="AE1920" s="7" t="n">
        <v>1</v>
      </c>
      <c r="AF1920" s="7" t="n">
        <v>24</v>
      </c>
      <c r="AG1920" s="7" t="n">
        <v>24</v>
      </c>
      <c r="AH1920" s="7" t="n">
        <v>7</v>
      </c>
      <c r="AI1920" s="7" t="n">
        <v>7</v>
      </c>
      <c r="AJ1920" s="7" t="n">
        <v>4</v>
      </c>
      <c r="AK1920" s="7" t="n">
        <v>4</v>
      </c>
      <c r="AL1920" s="7" t="n">
        <v>21</v>
      </c>
      <c r="AM1920" s="7" t="n">
        <v>21</v>
      </c>
      <c r="AN1920" s="7" t="n">
        <v>0</v>
      </c>
      <c r="AO1920" s="7" t="n">
        <v>0</v>
      </c>
      <c r="AP1920" s="7" t="n">
        <v>0</v>
      </c>
      <c r="AQ1920" s="7" t="n">
        <v>0</v>
      </c>
      <c r="AR1920" s="6" t="s">
        <v>63</v>
      </c>
      <c r="AS1920" s="6" t="s">
        <v>63</v>
      </c>
      <c r="AT1920" s="9" t="str">
        <f aca="false">HYPERLINK("http://catalog.hathitrust.org/Record/001381743","HathiTrust Record")</f>
        <v>HathiTrust Record</v>
      </c>
      <c r="AU1920" s="9" t="str">
        <f aca="false">HYPERLINK("https://creighton-primo.hosted.exlibrisgroup.com/primo-explore/search?tab=default_tab&amp;search_scope=EVERYTHING&amp;vid=01CRU&amp;lang=en_US&amp;offset=0&amp;query=any,contains,991004182939702656","Catalog Record")</f>
        <v>Catalog Record</v>
      </c>
      <c r="AV1920" s="9" t="str">
        <f aca="false">HYPERLINK("http://www.worldcat.org/oclc/2610090","WorldCat Record")</f>
        <v>WorldCat Record</v>
      </c>
      <c r="AW1920" s="6" t="s">
        <v>16919</v>
      </c>
      <c r="AX1920" s="6" t="s">
        <v>16920</v>
      </c>
      <c r="AY1920" s="6" t="s">
        <v>16921</v>
      </c>
      <c r="AZ1920" s="6" t="s">
        <v>16921</v>
      </c>
      <c r="BA1920" s="6" t="s">
        <v>16922</v>
      </c>
      <c r="BB1920" s="28"/>
      <c r="BC1920" s="6" t="s">
        <v>16923</v>
      </c>
      <c r="BE1920" s="15" t="s">
        <v>2145</v>
      </c>
      <c r="BF1920" s="6" t="s">
        <v>16924</v>
      </c>
    </row>
    <row r="1921" customFormat="false" ht="140" hidden="false" customHeight="false" outlineLevel="0" collapsed="false">
      <c r="A1921" s="26" t="s">
        <v>63</v>
      </c>
      <c r="B1921" s="27" t="s">
        <v>2129</v>
      </c>
      <c r="C1921" s="27" t="s">
        <v>2130</v>
      </c>
      <c r="D1921" s="27" t="s">
        <v>16925</v>
      </c>
      <c r="E1921" s="27" t="s">
        <v>16926</v>
      </c>
      <c r="F1921" s="27" t="s">
        <v>16927</v>
      </c>
      <c r="G1921" s="28"/>
      <c r="H1921" s="6" t="s">
        <v>63</v>
      </c>
      <c r="I1921" s="6" t="s">
        <v>62</v>
      </c>
      <c r="J1921" s="6" t="s">
        <v>63</v>
      </c>
      <c r="K1921" s="6" t="s">
        <v>63</v>
      </c>
      <c r="L1921" s="6" t="s">
        <v>64</v>
      </c>
      <c r="M1921" s="27" t="s">
        <v>16916</v>
      </c>
      <c r="N1921" s="27" t="s">
        <v>16928</v>
      </c>
      <c r="O1921" s="6" t="s">
        <v>233</v>
      </c>
      <c r="P1921" s="28"/>
      <c r="Q1921" s="6" t="s">
        <v>67</v>
      </c>
      <c r="R1921" s="6" t="s">
        <v>123</v>
      </c>
      <c r="S1921" s="27" t="s">
        <v>16929</v>
      </c>
      <c r="T1921" s="6" t="s">
        <v>6138</v>
      </c>
      <c r="U1921" s="7" t="n">
        <v>5</v>
      </c>
      <c r="V1921" s="7" t="n">
        <v>5</v>
      </c>
      <c r="W1921" s="8" t="s">
        <v>16930</v>
      </c>
      <c r="X1921" s="8" t="s">
        <v>16930</v>
      </c>
      <c r="Y1921" s="8" t="s">
        <v>2442</v>
      </c>
      <c r="Z1921" s="8" t="s">
        <v>2442</v>
      </c>
      <c r="AA1921" s="7" t="n">
        <v>431</v>
      </c>
      <c r="AB1921" s="7" t="n">
        <v>370</v>
      </c>
      <c r="AC1921" s="7" t="n">
        <v>426</v>
      </c>
      <c r="AD1921" s="7" t="n">
        <v>2</v>
      </c>
      <c r="AE1921" s="7" t="n">
        <v>3</v>
      </c>
      <c r="AF1921" s="7" t="n">
        <v>34</v>
      </c>
      <c r="AG1921" s="7" t="n">
        <v>38</v>
      </c>
      <c r="AH1921" s="7" t="n">
        <v>13</v>
      </c>
      <c r="AI1921" s="7" t="n">
        <v>14</v>
      </c>
      <c r="AJ1921" s="7" t="n">
        <v>8</v>
      </c>
      <c r="AK1921" s="7" t="n">
        <v>9</v>
      </c>
      <c r="AL1921" s="7" t="n">
        <v>25</v>
      </c>
      <c r="AM1921" s="7" t="n">
        <v>27</v>
      </c>
      <c r="AN1921" s="7" t="n">
        <v>1</v>
      </c>
      <c r="AO1921" s="7" t="n">
        <v>2</v>
      </c>
      <c r="AP1921" s="7" t="n">
        <v>0</v>
      </c>
      <c r="AQ1921" s="7" t="n">
        <v>0</v>
      </c>
      <c r="AR1921" s="6" t="s">
        <v>57</v>
      </c>
      <c r="AS1921" s="6" t="s">
        <v>63</v>
      </c>
      <c r="AT1921" s="9" t="str">
        <f aca="false">HYPERLINK("http://catalog.hathitrust.org/Record/001381744","HathiTrust Record")</f>
        <v>HathiTrust Record</v>
      </c>
      <c r="AU1921" s="9" t="str">
        <f aca="false">HYPERLINK("https://creighton-primo.hosted.exlibrisgroup.com/primo-explore/search?tab=default_tab&amp;search_scope=EVERYTHING&amp;vid=01CRU&amp;lang=en_US&amp;offset=0&amp;query=any,contains,991002552849702656","Catalog Record")</f>
        <v>Catalog Record</v>
      </c>
      <c r="AV1921" s="9" t="str">
        <f aca="false">HYPERLINK("http://www.worldcat.org/oclc/370517","WorldCat Record")</f>
        <v>WorldCat Record</v>
      </c>
      <c r="AW1921" s="6" t="s">
        <v>16931</v>
      </c>
      <c r="AX1921" s="6" t="s">
        <v>16932</v>
      </c>
      <c r="AY1921" s="6" t="s">
        <v>16933</v>
      </c>
      <c r="AZ1921" s="6" t="s">
        <v>16933</v>
      </c>
      <c r="BA1921" s="6" t="s">
        <v>16934</v>
      </c>
      <c r="BB1921" s="28"/>
      <c r="BC1921" s="6" t="s">
        <v>16935</v>
      </c>
      <c r="BE1921" s="15" t="s">
        <v>2145</v>
      </c>
      <c r="BF1921" s="6" t="s">
        <v>16936</v>
      </c>
    </row>
    <row r="1922" customFormat="false" ht="174.5" hidden="false" customHeight="false" outlineLevel="0" collapsed="false">
      <c r="A1922" s="26" t="s">
        <v>63</v>
      </c>
      <c r="B1922" s="27" t="s">
        <v>2129</v>
      </c>
      <c r="C1922" s="27" t="s">
        <v>2130</v>
      </c>
      <c r="D1922" s="27" t="s">
        <v>16937</v>
      </c>
      <c r="E1922" s="27" t="s">
        <v>16938</v>
      </c>
      <c r="F1922" s="27" t="s">
        <v>16939</v>
      </c>
      <c r="G1922" s="28"/>
      <c r="H1922" s="6" t="s">
        <v>63</v>
      </c>
      <c r="I1922" s="6" t="s">
        <v>62</v>
      </c>
      <c r="J1922" s="6" t="s">
        <v>63</v>
      </c>
      <c r="K1922" s="6" t="s">
        <v>63</v>
      </c>
      <c r="L1922" s="6" t="s">
        <v>64</v>
      </c>
      <c r="M1922" s="27" t="s">
        <v>16940</v>
      </c>
      <c r="N1922" s="27" t="s">
        <v>16941</v>
      </c>
      <c r="O1922" s="6" t="s">
        <v>3094</v>
      </c>
      <c r="P1922" s="28"/>
      <c r="Q1922" s="6" t="s">
        <v>9090</v>
      </c>
      <c r="R1922" s="6" t="s">
        <v>9091</v>
      </c>
      <c r="S1922" s="27" t="s">
        <v>16942</v>
      </c>
      <c r="T1922" s="6" t="s">
        <v>6138</v>
      </c>
      <c r="U1922" s="7" t="n">
        <v>4</v>
      </c>
      <c r="V1922" s="7" t="n">
        <v>4</v>
      </c>
      <c r="W1922" s="8" t="s">
        <v>16870</v>
      </c>
      <c r="X1922" s="8" t="s">
        <v>16870</v>
      </c>
      <c r="Y1922" s="8" t="s">
        <v>2442</v>
      </c>
      <c r="Z1922" s="8" t="s">
        <v>2442</v>
      </c>
      <c r="AA1922" s="7" t="n">
        <v>183</v>
      </c>
      <c r="AB1922" s="7" t="n">
        <v>113</v>
      </c>
      <c r="AC1922" s="7" t="n">
        <v>126</v>
      </c>
      <c r="AD1922" s="7" t="n">
        <v>2</v>
      </c>
      <c r="AE1922" s="7" t="n">
        <v>2</v>
      </c>
      <c r="AF1922" s="7" t="n">
        <v>14</v>
      </c>
      <c r="AG1922" s="7" t="n">
        <v>14</v>
      </c>
      <c r="AH1922" s="7" t="n">
        <v>2</v>
      </c>
      <c r="AI1922" s="7" t="n">
        <v>2</v>
      </c>
      <c r="AJ1922" s="7" t="n">
        <v>5</v>
      </c>
      <c r="AK1922" s="7" t="n">
        <v>5</v>
      </c>
      <c r="AL1922" s="7" t="n">
        <v>11</v>
      </c>
      <c r="AM1922" s="7" t="n">
        <v>11</v>
      </c>
      <c r="AN1922" s="7" t="n">
        <v>1</v>
      </c>
      <c r="AO1922" s="7" t="n">
        <v>1</v>
      </c>
      <c r="AP1922" s="7" t="n">
        <v>0</v>
      </c>
      <c r="AQ1922" s="7" t="n">
        <v>0</v>
      </c>
      <c r="AR1922" s="6" t="s">
        <v>63</v>
      </c>
      <c r="AS1922" s="6" t="s">
        <v>63</v>
      </c>
      <c r="AT1922" s="28"/>
      <c r="AU1922" s="9" t="str">
        <f aca="false">HYPERLINK("https://creighton-primo.hosted.exlibrisgroup.com/primo-explore/search?tab=default_tab&amp;search_scope=EVERYTHING&amp;vid=01CRU&amp;lang=en_US&amp;offset=0&amp;query=any,contains,991004890039702656","Catalog Record")</f>
        <v>Catalog Record</v>
      </c>
      <c r="AV1922" s="9" t="str">
        <f aca="false">HYPERLINK("http://www.worldcat.org/oclc/5863658","WorldCat Record")</f>
        <v>WorldCat Record</v>
      </c>
      <c r="AW1922" s="6" t="s">
        <v>16943</v>
      </c>
      <c r="AX1922" s="6" t="s">
        <v>16944</v>
      </c>
      <c r="AY1922" s="6" t="s">
        <v>16945</v>
      </c>
      <c r="AZ1922" s="6" t="s">
        <v>16945</v>
      </c>
      <c r="BA1922" s="6" t="s">
        <v>16946</v>
      </c>
      <c r="BB1922" s="28"/>
      <c r="BC1922" s="6" t="s">
        <v>16947</v>
      </c>
      <c r="BE1922" s="15" t="s">
        <v>2145</v>
      </c>
      <c r="BF1922" s="6" t="s">
        <v>16948</v>
      </c>
    </row>
    <row r="1923" customFormat="false" ht="117" hidden="false" customHeight="false" outlineLevel="0" collapsed="false">
      <c r="A1923" s="26" t="s">
        <v>63</v>
      </c>
      <c r="B1923" s="27" t="s">
        <v>2129</v>
      </c>
      <c r="C1923" s="27" t="s">
        <v>2130</v>
      </c>
      <c r="D1923" s="27" t="s">
        <v>16949</v>
      </c>
      <c r="E1923" s="27" t="s">
        <v>16950</v>
      </c>
      <c r="F1923" s="27" t="s">
        <v>16951</v>
      </c>
      <c r="G1923" s="28"/>
      <c r="H1923" s="6" t="s">
        <v>63</v>
      </c>
      <c r="I1923" s="6" t="s">
        <v>62</v>
      </c>
      <c r="J1923" s="6" t="s">
        <v>63</v>
      </c>
      <c r="K1923" s="6" t="s">
        <v>63</v>
      </c>
      <c r="L1923" s="6" t="s">
        <v>64</v>
      </c>
      <c r="M1923" s="27" t="s">
        <v>16952</v>
      </c>
      <c r="N1923" s="27" t="s">
        <v>16953</v>
      </c>
      <c r="O1923" s="6" t="s">
        <v>180</v>
      </c>
      <c r="P1923" s="28"/>
      <c r="Q1923" s="6" t="s">
        <v>4501</v>
      </c>
      <c r="R1923" s="6" t="s">
        <v>367</v>
      </c>
      <c r="S1923" s="27" t="s">
        <v>16954</v>
      </c>
      <c r="T1923" s="6" t="s">
        <v>6138</v>
      </c>
      <c r="U1923" s="7" t="n">
        <v>1</v>
      </c>
      <c r="V1923" s="7" t="n">
        <v>1</v>
      </c>
      <c r="W1923" s="8" t="s">
        <v>16955</v>
      </c>
      <c r="X1923" s="8" t="s">
        <v>16955</v>
      </c>
      <c r="Y1923" s="8" t="s">
        <v>2442</v>
      </c>
      <c r="Z1923" s="8" t="s">
        <v>2442</v>
      </c>
      <c r="AA1923" s="7" t="n">
        <v>161</v>
      </c>
      <c r="AB1923" s="7" t="n">
        <v>106</v>
      </c>
      <c r="AC1923" s="7" t="n">
        <v>109</v>
      </c>
      <c r="AD1923" s="7" t="n">
        <v>1</v>
      </c>
      <c r="AE1923" s="7" t="n">
        <v>1</v>
      </c>
      <c r="AF1923" s="7" t="n">
        <v>20</v>
      </c>
      <c r="AG1923" s="7" t="n">
        <v>20</v>
      </c>
      <c r="AH1923" s="7" t="n">
        <v>5</v>
      </c>
      <c r="AI1923" s="7" t="n">
        <v>5</v>
      </c>
      <c r="AJ1923" s="7" t="n">
        <v>5</v>
      </c>
      <c r="AK1923" s="7" t="n">
        <v>5</v>
      </c>
      <c r="AL1923" s="7" t="n">
        <v>18</v>
      </c>
      <c r="AM1923" s="7" t="n">
        <v>18</v>
      </c>
      <c r="AN1923" s="7" t="n">
        <v>0</v>
      </c>
      <c r="AO1923" s="7" t="n">
        <v>0</v>
      </c>
      <c r="AP1923" s="7" t="n">
        <v>0</v>
      </c>
      <c r="AQ1923" s="7" t="n">
        <v>0</v>
      </c>
      <c r="AR1923" s="6" t="s">
        <v>63</v>
      </c>
      <c r="AS1923" s="6" t="s">
        <v>63</v>
      </c>
      <c r="AT1923" s="28"/>
      <c r="AU1923" s="9" t="str">
        <f aca="false">HYPERLINK("https://creighton-primo.hosted.exlibrisgroup.com/primo-explore/search?tab=default_tab&amp;search_scope=EVERYTHING&amp;vid=01CRU&amp;lang=en_US&amp;offset=0&amp;query=any,contains,991003535429702656","Catalog Record")</f>
        <v>Catalog Record</v>
      </c>
      <c r="AV1923" s="9" t="str">
        <f aca="false">HYPERLINK("http://www.worldcat.org/oclc/1099774","WorldCat Record")</f>
        <v>WorldCat Record</v>
      </c>
      <c r="AW1923" s="6" t="s">
        <v>16956</v>
      </c>
      <c r="AX1923" s="6" t="s">
        <v>16957</v>
      </c>
      <c r="AY1923" s="6" t="s">
        <v>16958</v>
      </c>
      <c r="AZ1923" s="6" t="s">
        <v>16958</v>
      </c>
      <c r="BA1923" s="6" t="s">
        <v>16959</v>
      </c>
      <c r="BB1923" s="28"/>
      <c r="BC1923" s="6" t="s">
        <v>16960</v>
      </c>
      <c r="BE1923" s="15" t="s">
        <v>2145</v>
      </c>
      <c r="BF1923" s="6" t="s">
        <v>16961</v>
      </c>
    </row>
    <row r="1924" customFormat="false" ht="220.5" hidden="false" customHeight="false" outlineLevel="0" collapsed="false">
      <c r="A1924" s="26" t="s">
        <v>63</v>
      </c>
      <c r="B1924" s="27" t="s">
        <v>2129</v>
      </c>
      <c r="C1924" s="27" t="s">
        <v>2130</v>
      </c>
      <c r="D1924" s="27" t="s">
        <v>16962</v>
      </c>
      <c r="E1924" s="27" t="s">
        <v>16963</v>
      </c>
      <c r="F1924" s="27" t="s">
        <v>16964</v>
      </c>
      <c r="G1924" s="28"/>
      <c r="H1924" s="6" t="s">
        <v>63</v>
      </c>
      <c r="I1924" s="6" t="s">
        <v>62</v>
      </c>
      <c r="J1924" s="6" t="s">
        <v>63</v>
      </c>
      <c r="K1924" s="6" t="s">
        <v>63</v>
      </c>
      <c r="L1924" s="6" t="s">
        <v>64</v>
      </c>
      <c r="M1924" s="27" t="s">
        <v>16965</v>
      </c>
      <c r="N1924" s="27" t="s">
        <v>16966</v>
      </c>
      <c r="O1924" s="6" t="s">
        <v>3635</v>
      </c>
      <c r="P1924" s="28"/>
      <c r="Q1924" s="6" t="s">
        <v>67</v>
      </c>
      <c r="R1924" s="6" t="s">
        <v>4707</v>
      </c>
      <c r="S1924" s="27" t="s">
        <v>16967</v>
      </c>
      <c r="T1924" s="6" t="s">
        <v>6138</v>
      </c>
      <c r="U1924" s="7" t="n">
        <v>1</v>
      </c>
      <c r="V1924" s="7" t="n">
        <v>1</v>
      </c>
      <c r="W1924" s="8" t="s">
        <v>16968</v>
      </c>
      <c r="X1924" s="8" t="s">
        <v>16968</v>
      </c>
      <c r="Y1924" s="8" t="s">
        <v>2442</v>
      </c>
      <c r="Z1924" s="8" t="s">
        <v>2442</v>
      </c>
      <c r="AA1924" s="7" t="n">
        <v>217</v>
      </c>
      <c r="AB1924" s="7" t="n">
        <v>197</v>
      </c>
      <c r="AC1924" s="7" t="n">
        <v>524</v>
      </c>
      <c r="AD1924" s="7" t="n">
        <v>2</v>
      </c>
      <c r="AE1924" s="7" t="n">
        <v>3</v>
      </c>
      <c r="AF1924" s="7" t="n">
        <v>27</v>
      </c>
      <c r="AG1924" s="7" t="n">
        <v>35</v>
      </c>
      <c r="AH1924" s="7" t="n">
        <v>9</v>
      </c>
      <c r="AI1924" s="7" t="n">
        <v>11</v>
      </c>
      <c r="AJ1924" s="7" t="n">
        <v>8</v>
      </c>
      <c r="AK1924" s="7" t="n">
        <v>10</v>
      </c>
      <c r="AL1924" s="7" t="n">
        <v>21</v>
      </c>
      <c r="AM1924" s="7" t="n">
        <v>25</v>
      </c>
      <c r="AN1924" s="7" t="n">
        <v>1</v>
      </c>
      <c r="AO1924" s="7" t="n">
        <v>1</v>
      </c>
      <c r="AP1924" s="7" t="n">
        <v>0</v>
      </c>
      <c r="AQ1924" s="7" t="n">
        <v>1</v>
      </c>
      <c r="AR1924" s="6" t="s">
        <v>57</v>
      </c>
      <c r="AS1924" s="6" t="s">
        <v>63</v>
      </c>
      <c r="AT1924" s="9" t="str">
        <f aca="false">HYPERLINK("http://catalog.hathitrust.org/Record/006525683","HathiTrust Record")</f>
        <v>HathiTrust Record</v>
      </c>
      <c r="AU1924" s="9" t="str">
        <f aca="false">HYPERLINK("https://creighton-primo.hosted.exlibrisgroup.com/primo-explore/search?tab=default_tab&amp;search_scope=EVERYTHING&amp;vid=01CRU&amp;lang=en_US&amp;offset=0&amp;query=any,contains,991002031129702656","Catalog Record")</f>
        <v>Catalog Record</v>
      </c>
      <c r="AV1924" s="9" t="str">
        <f aca="false">HYPERLINK("http://www.worldcat.org/oclc/260198","WorldCat Record")</f>
        <v>WorldCat Record</v>
      </c>
      <c r="AW1924" s="6" t="s">
        <v>16969</v>
      </c>
      <c r="AX1924" s="6" t="s">
        <v>16970</v>
      </c>
      <c r="AY1924" s="6" t="s">
        <v>16971</v>
      </c>
      <c r="AZ1924" s="6" t="s">
        <v>16971</v>
      </c>
      <c r="BA1924" s="6" t="s">
        <v>16972</v>
      </c>
      <c r="BB1924" s="28"/>
      <c r="BC1924" s="6" t="s">
        <v>16973</v>
      </c>
      <c r="BE1924" s="15" t="s">
        <v>2145</v>
      </c>
      <c r="BF1924" s="6" t="s">
        <v>16974</v>
      </c>
    </row>
    <row r="1925" customFormat="false" ht="94" hidden="false" customHeight="false" outlineLevel="0" collapsed="false">
      <c r="A1925" s="26" t="s">
        <v>63</v>
      </c>
      <c r="B1925" s="27" t="s">
        <v>2129</v>
      </c>
      <c r="C1925" s="27" t="s">
        <v>2130</v>
      </c>
      <c r="D1925" s="27" t="s">
        <v>16975</v>
      </c>
      <c r="E1925" s="27" t="s">
        <v>16976</v>
      </c>
      <c r="F1925" s="27" t="s">
        <v>16977</v>
      </c>
      <c r="G1925" s="28"/>
      <c r="H1925" s="6" t="s">
        <v>63</v>
      </c>
      <c r="I1925" s="6" t="s">
        <v>62</v>
      </c>
      <c r="J1925" s="6" t="s">
        <v>63</v>
      </c>
      <c r="K1925" s="6" t="s">
        <v>63</v>
      </c>
      <c r="L1925" s="6" t="s">
        <v>64</v>
      </c>
      <c r="M1925" s="27" t="s">
        <v>16978</v>
      </c>
      <c r="N1925" s="27" t="s">
        <v>16979</v>
      </c>
      <c r="O1925" s="6" t="s">
        <v>3094</v>
      </c>
      <c r="P1925" s="28"/>
      <c r="Q1925" s="6" t="s">
        <v>67</v>
      </c>
      <c r="R1925" s="6" t="s">
        <v>802</v>
      </c>
      <c r="S1925" s="28"/>
      <c r="T1925" s="6" t="s">
        <v>6138</v>
      </c>
      <c r="U1925" s="7" t="n">
        <v>3</v>
      </c>
      <c r="V1925" s="7" t="n">
        <v>3</v>
      </c>
      <c r="W1925" s="8" t="s">
        <v>7048</v>
      </c>
      <c r="X1925" s="8" t="s">
        <v>7048</v>
      </c>
      <c r="Y1925" s="8" t="s">
        <v>2442</v>
      </c>
      <c r="Z1925" s="8" t="s">
        <v>2442</v>
      </c>
      <c r="AA1925" s="7" t="n">
        <v>535</v>
      </c>
      <c r="AB1925" s="7" t="n">
        <v>437</v>
      </c>
      <c r="AC1925" s="7" t="n">
        <v>492</v>
      </c>
      <c r="AD1925" s="7" t="n">
        <v>3</v>
      </c>
      <c r="AE1925" s="7" t="n">
        <v>4</v>
      </c>
      <c r="AF1925" s="7" t="n">
        <v>32</v>
      </c>
      <c r="AG1925" s="7" t="n">
        <v>34</v>
      </c>
      <c r="AH1925" s="7" t="n">
        <v>11</v>
      </c>
      <c r="AI1925" s="7" t="n">
        <v>12</v>
      </c>
      <c r="AJ1925" s="7" t="n">
        <v>9</v>
      </c>
      <c r="AK1925" s="7" t="n">
        <v>10</v>
      </c>
      <c r="AL1925" s="7" t="n">
        <v>20</v>
      </c>
      <c r="AM1925" s="7" t="n">
        <v>21</v>
      </c>
      <c r="AN1925" s="7" t="n">
        <v>1</v>
      </c>
      <c r="AO1925" s="7" t="n">
        <v>1</v>
      </c>
      <c r="AP1925" s="7" t="n">
        <v>0</v>
      </c>
      <c r="AQ1925" s="7" t="n">
        <v>0</v>
      </c>
      <c r="AR1925" s="6" t="s">
        <v>63</v>
      </c>
      <c r="AS1925" s="6" t="s">
        <v>63</v>
      </c>
      <c r="AT1925" s="28"/>
      <c r="AU1925" s="9" t="str">
        <f aca="false">HYPERLINK("https://creighton-primo.hosted.exlibrisgroup.com/primo-explore/search?tab=default_tab&amp;search_scope=EVERYTHING&amp;vid=01CRU&amp;lang=en_US&amp;offset=0&amp;query=any,contains,991003809719702656","Catalog Record")</f>
        <v>Catalog Record</v>
      </c>
      <c r="AV1925" s="9" t="str">
        <f aca="false">HYPERLINK("http://www.worldcat.org/oclc/217810","WorldCat Record")</f>
        <v>WorldCat Record</v>
      </c>
      <c r="AW1925" s="6" t="s">
        <v>16980</v>
      </c>
      <c r="AX1925" s="6" t="s">
        <v>16981</v>
      </c>
      <c r="AY1925" s="6" t="s">
        <v>16982</v>
      </c>
      <c r="AZ1925" s="6" t="s">
        <v>16982</v>
      </c>
      <c r="BA1925" s="6" t="s">
        <v>16983</v>
      </c>
      <c r="BB1925" s="28"/>
      <c r="BC1925" s="6" t="s">
        <v>16984</v>
      </c>
      <c r="BE1925" s="15" t="s">
        <v>2145</v>
      </c>
      <c r="BF1925" s="6" t="s">
        <v>16985</v>
      </c>
    </row>
    <row r="1926" customFormat="false" ht="82.5" hidden="false" customHeight="false" outlineLevel="0" collapsed="false">
      <c r="A1926" s="26" t="s">
        <v>63</v>
      </c>
      <c r="B1926" s="27" t="s">
        <v>2129</v>
      </c>
      <c r="C1926" s="27" t="s">
        <v>2130</v>
      </c>
      <c r="D1926" s="27" t="s">
        <v>16986</v>
      </c>
      <c r="E1926" s="27" t="s">
        <v>16987</v>
      </c>
      <c r="F1926" s="27" t="s">
        <v>16988</v>
      </c>
      <c r="G1926" s="28"/>
      <c r="H1926" s="6" t="s">
        <v>63</v>
      </c>
      <c r="I1926" s="6" t="s">
        <v>62</v>
      </c>
      <c r="J1926" s="6" t="s">
        <v>63</v>
      </c>
      <c r="K1926" s="6" t="s">
        <v>63</v>
      </c>
      <c r="L1926" s="6" t="s">
        <v>64</v>
      </c>
      <c r="M1926" s="27" t="s">
        <v>16284</v>
      </c>
      <c r="N1926" s="27" t="s">
        <v>16989</v>
      </c>
      <c r="O1926" s="6" t="s">
        <v>2797</v>
      </c>
      <c r="P1926" s="28"/>
      <c r="Q1926" s="6" t="s">
        <v>67</v>
      </c>
      <c r="R1926" s="6" t="s">
        <v>16049</v>
      </c>
      <c r="S1926" s="27" t="s">
        <v>16990</v>
      </c>
      <c r="T1926" s="6" t="s">
        <v>6138</v>
      </c>
      <c r="U1926" s="7" t="n">
        <v>3</v>
      </c>
      <c r="V1926" s="7" t="n">
        <v>3</v>
      </c>
      <c r="W1926" s="8" t="s">
        <v>16991</v>
      </c>
      <c r="X1926" s="8" t="s">
        <v>16991</v>
      </c>
      <c r="Y1926" s="8" t="s">
        <v>2442</v>
      </c>
      <c r="Z1926" s="8" t="s">
        <v>2442</v>
      </c>
      <c r="AA1926" s="7" t="n">
        <v>388</v>
      </c>
      <c r="AB1926" s="7" t="n">
        <v>337</v>
      </c>
      <c r="AC1926" s="7" t="n">
        <v>702</v>
      </c>
      <c r="AD1926" s="7" t="n">
        <v>3</v>
      </c>
      <c r="AE1926" s="7" t="n">
        <v>3</v>
      </c>
      <c r="AF1926" s="7" t="n">
        <v>32</v>
      </c>
      <c r="AG1926" s="7" t="n">
        <v>34</v>
      </c>
      <c r="AH1926" s="7" t="n">
        <v>9</v>
      </c>
      <c r="AI1926" s="7" t="n">
        <v>11</v>
      </c>
      <c r="AJ1926" s="7" t="n">
        <v>9</v>
      </c>
      <c r="AK1926" s="7" t="n">
        <v>9</v>
      </c>
      <c r="AL1926" s="7" t="n">
        <v>24</v>
      </c>
      <c r="AM1926" s="7" t="n">
        <v>24</v>
      </c>
      <c r="AN1926" s="7" t="n">
        <v>1</v>
      </c>
      <c r="AO1926" s="7" t="n">
        <v>1</v>
      </c>
      <c r="AP1926" s="7" t="n">
        <v>0</v>
      </c>
      <c r="AQ1926" s="7" t="n">
        <v>0</v>
      </c>
      <c r="AR1926" s="6" t="s">
        <v>63</v>
      </c>
      <c r="AS1926" s="6" t="s">
        <v>63</v>
      </c>
      <c r="AT1926" s="9" t="str">
        <f aca="false">HYPERLINK("http://catalog.hathitrust.org/Record/001381752","HathiTrust Record")</f>
        <v>HathiTrust Record</v>
      </c>
      <c r="AU1926" s="9" t="str">
        <f aca="false">HYPERLINK("https://creighton-primo.hosted.exlibrisgroup.com/primo-explore/search?tab=default_tab&amp;search_scope=EVERYTHING&amp;vid=01CRU&amp;lang=en_US&amp;offset=0&amp;query=any,contains,991002031219702656","Catalog Record")</f>
        <v>Catalog Record</v>
      </c>
      <c r="AV1926" s="9" t="str">
        <f aca="false">HYPERLINK("http://www.worldcat.org/oclc/260199","WorldCat Record")</f>
        <v>WorldCat Record</v>
      </c>
      <c r="AW1926" s="6" t="s">
        <v>16992</v>
      </c>
      <c r="AX1926" s="6" t="s">
        <v>16993</v>
      </c>
      <c r="AY1926" s="6" t="s">
        <v>16994</v>
      </c>
      <c r="AZ1926" s="6" t="s">
        <v>16994</v>
      </c>
      <c r="BA1926" s="6" t="s">
        <v>16995</v>
      </c>
      <c r="BB1926" s="28"/>
      <c r="BC1926" s="6" t="s">
        <v>16996</v>
      </c>
      <c r="BE1926" s="15" t="s">
        <v>2145</v>
      </c>
      <c r="BF1926" s="6" t="s">
        <v>16997</v>
      </c>
    </row>
    <row r="1927" customFormat="false" ht="140" hidden="false" customHeight="false" outlineLevel="0" collapsed="false">
      <c r="A1927" s="26" t="s">
        <v>63</v>
      </c>
      <c r="B1927" s="27" t="s">
        <v>2129</v>
      </c>
      <c r="C1927" s="27" t="s">
        <v>2130</v>
      </c>
      <c r="D1927" s="27" t="s">
        <v>16998</v>
      </c>
      <c r="E1927" s="27" t="s">
        <v>16999</v>
      </c>
      <c r="F1927" s="27" t="s">
        <v>17000</v>
      </c>
      <c r="G1927" s="28"/>
      <c r="H1927" s="6" t="s">
        <v>63</v>
      </c>
      <c r="I1927" s="6" t="s">
        <v>62</v>
      </c>
      <c r="J1927" s="6" t="s">
        <v>63</v>
      </c>
      <c r="K1927" s="6" t="s">
        <v>63</v>
      </c>
      <c r="L1927" s="6" t="s">
        <v>64</v>
      </c>
      <c r="M1927" s="27" t="s">
        <v>17001</v>
      </c>
      <c r="N1927" s="27" t="s">
        <v>17002</v>
      </c>
      <c r="O1927" s="6" t="s">
        <v>7401</v>
      </c>
      <c r="P1927" s="28"/>
      <c r="Q1927" s="6" t="s">
        <v>67</v>
      </c>
      <c r="R1927" s="6" t="s">
        <v>367</v>
      </c>
      <c r="S1927" s="28"/>
      <c r="T1927" s="6" t="s">
        <v>6138</v>
      </c>
      <c r="U1927" s="7" t="n">
        <v>4</v>
      </c>
      <c r="V1927" s="7" t="n">
        <v>4</v>
      </c>
      <c r="W1927" s="8" t="s">
        <v>17003</v>
      </c>
      <c r="X1927" s="8" t="s">
        <v>17003</v>
      </c>
      <c r="Y1927" s="8" t="s">
        <v>10754</v>
      </c>
      <c r="Z1927" s="8" t="s">
        <v>10754</v>
      </c>
      <c r="AA1927" s="7" t="n">
        <v>184</v>
      </c>
      <c r="AB1927" s="7" t="n">
        <v>157</v>
      </c>
      <c r="AC1927" s="7" t="n">
        <v>161</v>
      </c>
      <c r="AD1927" s="7" t="n">
        <v>1</v>
      </c>
      <c r="AE1927" s="7" t="n">
        <v>1</v>
      </c>
      <c r="AF1927" s="7" t="n">
        <v>26</v>
      </c>
      <c r="AG1927" s="7" t="n">
        <v>26</v>
      </c>
      <c r="AH1927" s="7" t="n">
        <v>8</v>
      </c>
      <c r="AI1927" s="7" t="n">
        <v>8</v>
      </c>
      <c r="AJ1927" s="7" t="n">
        <v>6</v>
      </c>
      <c r="AK1927" s="7" t="n">
        <v>6</v>
      </c>
      <c r="AL1927" s="7" t="n">
        <v>20</v>
      </c>
      <c r="AM1927" s="7" t="n">
        <v>20</v>
      </c>
      <c r="AN1927" s="7" t="n">
        <v>0</v>
      </c>
      <c r="AO1927" s="7" t="n">
        <v>0</v>
      </c>
      <c r="AP1927" s="7" t="n">
        <v>0</v>
      </c>
      <c r="AQ1927" s="7" t="n">
        <v>0</v>
      </c>
      <c r="AR1927" s="6" t="s">
        <v>63</v>
      </c>
      <c r="AS1927" s="6" t="s">
        <v>57</v>
      </c>
      <c r="AT1927" s="9" t="str">
        <f aca="false">HYPERLINK("http://catalog.hathitrust.org/Record/005759112","HathiTrust Record")</f>
        <v>HathiTrust Record</v>
      </c>
      <c r="AU1927" s="9" t="str">
        <f aca="false">HYPERLINK("https://creighton-primo.hosted.exlibrisgroup.com/primo-explore/search?tab=default_tab&amp;search_scope=EVERYTHING&amp;vid=01CRU&amp;lang=en_US&amp;offset=0&amp;query=any,contains,991002290749702656","Catalog Record")</f>
        <v>Catalog Record</v>
      </c>
      <c r="AV1927" s="9" t="str">
        <f aca="false">HYPERLINK("http://www.worldcat.org/oclc/313044","WorldCat Record")</f>
        <v>WorldCat Record</v>
      </c>
      <c r="AW1927" s="6" t="s">
        <v>17004</v>
      </c>
      <c r="AX1927" s="6" t="s">
        <v>17005</v>
      </c>
      <c r="AY1927" s="6" t="s">
        <v>17006</v>
      </c>
      <c r="AZ1927" s="6" t="s">
        <v>17006</v>
      </c>
      <c r="BA1927" s="6" t="s">
        <v>17007</v>
      </c>
      <c r="BB1927" s="28"/>
      <c r="BC1927" s="6" t="s">
        <v>17008</v>
      </c>
      <c r="BE1927" s="15" t="s">
        <v>2145</v>
      </c>
      <c r="BF1927" s="6" t="s">
        <v>17009</v>
      </c>
    </row>
    <row r="1928" customFormat="false" ht="117" hidden="false" customHeight="false" outlineLevel="0" collapsed="false">
      <c r="A1928" s="26" t="s">
        <v>63</v>
      </c>
      <c r="B1928" s="27" t="s">
        <v>2129</v>
      </c>
      <c r="C1928" s="27" t="s">
        <v>2130</v>
      </c>
      <c r="D1928" s="27" t="s">
        <v>17010</v>
      </c>
      <c r="E1928" s="27" t="s">
        <v>17011</v>
      </c>
      <c r="F1928" s="27" t="s">
        <v>17012</v>
      </c>
      <c r="G1928" s="28"/>
      <c r="H1928" s="6" t="s">
        <v>63</v>
      </c>
      <c r="I1928" s="6" t="s">
        <v>62</v>
      </c>
      <c r="J1928" s="6" t="s">
        <v>63</v>
      </c>
      <c r="K1928" s="6" t="s">
        <v>63</v>
      </c>
      <c r="L1928" s="6" t="s">
        <v>64</v>
      </c>
      <c r="M1928" s="27" t="s">
        <v>17013</v>
      </c>
      <c r="N1928" s="27" t="s">
        <v>17014</v>
      </c>
      <c r="O1928" s="6" t="s">
        <v>2343</v>
      </c>
      <c r="P1928" s="28"/>
      <c r="Q1928" s="6" t="s">
        <v>67</v>
      </c>
      <c r="R1928" s="6" t="s">
        <v>68</v>
      </c>
      <c r="S1928" s="27" t="s">
        <v>17015</v>
      </c>
      <c r="T1928" s="6" t="s">
        <v>6138</v>
      </c>
      <c r="U1928" s="7" t="n">
        <v>2</v>
      </c>
      <c r="V1928" s="7" t="n">
        <v>2</v>
      </c>
      <c r="W1928" s="8" t="s">
        <v>14853</v>
      </c>
      <c r="X1928" s="8" t="s">
        <v>14853</v>
      </c>
      <c r="Y1928" s="8" t="s">
        <v>10754</v>
      </c>
      <c r="Z1928" s="8" t="s">
        <v>10754</v>
      </c>
      <c r="AA1928" s="7" t="n">
        <v>34</v>
      </c>
      <c r="AB1928" s="7" t="n">
        <v>24</v>
      </c>
      <c r="AC1928" s="7" t="n">
        <v>24</v>
      </c>
      <c r="AD1928" s="7" t="n">
        <v>1</v>
      </c>
      <c r="AE1928" s="7" t="n">
        <v>1</v>
      </c>
      <c r="AF1928" s="7" t="n">
        <v>7</v>
      </c>
      <c r="AG1928" s="7" t="n">
        <v>7</v>
      </c>
      <c r="AH1928" s="7" t="n">
        <v>1</v>
      </c>
      <c r="AI1928" s="7" t="n">
        <v>1</v>
      </c>
      <c r="AJ1928" s="7" t="n">
        <v>2</v>
      </c>
      <c r="AK1928" s="7" t="n">
        <v>2</v>
      </c>
      <c r="AL1928" s="7" t="n">
        <v>6</v>
      </c>
      <c r="AM1928" s="7" t="n">
        <v>6</v>
      </c>
      <c r="AN1928" s="7" t="n">
        <v>0</v>
      </c>
      <c r="AO1928" s="7" t="n">
        <v>0</v>
      </c>
      <c r="AP1928" s="7" t="n">
        <v>0</v>
      </c>
      <c r="AQ1928" s="7" t="n">
        <v>0</v>
      </c>
      <c r="AR1928" s="6" t="s">
        <v>63</v>
      </c>
      <c r="AS1928" s="6" t="s">
        <v>63</v>
      </c>
      <c r="AT1928" s="28"/>
      <c r="AU1928" s="9" t="str">
        <f aca="false">HYPERLINK("https://creighton-primo.hosted.exlibrisgroup.com/primo-explore/search?tab=default_tab&amp;search_scope=EVERYTHING&amp;vid=01CRU&amp;lang=en_US&amp;offset=0&amp;query=any,contains,991005228399702656","Catalog Record")</f>
        <v>Catalog Record</v>
      </c>
      <c r="AV1928" s="9" t="str">
        <f aca="false">HYPERLINK("http://www.worldcat.org/oclc/8292728","WorldCat Record")</f>
        <v>WorldCat Record</v>
      </c>
      <c r="AW1928" s="6" t="s">
        <v>17016</v>
      </c>
      <c r="AX1928" s="6" t="s">
        <v>17017</v>
      </c>
      <c r="AY1928" s="6" t="s">
        <v>17018</v>
      </c>
      <c r="AZ1928" s="6" t="s">
        <v>17018</v>
      </c>
      <c r="BA1928" s="6" t="s">
        <v>17019</v>
      </c>
      <c r="BB1928" s="28"/>
      <c r="BC1928" s="6" t="s">
        <v>17020</v>
      </c>
      <c r="BE1928" s="15" t="s">
        <v>2145</v>
      </c>
      <c r="BF1928" s="6" t="s">
        <v>17021</v>
      </c>
    </row>
    <row r="1929" customFormat="false" ht="59.5" hidden="false" customHeight="false" outlineLevel="0" collapsed="false">
      <c r="A1929" s="26" t="s">
        <v>63</v>
      </c>
      <c r="B1929" s="27" t="s">
        <v>2129</v>
      </c>
      <c r="C1929" s="27" t="s">
        <v>2130</v>
      </c>
      <c r="D1929" s="27" t="s">
        <v>17022</v>
      </c>
      <c r="E1929" s="27" t="s">
        <v>17023</v>
      </c>
      <c r="F1929" s="27" t="s">
        <v>17024</v>
      </c>
      <c r="G1929" s="28"/>
      <c r="H1929" s="6" t="s">
        <v>63</v>
      </c>
      <c r="I1929" s="6" t="s">
        <v>62</v>
      </c>
      <c r="J1929" s="6" t="s">
        <v>63</v>
      </c>
      <c r="K1929" s="6" t="s">
        <v>63</v>
      </c>
      <c r="L1929" s="6" t="s">
        <v>64</v>
      </c>
      <c r="M1929" s="27" t="s">
        <v>17025</v>
      </c>
      <c r="N1929" s="27" t="s">
        <v>17026</v>
      </c>
      <c r="O1929" s="6" t="s">
        <v>3405</v>
      </c>
      <c r="P1929" s="28"/>
      <c r="Q1929" s="6" t="s">
        <v>67</v>
      </c>
      <c r="R1929" s="6" t="s">
        <v>367</v>
      </c>
      <c r="S1929" s="28"/>
      <c r="T1929" s="6" t="s">
        <v>6138</v>
      </c>
      <c r="U1929" s="7" t="n">
        <v>7</v>
      </c>
      <c r="V1929" s="7" t="n">
        <v>7</v>
      </c>
      <c r="W1929" s="8" t="s">
        <v>6038</v>
      </c>
      <c r="X1929" s="8" t="s">
        <v>6038</v>
      </c>
      <c r="Y1929" s="8" t="s">
        <v>10754</v>
      </c>
      <c r="Z1929" s="8" t="s">
        <v>10754</v>
      </c>
      <c r="AA1929" s="7" t="n">
        <v>306</v>
      </c>
      <c r="AB1929" s="7" t="n">
        <v>260</v>
      </c>
      <c r="AC1929" s="7" t="n">
        <v>267</v>
      </c>
      <c r="AD1929" s="7" t="n">
        <v>4</v>
      </c>
      <c r="AE1929" s="7" t="n">
        <v>4</v>
      </c>
      <c r="AF1929" s="7" t="n">
        <v>26</v>
      </c>
      <c r="AG1929" s="7" t="n">
        <v>26</v>
      </c>
      <c r="AH1929" s="7" t="n">
        <v>7</v>
      </c>
      <c r="AI1929" s="7" t="n">
        <v>7</v>
      </c>
      <c r="AJ1929" s="7" t="n">
        <v>6</v>
      </c>
      <c r="AK1929" s="7" t="n">
        <v>6</v>
      </c>
      <c r="AL1929" s="7" t="n">
        <v>20</v>
      </c>
      <c r="AM1929" s="7" t="n">
        <v>20</v>
      </c>
      <c r="AN1929" s="7" t="n">
        <v>2</v>
      </c>
      <c r="AO1929" s="7" t="n">
        <v>2</v>
      </c>
      <c r="AP1929" s="7" t="n">
        <v>0</v>
      </c>
      <c r="AQ1929" s="7" t="n">
        <v>0</v>
      </c>
      <c r="AR1929" s="6" t="s">
        <v>57</v>
      </c>
      <c r="AS1929" s="6" t="s">
        <v>63</v>
      </c>
      <c r="AT1929" s="9" t="str">
        <f aca="false">HYPERLINK("http://catalog.hathitrust.org/Record/001381760","HathiTrust Record")</f>
        <v>HathiTrust Record</v>
      </c>
      <c r="AU1929" s="9" t="str">
        <f aca="false">HYPERLINK("https://creighton-primo.hosted.exlibrisgroup.com/primo-explore/search?tab=default_tab&amp;search_scope=EVERYTHING&amp;vid=01CRU&amp;lang=en_US&amp;offset=0&amp;query=any,contains,991005357359702656","Catalog Record")</f>
        <v>Catalog Record</v>
      </c>
      <c r="AV1929" s="9" t="str">
        <f aca="false">HYPERLINK("http://www.worldcat.org/oclc/942505","WorldCat Record")</f>
        <v>WorldCat Record</v>
      </c>
      <c r="AW1929" s="6" t="s">
        <v>17027</v>
      </c>
      <c r="AX1929" s="6" t="s">
        <v>17028</v>
      </c>
      <c r="AY1929" s="6" t="s">
        <v>17029</v>
      </c>
      <c r="AZ1929" s="6" t="s">
        <v>17029</v>
      </c>
      <c r="BA1929" s="6" t="s">
        <v>17030</v>
      </c>
      <c r="BB1929" s="28"/>
      <c r="BC1929" s="6" t="s">
        <v>17031</v>
      </c>
      <c r="BE1929" s="15" t="s">
        <v>2145</v>
      </c>
      <c r="BF1929" s="6" t="s">
        <v>17032</v>
      </c>
    </row>
    <row r="1930" customFormat="false" ht="117" hidden="false" customHeight="false" outlineLevel="0" collapsed="false">
      <c r="A1930" s="26" t="s">
        <v>63</v>
      </c>
      <c r="B1930" s="27" t="s">
        <v>2129</v>
      </c>
      <c r="C1930" s="27" t="s">
        <v>2130</v>
      </c>
      <c r="D1930" s="27" t="s">
        <v>17033</v>
      </c>
      <c r="E1930" s="27" t="s">
        <v>17034</v>
      </c>
      <c r="F1930" s="27" t="s">
        <v>17035</v>
      </c>
      <c r="G1930" s="28"/>
      <c r="H1930" s="6" t="s">
        <v>63</v>
      </c>
      <c r="I1930" s="6" t="s">
        <v>62</v>
      </c>
      <c r="J1930" s="6" t="s">
        <v>63</v>
      </c>
      <c r="K1930" s="6" t="s">
        <v>63</v>
      </c>
      <c r="L1930" s="6" t="s">
        <v>64</v>
      </c>
      <c r="M1930" s="27" t="s">
        <v>17036</v>
      </c>
      <c r="N1930" s="27" t="s">
        <v>17037</v>
      </c>
      <c r="O1930" s="6" t="s">
        <v>233</v>
      </c>
      <c r="P1930" s="28"/>
      <c r="Q1930" s="6" t="s">
        <v>67</v>
      </c>
      <c r="R1930" s="6" t="s">
        <v>2288</v>
      </c>
      <c r="S1930" s="27" t="s">
        <v>17038</v>
      </c>
      <c r="T1930" s="6" t="s">
        <v>6138</v>
      </c>
      <c r="U1930" s="7" t="n">
        <v>1</v>
      </c>
      <c r="V1930" s="7" t="n">
        <v>1</v>
      </c>
      <c r="W1930" s="8" t="s">
        <v>17039</v>
      </c>
      <c r="X1930" s="8" t="s">
        <v>17039</v>
      </c>
      <c r="Y1930" s="8" t="s">
        <v>10754</v>
      </c>
      <c r="Z1930" s="8" t="s">
        <v>10754</v>
      </c>
      <c r="AA1930" s="7" t="n">
        <v>70</v>
      </c>
      <c r="AB1930" s="7" t="n">
        <v>58</v>
      </c>
      <c r="AC1930" s="7" t="n">
        <v>64</v>
      </c>
      <c r="AD1930" s="7" t="n">
        <v>1</v>
      </c>
      <c r="AE1930" s="7" t="n">
        <v>1</v>
      </c>
      <c r="AF1930" s="7" t="n">
        <v>4</v>
      </c>
      <c r="AG1930" s="7" t="n">
        <v>5</v>
      </c>
      <c r="AH1930" s="7" t="n">
        <v>0</v>
      </c>
      <c r="AI1930" s="7" t="n">
        <v>0</v>
      </c>
      <c r="AJ1930" s="7" t="n">
        <v>2</v>
      </c>
      <c r="AK1930" s="7" t="n">
        <v>3</v>
      </c>
      <c r="AL1930" s="7" t="n">
        <v>3</v>
      </c>
      <c r="AM1930" s="7" t="n">
        <v>4</v>
      </c>
      <c r="AN1930" s="7" t="n">
        <v>0</v>
      </c>
      <c r="AO1930" s="7" t="n">
        <v>0</v>
      </c>
      <c r="AP1930" s="7" t="n">
        <v>0</v>
      </c>
      <c r="AQ1930" s="7" t="n">
        <v>0</v>
      </c>
      <c r="AR1930" s="6" t="s">
        <v>57</v>
      </c>
      <c r="AS1930" s="6" t="s">
        <v>63</v>
      </c>
      <c r="AT1930" s="9" t="str">
        <f aca="false">HYPERLINK("http://catalog.hathitrust.org/Record/101983951","HathiTrust Record")</f>
        <v>HathiTrust Record</v>
      </c>
      <c r="AU1930" s="9" t="str">
        <f aca="false">HYPERLINK("https://creighton-primo.hosted.exlibrisgroup.com/primo-explore/search?tab=default_tab&amp;search_scope=EVERYTHING&amp;vid=01CRU&amp;lang=en_US&amp;offset=0&amp;query=any,contains,991004439049702656","Catalog Record")</f>
        <v>Catalog Record</v>
      </c>
      <c r="AV1930" s="9" t="str">
        <f aca="false">HYPERLINK("http://www.worldcat.org/oclc/3449736","WorldCat Record")</f>
        <v>WorldCat Record</v>
      </c>
      <c r="AW1930" s="6" t="s">
        <v>17040</v>
      </c>
      <c r="AX1930" s="6" t="s">
        <v>17041</v>
      </c>
      <c r="AY1930" s="6" t="s">
        <v>17042</v>
      </c>
      <c r="AZ1930" s="6" t="s">
        <v>17042</v>
      </c>
      <c r="BA1930" s="6" t="s">
        <v>17043</v>
      </c>
      <c r="BB1930" s="28"/>
      <c r="BC1930" s="6" t="s">
        <v>17044</v>
      </c>
      <c r="BE1930" s="15" t="s">
        <v>2145</v>
      </c>
      <c r="BF1930" s="6" t="s">
        <v>17045</v>
      </c>
    </row>
    <row r="1931" customFormat="false" ht="94" hidden="false" customHeight="false" outlineLevel="0" collapsed="false">
      <c r="A1931" s="26" t="s">
        <v>63</v>
      </c>
      <c r="B1931" s="27" t="s">
        <v>2129</v>
      </c>
      <c r="C1931" s="27" t="s">
        <v>2130</v>
      </c>
      <c r="D1931" s="27" t="s">
        <v>17046</v>
      </c>
      <c r="E1931" s="27" t="s">
        <v>17047</v>
      </c>
      <c r="F1931" s="27" t="s">
        <v>17048</v>
      </c>
      <c r="G1931" s="28"/>
      <c r="H1931" s="6" t="s">
        <v>63</v>
      </c>
      <c r="I1931" s="6" t="s">
        <v>62</v>
      </c>
      <c r="J1931" s="6" t="s">
        <v>63</v>
      </c>
      <c r="K1931" s="6" t="s">
        <v>63</v>
      </c>
      <c r="L1931" s="6" t="s">
        <v>64</v>
      </c>
      <c r="M1931" s="27" t="s">
        <v>17049</v>
      </c>
      <c r="N1931" s="27" t="s">
        <v>17050</v>
      </c>
      <c r="O1931" s="6" t="s">
        <v>2426</v>
      </c>
      <c r="P1931" s="28"/>
      <c r="Q1931" s="6" t="s">
        <v>67</v>
      </c>
      <c r="R1931" s="6" t="s">
        <v>4707</v>
      </c>
      <c r="S1931" s="27" t="s">
        <v>17051</v>
      </c>
      <c r="T1931" s="6" t="s">
        <v>6138</v>
      </c>
      <c r="U1931" s="7" t="n">
        <v>0</v>
      </c>
      <c r="V1931" s="7" t="n">
        <v>0</v>
      </c>
      <c r="W1931" s="8" t="s">
        <v>17052</v>
      </c>
      <c r="X1931" s="8" t="s">
        <v>17052</v>
      </c>
      <c r="Y1931" s="8" t="s">
        <v>17053</v>
      </c>
      <c r="Z1931" s="8" t="s">
        <v>17053</v>
      </c>
      <c r="AA1931" s="7" t="n">
        <v>320</v>
      </c>
      <c r="AB1931" s="7" t="n">
        <v>274</v>
      </c>
      <c r="AC1931" s="7" t="n">
        <v>457</v>
      </c>
      <c r="AD1931" s="7" t="n">
        <v>2</v>
      </c>
      <c r="AE1931" s="7" t="n">
        <v>2</v>
      </c>
      <c r="AF1931" s="7" t="n">
        <v>30</v>
      </c>
      <c r="AG1931" s="7" t="n">
        <v>31</v>
      </c>
      <c r="AH1931" s="7" t="n">
        <v>10</v>
      </c>
      <c r="AI1931" s="7" t="n">
        <v>10</v>
      </c>
      <c r="AJ1931" s="7" t="n">
        <v>7</v>
      </c>
      <c r="AK1931" s="7" t="n">
        <v>8</v>
      </c>
      <c r="AL1931" s="7" t="n">
        <v>23</v>
      </c>
      <c r="AM1931" s="7" t="n">
        <v>24</v>
      </c>
      <c r="AN1931" s="7" t="n">
        <v>1</v>
      </c>
      <c r="AO1931" s="7" t="n">
        <v>1</v>
      </c>
      <c r="AP1931" s="7" t="n">
        <v>0</v>
      </c>
      <c r="AQ1931" s="7" t="n">
        <v>0</v>
      </c>
      <c r="AR1931" s="6" t="s">
        <v>63</v>
      </c>
      <c r="AS1931" s="6" t="s">
        <v>57</v>
      </c>
      <c r="AT1931" s="9" t="str">
        <f aca="false">HYPERLINK("http://catalog.hathitrust.org/Record/001381769","HathiTrust Record")</f>
        <v>HathiTrust Record</v>
      </c>
      <c r="AU1931" s="9" t="str">
        <f aca="false">HYPERLINK("https://creighton-primo.hosted.exlibrisgroup.com/primo-explore/search?tab=default_tab&amp;search_scope=EVERYTHING&amp;vid=01CRU&amp;lang=en_US&amp;offset=0&amp;query=any,contains,991003419849702656","Catalog Record")</f>
        <v>Catalog Record</v>
      </c>
      <c r="AV1931" s="9" t="str">
        <f aca="false">HYPERLINK("http://www.worldcat.org/oclc/960368","WorldCat Record")</f>
        <v>WorldCat Record</v>
      </c>
      <c r="AW1931" s="6" t="s">
        <v>17054</v>
      </c>
      <c r="AX1931" s="6" t="s">
        <v>17055</v>
      </c>
      <c r="AY1931" s="6" t="s">
        <v>17056</v>
      </c>
      <c r="AZ1931" s="6" t="s">
        <v>17056</v>
      </c>
      <c r="BA1931" s="6" t="s">
        <v>17057</v>
      </c>
      <c r="BB1931" s="6" t="s">
        <v>17058</v>
      </c>
      <c r="BC1931" s="6" t="s">
        <v>17059</v>
      </c>
      <c r="BE1931" s="15" t="s">
        <v>2145</v>
      </c>
      <c r="BF1931" s="6" t="s">
        <v>17060</v>
      </c>
    </row>
    <row r="1932" customFormat="false" ht="117" hidden="false" customHeight="false" outlineLevel="0" collapsed="false">
      <c r="A1932" s="26" t="s">
        <v>63</v>
      </c>
      <c r="B1932" s="27" t="s">
        <v>2129</v>
      </c>
      <c r="C1932" s="27" t="s">
        <v>2130</v>
      </c>
      <c r="D1932" s="27" t="s">
        <v>17061</v>
      </c>
      <c r="E1932" s="27" t="s">
        <v>17062</v>
      </c>
      <c r="F1932" s="27" t="s">
        <v>17063</v>
      </c>
      <c r="G1932" s="28"/>
      <c r="H1932" s="6" t="s">
        <v>63</v>
      </c>
      <c r="I1932" s="6" t="s">
        <v>62</v>
      </c>
      <c r="J1932" s="6" t="s">
        <v>63</v>
      </c>
      <c r="K1932" s="6" t="s">
        <v>63</v>
      </c>
      <c r="L1932" s="6" t="s">
        <v>64</v>
      </c>
      <c r="M1932" s="27" t="s">
        <v>17064</v>
      </c>
      <c r="N1932" s="27" t="s">
        <v>4459</v>
      </c>
      <c r="O1932" s="6" t="s">
        <v>122</v>
      </c>
      <c r="P1932" s="28"/>
      <c r="Q1932" s="6" t="s">
        <v>67</v>
      </c>
      <c r="R1932" s="6" t="s">
        <v>802</v>
      </c>
      <c r="S1932" s="28"/>
      <c r="T1932" s="6" t="s">
        <v>6138</v>
      </c>
      <c r="U1932" s="7" t="n">
        <v>3</v>
      </c>
      <c r="V1932" s="7" t="n">
        <v>3</v>
      </c>
      <c r="W1932" s="8" t="s">
        <v>17065</v>
      </c>
      <c r="X1932" s="8" t="s">
        <v>17065</v>
      </c>
      <c r="Y1932" s="8" t="s">
        <v>17053</v>
      </c>
      <c r="Z1932" s="8" t="s">
        <v>17053</v>
      </c>
      <c r="AA1932" s="7" t="n">
        <v>349</v>
      </c>
      <c r="AB1932" s="7" t="n">
        <v>261</v>
      </c>
      <c r="AC1932" s="7" t="n">
        <v>278</v>
      </c>
      <c r="AD1932" s="7" t="n">
        <v>2</v>
      </c>
      <c r="AE1932" s="7" t="n">
        <v>2</v>
      </c>
      <c r="AF1932" s="7" t="n">
        <v>28</v>
      </c>
      <c r="AG1932" s="7" t="n">
        <v>28</v>
      </c>
      <c r="AH1932" s="7" t="n">
        <v>8</v>
      </c>
      <c r="AI1932" s="7" t="n">
        <v>8</v>
      </c>
      <c r="AJ1932" s="7" t="n">
        <v>9</v>
      </c>
      <c r="AK1932" s="7" t="n">
        <v>9</v>
      </c>
      <c r="AL1932" s="7" t="n">
        <v>21</v>
      </c>
      <c r="AM1932" s="7" t="n">
        <v>21</v>
      </c>
      <c r="AN1932" s="7" t="n">
        <v>1</v>
      </c>
      <c r="AO1932" s="7" t="n">
        <v>1</v>
      </c>
      <c r="AP1932" s="7" t="n">
        <v>0</v>
      </c>
      <c r="AQ1932" s="7" t="n">
        <v>0</v>
      </c>
      <c r="AR1932" s="6" t="s">
        <v>63</v>
      </c>
      <c r="AS1932" s="6" t="s">
        <v>57</v>
      </c>
      <c r="AT1932" s="9" t="str">
        <f aca="false">HYPERLINK("http://catalog.hathitrust.org/Record/001381772","HathiTrust Record")</f>
        <v>HathiTrust Record</v>
      </c>
      <c r="AU1932" s="9" t="str">
        <f aca="false">HYPERLINK("https://creighton-primo.hosted.exlibrisgroup.com/primo-explore/search?tab=default_tab&amp;search_scope=EVERYTHING&amp;vid=01CRU&amp;lang=en_US&amp;offset=0&amp;query=any,contains,991002420649702656","Catalog Record")</f>
        <v>Catalog Record</v>
      </c>
      <c r="AV1932" s="9" t="str">
        <f aca="false">HYPERLINK("http://www.worldcat.org/oclc/342675","WorldCat Record")</f>
        <v>WorldCat Record</v>
      </c>
      <c r="AW1932" s="6" t="s">
        <v>17066</v>
      </c>
      <c r="AX1932" s="6" t="s">
        <v>17067</v>
      </c>
      <c r="AY1932" s="6" t="s">
        <v>17068</v>
      </c>
      <c r="AZ1932" s="6" t="s">
        <v>17068</v>
      </c>
      <c r="BA1932" s="6" t="s">
        <v>17069</v>
      </c>
      <c r="BB1932" s="28"/>
      <c r="BC1932" s="6" t="s">
        <v>17070</v>
      </c>
      <c r="BE1932" s="15" t="s">
        <v>2145</v>
      </c>
      <c r="BF1932" s="6" t="s">
        <v>17071</v>
      </c>
    </row>
    <row r="1933" customFormat="false" ht="117" hidden="false" customHeight="false" outlineLevel="0" collapsed="false">
      <c r="A1933" s="26" t="s">
        <v>63</v>
      </c>
      <c r="B1933" s="27" t="s">
        <v>2129</v>
      </c>
      <c r="C1933" s="27" t="s">
        <v>2130</v>
      </c>
      <c r="D1933" s="27" t="s">
        <v>17072</v>
      </c>
      <c r="E1933" s="27" t="s">
        <v>17073</v>
      </c>
      <c r="F1933" s="27" t="s">
        <v>17074</v>
      </c>
      <c r="G1933" s="6" t="s">
        <v>517</v>
      </c>
      <c r="H1933" s="6" t="s">
        <v>63</v>
      </c>
      <c r="I1933" s="6" t="s">
        <v>62</v>
      </c>
      <c r="J1933" s="6" t="s">
        <v>63</v>
      </c>
      <c r="K1933" s="6" t="s">
        <v>63</v>
      </c>
      <c r="L1933" s="6" t="s">
        <v>64</v>
      </c>
      <c r="M1933" s="28"/>
      <c r="N1933" s="27" t="s">
        <v>17075</v>
      </c>
      <c r="O1933" s="6" t="s">
        <v>152</v>
      </c>
      <c r="P1933" s="28"/>
      <c r="Q1933" s="6" t="s">
        <v>67</v>
      </c>
      <c r="R1933" s="6" t="s">
        <v>6745</v>
      </c>
      <c r="S1933" s="28"/>
      <c r="T1933" s="6" t="s">
        <v>6138</v>
      </c>
      <c r="U1933" s="7" t="n">
        <v>2</v>
      </c>
      <c r="V1933" s="7" t="n">
        <v>2</v>
      </c>
      <c r="W1933" s="8" t="s">
        <v>17076</v>
      </c>
      <c r="X1933" s="8" t="s">
        <v>17076</v>
      </c>
      <c r="Y1933" s="8" t="s">
        <v>17077</v>
      </c>
      <c r="Z1933" s="8" t="s">
        <v>17077</v>
      </c>
      <c r="AA1933" s="7" t="n">
        <v>101</v>
      </c>
      <c r="AB1933" s="7" t="n">
        <v>85</v>
      </c>
      <c r="AC1933" s="7" t="n">
        <v>87</v>
      </c>
      <c r="AD1933" s="7" t="n">
        <v>1</v>
      </c>
      <c r="AE1933" s="7" t="n">
        <v>1</v>
      </c>
      <c r="AF1933" s="7" t="n">
        <v>8</v>
      </c>
      <c r="AG1933" s="7" t="n">
        <v>8</v>
      </c>
      <c r="AH1933" s="7" t="n">
        <v>2</v>
      </c>
      <c r="AI1933" s="7" t="n">
        <v>2</v>
      </c>
      <c r="AJ1933" s="7" t="n">
        <v>2</v>
      </c>
      <c r="AK1933" s="7" t="n">
        <v>2</v>
      </c>
      <c r="AL1933" s="7" t="n">
        <v>5</v>
      </c>
      <c r="AM1933" s="7" t="n">
        <v>5</v>
      </c>
      <c r="AN1933" s="7" t="n">
        <v>0</v>
      </c>
      <c r="AO1933" s="7" t="n">
        <v>0</v>
      </c>
      <c r="AP1933" s="7" t="n">
        <v>0</v>
      </c>
      <c r="AQ1933" s="7" t="n">
        <v>0</v>
      </c>
      <c r="AR1933" s="6" t="s">
        <v>63</v>
      </c>
      <c r="AS1933" s="6" t="s">
        <v>63</v>
      </c>
      <c r="AT1933" s="28"/>
      <c r="AU1933" s="9" t="str">
        <f aca="false">HYPERLINK("https://creighton-primo.hosted.exlibrisgroup.com/primo-explore/search?tab=default_tab&amp;search_scope=EVERYTHING&amp;vid=01CRU&amp;lang=en_US&amp;offset=0&amp;query=any,contains,991003177549702656","Catalog Record")</f>
        <v>Catalog Record</v>
      </c>
      <c r="AV1933" s="9" t="str">
        <f aca="false">HYPERLINK("http://www.worldcat.org/oclc/14375753","WorldCat Record")</f>
        <v>WorldCat Record</v>
      </c>
      <c r="AW1933" s="6" t="s">
        <v>17078</v>
      </c>
      <c r="AX1933" s="6" t="s">
        <v>17079</v>
      </c>
      <c r="AY1933" s="6" t="s">
        <v>17080</v>
      </c>
      <c r="AZ1933" s="6" t="s">
        <v>17080</v>
      </c>
      <c r="BA1933" s="6" t="s">
        <v>17081</v>
      </c>
      <c r="BB1933" s="6" t="s">
        <v>17082</v>
      </c>
      <c r="BC1933" s="6" t="s">
        <v>17083</v>
      </c>
      <c r="BE1933" s="15" t="s">
        <v>2145</v>
      </c>
      <c r="BF1933" s="6" t="s">
        <v>17084</v>
      </c>
    </row>
    <row r="1934" customFormat="false" ht="117" hidden="false" customHeight="false" outlineLevel="0" collapsed="false">
      <c r="A1934" s="26" t="s">
        <v>63</v>
      </c>
      <c r="B1934" s="27" t="s">
        <v>2129</v>
      </c>
      <c r="C1934" s="27" t="s">
        <v>2130</v>
      </c>
      <c r="D1934" s="27" t="s">
        <v>17085</v>
      </c>
      <c r="E1934" s="27" t="s">
        <v>17086</v>
      </c>
      <c r="F1934" s="27" t="s">
        <v>17087</v>
      </c>
      <c r="G1934" s="6" t="s">
        <v>1586</v>
      </c>
      <c r="H1934" s="6" t="s">
        <v>63</v>
      </c>
      <c r="I1934" s="6" t="s">
        <v>62</v>
      </c>
      <c r="J1934" s="6" t="s">
        <v>63</v>
      </c>
      <c r="K1934" s="6" t="s">
        <v>63</v>
      </c>
      <c r="L1934" s="6" t="s">
        <v>64</v>
      </c>
      <c r="M1934" s="28"/>
      <c r="N1934" s="27" t="s">
        <v>17088</v>
      </c>
      <c r="O1934" s="6" t="s">
        <v>2262</v>
      </c>
      <c r="P1934" s="28"/>
      <c r="Q1934" s="6" t="s">
        <v>67</v>
      </c>
      <c r="R1934" s="6" t="s">
        <v>6745</v>
      </c>
      <c r="S1934" s="28"/>
      <c r="T1934" s="6" t="s">
        <v>6138</v>
      </c>
      <c r="U1934" s="7" t="n">
        <v>1</v>
      </c>
      <c r="V1934" s="7" t="n">
        <v>1</v>
      </c>
      <c r="W1934" s="8" t="s">
        <v>15811</v>
      </c>
      <c r="X1934" s="8" t="s">
        <v>15811</v>
      </c>
      <c r="Y1934" s="8" t="s">
        <v>17077</v>
      </c>
      <c r="Z1934" s="8" t="s">
        <v>17077</v>
      </c>
      <c r="AA1934" s="7" t="n">
        <v>55</v>
      </c>
      <c r="AB1934" s="7" t="n">
        <v>49</v>
      </c>
      <c r="AC1934" s="7" t="n">
        <v>59</v>
      </c>
      <c r="AD1934" s="7" t="n">
        <v>0</v>
      </c>
      <c r="AE1934" s="7" t="n">
        <v>0</v>
      </c>
      <c r="AF1934" s="7" t="n">
        <v>5</v>
      </c>
      <c r="AG1934" s="7" t="n">
        <v>5</v>
      </c>
      <c r="AH1934" s="7" t="n">
        <v>3</v>
      </c>
      <c r="AI1934" s="7" t="n">
        <v>3</v>
      </c>
      <c r="AJ1934" s="7" t="n">
        <v>0</v>
      </c>
      <c r="AK1934" s="7" t="n">
        <v>0</v>
      </c>
      <c r="AL1934" s="7" t="n">
        <v>3</v>
      </c>
      <c r="AM1934" s="7" t="n">
        <v>3</v>
      </c>
      <c r="AN1934" s="7" t="n">
        <v>0</v>
      </c>
      <c r="AO1934" s="7" t="n">
        <v>0</v>
      </c>
      <c r="AP1934" s="7" t="n">
        <v>1</v>
      </c>
      <c r="AQ1934" s="7" t="n">
        <v>1</v>
      </c>
      <c r="AR1934" s="6" t="s">
        <v>63</v>
      </c>
      <c r="AS1934" s="6" t="s">
        <v>63</v>
      </c>
      <c r="AT1934" s="28"/>
      <c r="AU1934" s="9" t="str">
        <f aca="false">HYPERLINK("https://creighton-primo.hosted.exlibrisgroup.com/primo-explore/search?tab=default_tab&amp;search_scope=EVERYTHING&amp;vid=01CRU&amp;lang=en_US&amp;offset=0&amp;query=any,contains,991003177579702656","Catalog Record")</f>
        <v>Catalog Record</v>
      </c>
      <c r="AV1934" s="9" t="str">
        <f aca="false">HYPERLINK("http://www.worldcat.org/oclc/14375839","WorldCat Record")</f>
        <v>WorldCat Record</v>
      </c>
      <c r="AW1934" s="6" t="s">
        <v>17089</v>
      </c>
      <c r="AX1934" s="6" t="s">
        <v>17090</v>
      </c>
      <c r="AY1934" s="6" t="s">
        <v>17091</v>
      </c>
      <c r="AZ1934" s="6" t="s">
        <v>17091</v>
      </c>
      <c r="BA1934" s="6" t="s">
        <v>17092</v>
      </c>
      <c r="BB1934" s="6" t="s">
        <v>17093</v>
      </c>
      <c r="BC1934" s="6" t="s">
        <v>17094</v>
      </c>
      <c r="BE1934" s="15" t="s">
        <v>2145</v>
      </c>
      <c r="BF1934" s="6" t="s">
        <v>17095</v>
      </c>
    </row>
    <row r="1935" customFormat="false" ht="140" hidden="false" customHeight="false" outlineLevel="0" collapsed="false">
      <c r="A1935" s="26" t="s">
        <v>63</v>
      </c>
      <c r="B1935" s="27" t="s">
        <v>2129</v>
      </c>
      <c r="C1935" s="27" t="s">
        <v>2130</v>
      </c>
      <c r="D1935" s="27" t="s">
        <v>17096</v>
      </c>
      <c r="E1935" s="27" t="s">
        <v>17097</v>
      </c>
      <c r="F1935" s="27" t="s">
        <v>17098</v>
      </c>
      <c r="G1935" s="6" t="s">
        <v>502</v>
      </c>
      <c r="H1935" s="6" t="s">
        <v>57</v>
      </c>
      <c r="I1935" s="6" t="s">
        <v>62</v>
      </c>
      <c r="J1935" s="6" t="s">
        <v>63</v>
      </c>
      <c r="K1935" s="6" t="s">
        <v>63</v>
      </c>
      <c r="L1935" s="6" t="s">
        <v>64</v>
      </c>
      <c r="M1935" s="27" t="s">
        <v>17099</v>
      </c>
      <c r="N1935" s="27" t="s">
        <v>17100</v>
      </c>
      <c r="O1935" s="6" t="s">
        <v>17101</v>
      </c>
      <c r="P1935" s="28"/>
      <c r="Q1935" s="6" t="s">
        <v>67</v>
      </c>
      <c r="R1935" s="6" t="s">
        <v>123</v>
      </c>
      <c r="S1935" s="28"/>
      <c r="T1935" s="6" t="s">
        <v>6138</v>
      </c>
      <c r="U1935" s="7" t="n">
        <v>1</v>
      </c>
      <c r="V1935" s="7" t="n">
        <v>6</v>
      </c>
      <c r="W1935" s="8" t="s">
        <v>17102</v>
      </c>
      <c r="X1935" s="8" t="s">
        <v>17103</v>
      </c>
      <c r="Y1935" s="8" t="s">
        <v>17053</v>
      </c>
      <c r="Z1935" s="8" t="s">
        <v>17053</v>
      </c>
      <c r="AA1935" s="7" t="n">
        <v>95</v>
      </c>
      <c r="AB1935" s="7" t="n">
        <v>70</v>
      </c>
      <c r="AC1935" s="7" t="n">
        <v>83</v>
      </c>
      <c r="AD1935" s="7" t="n">
        <v>2</v>
      </c>
      <c r="AE1935" s="7" t="n">
        <v>2</v>
      </c>
      <c r="AF1935" s="7" t="n">
        <v>11</v>
      </c>
      <c r="AG1935" s="7" t="n">
        <v>13</v>
      </c>
      <c r="AH1935" s="7" t="n">
        <v>3</v>
      </c>
      <c r="AI1935" s="7" t="n">
        <v>3</v>
      </c>
      <c r="AJ1935" s="7" t="n">
        <v>2</v>
      </c>
      <c r="AK1935" s="7" t="n">
        <v>4</v>
      </c>
      <c r="AL1935" s="7" t="n">
        <v>7</v>
      </c>
      <c r="AM1935" s="7" t="n">
        <v>8</v>
      </c>
      <c r="AN1935" s="7" t="n">
        <v>1</v>
      </c>
      <c r="AO1935" s="7" t="n">
        <v>1</v>
      </c>
      <c r="AP1935" s="7" t="n">
        <v>0</v>
      </c>
      <c r="AQ1935" s="7" t="n">
        <v>0</v>
      </c>
      <c r="AR1935" s="6" t="s">
        <v>57</v>
      </c>
      <c r="AS1935" s="6" t="s">
        <v>63</v>
      </c>
      <c r="AT1935" s="9" t="str">
        <f aca="false">HYPERLINK("http://catalog.hathitrust.org/Record/006569989","HathiTrust Record")</f>
        <v>HathiTrust Record</v>
      </c>
      <c r="AU1935" s="9" t="str">
        <f aca="false">HYPERLINK("https://creighton-primo.hosted.exlibrisgroup.com/primo-explore/search?tab=default_tab&amp;search_scope=EVERYTHING&amp;vid=01CRU&amp;lang=en_US&amp;offset=0&amp;query=any,contains,991004410059702656","Catalog Record")</f>
        <v>Catalog Record</v>
      </c>
      <c r="AV1935" s="9" t="str">
        <f aca="false">HYPERLINK("http://www.worldcat.org/oclc/3335828","WorldCat Record")</f>
        <v>WorldCat Record</v>
      </c>
      <c r="AW1935" s="6" t="s">
        <v>17104</v>
      </c>
      <c r="AX1935" s="6" t="s">
        <v>17105</v>
      </c>
      <c r="AY1935" s="6" t="s">
        <v>17106</v>
      </c>
      <c r="AZ1935" s="6" t="s">
        <v>17106</v>
      </c>
      <c r="BA1935" s="6" t="s">
        <v>17107</v>
      </c>
      <c r="BB1935" s="28"/>
      <c r="BC1935" s="6" t="s">
        <v>17108</v>
      </c>
      <c r="BE1935" s="15" t="s">
        <v>2145</v>
      </c>
      <c r="BF1935" s="6" t="s">
        <v>17109</v>
      </c>
    </row>
    <row r="1936" customFormat="false" ht="140" hidden="false" customHeight="false" outlineLevel="0" collapsed="false">
      <c r="A1936" s="26" t="s">
        <v>63</v>
      </c>
      <c r="B1936" s="27" t="s">
        <v>2129</v>
      </c>
      <c r="C1936" s="27" t="s">
        <v>2130</v>
      </c>
      <c r="D1936" s="27" t="s">
        <v>17096</v>
      </c>
      <c r="E1936" s="27" t="s">
        <v>17097</v>
      </c>
      <c r="F1936" s="27" t="s">
        <v>17098</v>
      </c>
      <c r="G1936" s="6" t="s">
        <v>498</v>
      </c>
      <c r="H1936" s="6" t="s">
        <v>57</v>
      </c>
      <c r="I1936" s="6" t="s">
        <v>62</v>
      </c>
      <c r="J1936" s="6" t="s">
        <v>63</v>
      </c>
      <c r="K1936" s="6" t="s">
        <v>63</v>
      </c>
      <c r="L1936" s="6" t="s">
        <v>64</v>
      </c>
      <c r="M1936" s="27" t="s">
        <v>17099</v>
      </c>
      <c r="N1936" s="27" t="s">
        <v>17100</v>
      </c>
      <c r="O1936" s="6" t="s">
        <v>17101</v>
      </c>
      <c r="P1936" s="28"/>
      <c r="Q1936" s="6" t="s">
        <v>67</v>
      </c>
      <c r="R1936" s="6" t="s">
        <v>123</v>
      </c>
      <c r="S1936" s="28"/>
      <c r="T1936" s="6" t="s">
        <v>6138</v>
      </c>
      <c r="U1936" s="7" t="n">
        <v>5</v>
      </c>
      <c r="V1936" s="7" t="n">
        <v>6</v>
      </c>
      <c r="W1936" s="8" t="s">
        <v>17103</v>
      </c>
      <c r="X1936" s="8" t="s">
        <v>17103</v>
      </c>
      <c r="Y1936" s="8" t="s">
        <v>17053</v>
      </c>
      <c r="Z1936" s="8" t="s">
        <v>17053</v>
      </c>
      <c r="AA1936" s="7" t="n">
        <v>95</v>
      </c>
      <c r="AB1936" s="7" t="n">
        <v>70</v>
      </c>
      <c r="AC1936" s="7" t="n">
        <v>83</v>
      </c>
      <c r="AD1936" s="7" t="n">
        <v>2</v>
      </c>
      <c r="AE1936" s="7" t="n">
        <v>2</v>
      </c>
      <c r="AF1936" s="7" t="n">
        <v>11</v>
      </c>
      <c r="AG1936" s="7" t="n">
        <v>13</v>
      </c>
      <c r="AH1936" s="7" t="n">
        <v>3</v>
      </c>
      <c r="AI1936" s="7" t="n">
        <v>3</v>
      </c>
      <c r="AJ1936" s="7" t="n">
        <v>2</v>
      </c>
      <c r="AK1936" s="7" t="n">
        <v>4</v>
      </c>
      <c r="AL1936" s="7" t="n">
        <v>7</v>
      </c>
      <c r="AM1936" s="7" t="n">
        <v>8</v>
      </c>
      <c r="AN1936" s="7" t="n">
        <v>1</v>
      </c>
      <c r="AO1936" s="7" t="n">
        <v>1</v>
      </c>
      <c r="AP1936" s="7" t="n">
        <v>0</v>
      </c>
      <c r="AQ1936" s="7" t="n">
        <v>0</v>
      </c>
      <c r="AR1936" s="6" t="s">
        <v>57</v>
      </c>
      <c r="AS1936" s="6" t="s">
        <v>63</v>
      </c>
      <c r="AT1936" s="9" t="str">
        <f aca="false">HYPERLINK("http://catalog.hathitrust.org/Record/006569989","HathiTrust Record")</f>
        <v>HathiTrust Record</v>
      </c>
      <c r="AU1936" s="9" t="str">
        <f aca="false">HYPERLINK("https://creighton-primo.hosted.exlibrisgroup.com/primo-explore/search?tab=default_tab&amp;search_scope=EVERYTHING&amp;vid=01CRU&amp;lang=en_US&amp;offset=0&amp;query=any,contains,991004410059702656","Catalog Record")</f>
        <v>Catalog Record</v>
      </c>
      <c r="AV1936" s="9" t="str">
        <f aca="false">HYPERLINK("http://www.worldcat.org/oclc/3335828","WorldCat Record")</f>
        <v>WorldCat Record</v>
      </c>
      <c r="AW1936" s="6" t="s">
        <v>17104</v>
      </c>
      <c r="AX1936" s="6" t="s">
        <v>17105</v>
      </c>
      <c r="AY1936" s="6" t="s">
        <v>17106</v>
      </c>
      <c r="AZ1936" s="6" t="s">
        <v>17106</v>
      </c>
      <c r="BA1936" s="6" t="s">
        <v>17107</v>
      </c>
      <c r="BB1936" s="28"/>
      <c r="BC1936" s="6" t="s">
        <v>17110</v>
      </c>
      <c r="BE1936" s="15" t="s">
        <v>2145</v>
      </c>
      <c r="BF1936" s="6" t="s">
        <v>17111</v>
      </c>
    </row>
    <row r="1937" customFormat="false" ht="105.5" hidden="false" customHeight="false" outlineLevel="0" collapsed="false">
      <c r="A1937" s="26" t="s">
        <v>63</v>
      </c>
      <c r="B1937" s="27" t="s">
        <v>2129</v>
      </c>
      <c r="C1937" s="27" t="s">
        <v>2130</v>
      </c>
      <c r="D1937" s="27" t="s">
        <v>17112</v>
      </c>
      <c r="E1937" s="27" t="s">
        <v>17113</v>
      </c>
      <c r="F1937" s="27" t="s">
        <v>17114</v>
      </c>
      <c r="G1937" s="28"/>
      <c r="H1937" s="6" t="s">
        <v>63</v>
      </c>
      <c r="I1937" s="6" t="s">
        <v>62</v>
      </c>
      <c r="J1937" s="6" t="s">
        <v>63</v>
      </c>
      <c r="K1937" s="6" t="s">
        <v>63</v>
      </c>
      <c r="L1937" s="6" t="s">
        <v>64</v>
      </c>
      <c r="M1937" s="27" t="s">
        <v>17115</v>
      </c>
      <c r="N1937" s="27" t="s">
        <v>17116</v>
      </c>
      <c r="O1937" s="6" t="s">
        <v>3513</v>
      </c>
      <c r="P1937" s="28"/>
      <c r="Q1937" s="6" t="s">
        <v>67</v>
      </c>
      <c r="R1937" s="6" t="s">
        <v>68</v>
      </c>
      <c r="S1937" s="27" t="s">
        <v>17117</v>
      </c>
      <c r="T1937" s="6" t="s">
        <v>6138</v>
      </c>
      <c r="U1937" s="7" t="n">
        <v>2</v>
      </c>
      <c r="V1937" s="7" t="n">
        <v>2</v>
      </c>
      <c r="W1937" s="8" t="s">
        <v>16492</v>
      </c>
      <c r="X1937" s="8" t="s">
        <v>16492</v>
      </c>
      <c r="Y1937" s="8" t="s">
        <v>17053</v>
      </c>
      <c r="Z1937" s="8" t="s">
        <v>17053</v>
      </c>
      <c r="AA1937" s="7" t="n">
        <v>180</v>
      </c>
      <c r="AB1937" s="7" t="n">
        <v>161</v>
      </c>
      <c r="AC1937" s="7" t="n">
        <v>179</v>
      </c>
      <c r="AD1937" s="7" t="n">
        <v>2</v>
      </c>
      <c r="AE1937" s="7" t="n">
        <v>2</v>
      </c>
      <c r="AF1937" s="7" t="n">
        <v>18</v>
      </c>
      <c r="AG1937" s="7" t="n">
        <v>19</v>
      </c>
      <c r="AH1937" s="7" t="n">
        <v>4</v>
      </c>
      <c r="AI1937" s="7" t="n">
        <v>4</v>
      </c>
      <c r="AJ1937" s="7" t="n">
        <v>7</v>
      </c>
      <c r="AK1937" s="7" t="n">
        <v>8</v>
      </c>
      <c r="AL1937" s="7" t="n">
        <v>13</v>
      </c>
      <c r="AM1937" s="7" t="n">
        <v>13</v>
      </c>
      <c r="AN1937" s="7" t="n">
        <v>1</v>
      </c>
      <c r="AO1937" s="7" t="n">
        <v>1</v>
      </c>
      <c r="AP1937" s="7" t="n">
        <v>0</v>
      </c>
      <c r="AQ1937" s="7" t="n">
        <v>0</v>
      </c>
      <c r="AR1937" s="6" t="s">
        <v>63</v>
      </c>
      <c r="AS1937" s="6" t="s">
        <v>57</v>
      </c>
      <c r="AT1937" s="9" t="str">
        <f aca="false">HYPERLINK("http://catalog.hathitrust.org/Record/001642155","HathiTrust Record")</f>
        <v>HathiTrust Record</v>
      </c>
      <c r="AU1937" s="9" t="str">
        <f aca="false">HYPERLINK("https://creighton-primo.hosted.exlibrisgroup.com/primo-explore/search?tab=default_tab&amp;search_scope=EVERYTHING&amp;vid=01CRU&amp;lang=en_US&amp;offset=0&amp;query=any,contains,991004322249702656","Catalog Record")</f>
        <v>Catalog Record</v>
      </c>
      <c r="AV1937" s="9" t="str">
        <f aca="false">HYPERLINK("http://www.worldcat.org/oclc/3020910","WorldCat Record")</f>
        <v>WorldCat Record</v>
      </c>
      <c r="AW1937" s="6" t="s">
        <v>17118</v>
      </c>
      <c r="AX1937" s="6" t="s">
        <v>17119</v>
      </c>
      <c r="AY1937" s="6" t="s">
        <v>17120</v>
      </c>
      <c r="AZ1937" s="6" t="s">
        <v>17120</v>
      </c>
      <c r="BA1937" s="6" t="s">
        <v>17121</v>
      </c>
      <c r="BB1937" s="28"/>
      <c r="BC1937" s="6" t="s">
        <v>17122</v>
      </c>
      <c r="BE1937" s="15" t="s">
        <v>2145</v>
      </c>
      <c r="BF1937" s="6" t="s">
        <v>17123</v>
      </c>
    </row>
    <row r="1938" customFormat="false" ht="82.5" hidden="false" customHeight="false" outlineLevel="0" collapsed="false">
      <c r="A1938" s="26" t="s">
        <v>63</v>
      </c>
      <c r="B1938" s="27" t="s">
        <v>2129</v>
      </c>
      <c r="C1938" s="27" t="s">
        <v>2130</v>
      </c>
      <c r="D1938" s="27" t="s">
        <v>17124</v>
      </c>
      <c r="E1938" s="27" t="s">
        <v>17125</v>
      </c>
      <c r="F1938" s="27" t="s">
        <v>17126</v>
      </c>
      <c r="G1938" s="28"/>
      <c r="H1938" s="6" t="s">
        <v>63</v>
      </c>
      <c r="I1938" s="6" t="s">
        <v>62</v>
      </c>
      <c r="J1938" s="6" t="s">
        <v>63</v>
      </c>
      <c r="K1938" s="6" t="s">
        <v>63</v>
      </c>
      <c r="L1938" s="6" t="s">
        <v>64</v>
      </c>
      <c r="M1938" s="27" t="s">
        <v>17127</v>
      </c>
      <c r="N1938" s="27" t="s">
        <v>17128</v>
      </c>
      <c r="O1938" s="6" t="s">
        <v>195</v>
      </c>
      <c r="P1938" s="28"/>
      <c r="Q1938" s="6" t="s">
        <v>67</v>
      </c>
      <c r="R1938" s="6" t="s">
        <v>1059</v>
      </c>
      <c r="S1938" s="28"/>
      <c r="T1938" s="6" t="s">
        <v>6138</v>
      </c>
      <c r="U1938" s="7" t="n">
        <v>3</v>
      </c>
      <c r="V1938" s="7" t="n">
        <v>3</v>
      </c>
      <c r="W1938" s="8" t="s">
        <v>17129</v>
      </c>
      <c r="X1938" s="8" t="s">
        <v>17129</v>
      </c>
      <c r="Y1938" s="8" t="s">
        <v>16493</v>
      </c>
      <c r="Z1938" s="8" t="s">
        <v>16493</v>
      </c>
      <c r="AA1938" s="7" t="n">
        <v>462</v>
      </c>
      <c r="AB1938" s="7" t="n">
        <v>354</v>
      </c>
      <c r="AC1938" s="7" t="n">
        <v>759</v>
      </c>
      <c r="AD1938" s="7" t="n">
        <v>4</v>
      </c>
      <c r="AE1938" s="7" t="n">
        <v>6</v>
      </c>
      <c r="AF1938" s="7" t="n">
        <v>21</v>
      </c>
      <c r="AG1938" s="7" t="n">
        <v>41</v>
      </c>
      <c r="AH1938" s="7" t="n">
        <v>5</v>
      </c>
      <c r="AI1938" s="7" t="n">
        <v>15</v>
      </c>
      <c r="AJ1938" s="7" t="n">
        <v>5</v>
      </c>
      <c r="AK1938" s="7" t="n">
        <v>10</v>
      </c>
      <c r="AL1938" s="7" t="n">
        <v>13</v>
      </c>
      <c r="AM1938" s="7" t="n">
        <v>20</v>
      </c>
      <c r="AN1938" s="7" t="n">
        <v>3</v>
      </c>
      <c r="AO1938" s="7" t="n">
        <v>5</v>
      </c>
      <c r="AP1938" s="7" t="n">
        <v>0</v>
      </c>
      <c r="AQ1938" s="7" t="n">
        <v>0</v>
      </c>
      <c r="AR1938" s="6" t="s">
        <v>63</v>
      </c>
      <c r="AS1938" s="6" t="s">
        <v>57</v>
      </c>
      <c r="AT1938" s="9" t="str">
        <f aca="false">HYPERLINK("http://catalog.hathitrust.org/Record/001381818","HathiTrust Record")</f>
        <v>HathiTrust Record</v>
      </c>
      <c r="AU1938" s="9" t="str">
        <f aca="false">HYPERLINK("https://creighton-primo.hosted.exlibrisgroup.com/primo-explore/search?tab=default_tab&amp;search_scope=EVERYTHING&amp;vid=01CRU&amp;lang=en_US&amp;offset=0&amp;query=any,contains,991003748469702656","Catalog Record")</f>
        <v>Catalog Record</v>
      </c>
      <c r="AV1938" s="9" t="str">
        <f aca="false">HYPERLINK("http://www.worldcat.org/oclc/1421731","WorldCat Record")</f>
        <v>WorldCat Record</v>
      </c>
      <c r="AW1938" s="6" t="s">
        <v>17130</v>
      </c>
      <c r="AX1938" s="6" t="s">
        <v>17131</v>
      </c>
      <c r="AY1938" s="6" t="s">
        <v>17132</v>
      </c>
      <c r="AZ1938" s="6" t="s">
        <v>17132</v>
      </c>
      <c r="BA1938" s="6" t="s">
        <v>17133</v>
      </c>
      <c r="BB1938" s="28"/>
      <c r="BC1938" s="6" t="s">
        <v>17134</v>
      </c>
      <c r="BE1938" s="15" t="s">
        <v>2145</v>
      </c>
      <c r="BF1938" s="6" t="s">
        <v>17135</v>
      </c>
    </row>
    <row r="1939" customFormat="false" ht="197.5" hidden="false" customHeight="false" outlineLevel="0" collapsed="false">
      <c r="A1939" s="26" t="s">
        <v>63</v>
      </c>
      <c r="B1939" s="27" t="s">
        <v>2129</v>
      </c>
      <c r="C1939" s="27" t="s">
        <v>2130</v>
      </c>
      <c r="D1939" s="27" t="s">
        <v>17136</v>
      </c>
      <c r="E1939" s="27" t="s">
        <v>17137</v>
      </c>
      <c r="F1939" s="27" t="s">
        <v>17138</v>
      </c>
      <c r="G1939" s="28"/>
      <c r="H1939" s="6" t="s">
        <v>63</v>
      </c>
      <c r="I1939" s="6" t="s">
        <v>62</v>
      </c>
      <c r="J1939" s="6" t="s">
        <v>63</v>
      </c>
      <c r="K1939" s="6" t="s">
        <v>63</v>
      </c>
      <c r="L1939" s="6" t="s">
        <v>64</v>
      </c>
      <c r="M1939" s="27" t="s">
        <v>17139</v>
      </c>
      <c r="N1939" s="27" t="s">
        <v>17140</v>
      </c>
      <c r="O1939" s="6" t="s">
        <v>264</v>
      </c>
      <c r="P1939" s="28"/>
      <c r="Q1939" s="6" t="s">
        <v>67</v>
      </c>
      <c r="R1939" s="6" t="s">
        <v>1108</v>
      </c>
      <c r="S1939" s="28"/>
      <c r="T1939" s="6" t="s">
        <v>6138</v>
      </c>
      <c r="U1939" s="7" t="n">
        <v>2</v>
      </c>
      <c r="V1939" s="7" t="n">
        <v>2</v>
      </c>
      <c r="W1939" s="8" t="s">
        <v>14158</v>
      </c>
      <c r="X1939" s="8" t="s">
        <v>14158</v>
      </c>
      <c r="Y1939" s="8" t="s">
        <v>16493</v>
      </c>
      <c r="Z1939" s="8" t="s">
        <v>16493</v>
      </c>
      <c r="AA1939" s="7" t="n">
        <v>583</v>
      </c>
      <c r="AB1939" s="7" t="n">
        <v>463</v>
      </c>
      <c r="AC1939" s="7" t="n">
        <v>691</v>
      </c>
      <c r="AD1939" s="7" t="n">
        <v>5</v>
      </c>
      <c r="AE1939" s="7" t="n">
        <v>7</v>
      </c>
      <c r="AF1939" s="7" t="n">
        <v>26</v>
      </c>
      <c r="AG1939" s="7" t="n">
        <v>36</v>
      </c>
      <c r="AH1939" s="7" t="n">
        <v>6</v>
      </c>
      <c r="AI1939" s="7" t="n">
        <v>13</v>
      </c>
      <c r="AJ1939" s="7" t="n">
        <v>5</v>
      </c>
      <c r="AK1939" s="7" t="n">
        <v>8</v>
      </c>
      <c r="AL1939" s="7" t="n">
        <v>17</v>
      </c>
      <c r="AM1939" s="7" t="n">
        <v>19</v>
      </c>
      <c r="AN1939" s="7" t="n">
        <v>4</v>
      </c>
      <c r="AO1939" s="7" t="n">
        <v>5</v>
      </c>
      <c r="AP1939" s="7" t="n">
        <v>0</v>
      </c>
      <c r="AQ1939" s="7" t="n">
        <v>0</v>
      </c>
      <c r="AR1939" s="6" t="s">
        <v>63</v>
      </c>
      <c r="AS1939" s="6" t="s">
        <v>63</v>
      </c>
      <c r="AT1939" s="28"/>
      <c r="AU1939" s="9" t="str">
        <f aca="false">HYPERLINK("https://creighton-primo.hosted.exlibrisgroup.com/primo-explore/search?tab=default_tab&amp;search_scope=EVERYTHING&amp;vid=01CRU&amp;lang=en_US&amp;offset=0&amp;query=any,contains,991000586069702656","Catalog Record")</f>
        <v>Catalog Record</v>
      </c>
      <c r="AV1939" s="9" t="str">
        <f aca="false">HYPERLINK("http://www.worldcat.org/oclc/96091","WorldCat Record")</f>
        <v>WorldCat Record</v>
      </c>
      <c r="AW1939" s="6" t="s">
        <v>17141</v>
      </c>
      <c r="AX1939" s="6" t="s">
        <v>17142</v>
      </c>
      <c r="AY1939" s="6" t="s">
        <v>17143</v>
      </c>
      <c r="AZ1939" s="6" t="s">
        <v>17143</v>
      </c>
      <c r="BA1939" s="6" t="s">
        <v>17144</v>
      </c>
      <c r="BB1939" s="6" t="s">
        <v>17145</v>
      </c>
      <c r="BC1939" s="6" t="s">
        <v>17146</v>
      </c>
      <c r="BE1939" s="15" t="s">
        <v>2145</v>
      </c>
      <c r="BF1939" s="6" t="s">
        <v>17147</v>
      </c>
    </row>
    <row r="1940" customFormat="false" ht="71" hidden="false" customHeight="false" outlineLevel="0" collapsed="false">
      <c r="A1940" s="26" t="s">
        <v>63</v>
      </c>
      <c r="B1940" s="27" t="s">
        <v>2129</v>
      </c>
      <c r="C1940" s="27" t="s">
        <v>2130</v>
      </c>
      <c r="D1940" s="27" t="s">
        <v>17148</v>
      </c>
      <c r="E1940" s="27" t="s">
        <v>17149</v>
      </c>
      <c r="F1940" s="27" t="s">
        <v>17150</v>
      </c>
      <c r="G1940" s="28"/>
      <c r="H1940" s="6" t="s">
        <v>63</v>
      </c>
      <c r="I1940" s="6" t="s">
        <v>62</v>
      </c>
      <c r="J1940" s="6" t="s">
        <v>63</v>
      </c>
      <c r="K1940" s="6" t="s">
        <v>63</v>
      </c>
      <c r="L1940" s="6" t="s">
        <v>64</v>
      </c>
      <c r="M1940" s="28"/>
      <c r="N1940" s="27" t="s">
        <v>17151</v>
      </c>
      <c r="O1940" s="6" t="s">
        <v>246</v>
      </c>
      <c r="P1940" s="28"/>
      <c r="Q1940" s="6" t="s">
        <v>67</v>
      </c>
      <c r="R1940" s="6" t="s">
        <v>68</v>
      </c>
      <c r="S1940" s="27" t="s">
        <v>17152</v>
      </c>
      <c r="T1940" s="6" t="s">
        <v>6138</v>
      </c>
      <c r="U1940" s="7" t="n">
        <v>2</v>
      </c>
      <c r="V1940" s="7" t="n">
        <v>2</v>
      </c>
      <c r="W1940" s="8" t="s">
        <v>17153</v>
      </c>
      <c r="X1940" s="8" t="s">
        <v>17153</v>
      </c>
      <c r="Y1940" s="8" t="s">
        <v>16493</v>
      </c>
      <c r="Z1940" s="8" t="s">
        <v>16493</v>
      </c>
      <c r="AA1940" s="7" t="n">
        <v>433</v>
      </c>
      <c r="AB1940" s="7" t="n">
        <v>409</v>
      </c>
      <c r="AC1940" s="7" t="n">
        <v>496</v>
      </c>
      <c r="AD1940" s="7" t="n">
        <v>3</v>
      </c>
      <c r="AE1940" s="7" t="n">
        <v>5</v>
      </c>
      <c r="AF1940" s="7" t="n">
        <v>23</v>
      </c>
      <c r="AG1940" s="7" t="n">
        <v>26</v>
      </c>
      <c r="AH1940" s="7" t="n">
        <v>7</v>
      </c>
      <c r="AI1940" s="7" t="n">
        <v>7</v>
      </c>
      <c r="AJ1940" s="7" t="n">
        <v>8</v>
      </c>
      <c r="AK1940" s="7" t="n">
        <v>8</v>
      </c>
      <c r="AL1940" s="7" t="n">
        <v>14</v>
      </c>
      <c r="AM1940" s="7" t="n">
        <v>15</v>
      </c>
      <c r="AN1940" s="7" t="n">
        <v>2</v>
      </c>
      <c r="AO1940" s="7" t="n">
        <v>4</v>
      </c>
      <c r="AP1940" s="7" t="n">
        <v>0</v>
      </c>
      <c r="AQ1940" s="7" t="n">
        <v>0</v>
      </c>
      <c r="AR1940" s="6" t="s">
        <v>63</v>
      </c>
      <c r="AS1940" s="6" t="s">
        <v>57</v>
      </c>
      <c r="AT1940" s="9" t="str">
        <f aca="false">HYPERLINK("http://catalog.hathitrust.org/Record/004456249","HathiTrust Record")</f>
        <v>HathiTrust Record</v>
      </c>
      <c r="AU1940" s="9" t="str">
        <f aca="false">HYPERLINK("https://creighton-primo.hosted.exlibrisgroup.com/primo-explore/search?tab=default_tab&amp;search_scope=EVERYTHING&amp;vid=01CRU&amp;lang=en_US&amp;offset=0&amp;query=any,contains,991004659069702656","Catalog Record")</f>
        <v>Catalog Record</v>
      </c>
      <c r="AV1940" s="9" t="str">
        <f aca="false">HYPERLINK("http://www.worldcat.org/oclc/4496194","WorldCat Record")</f>
        <v>WorldCat Record</v>
      </c>
      <c r="AW1940" s="6" t="s">
        <v>17154</v>
      </c>
      <c r="AX1940" s="6" t="s">
        <v>17155</v>
      </c>
      <c r="AY1940" s="6" t="s">
        <v>17156</v>
      </c>
      <c r="AZ1940" s="6" t="s">
        <v>17156</v>
      </c>
      <c r="BA1940" s="6" t="s">
        <v>17157</v>
      </c>
      <c r="BB1940" s="6" t="s">
        <v>17158</v>
      </c>
      <c r="BC1940" s="6" t="s">
        <v>17159</v>
      </c>
      <c r="BE1940" s="15" t="s">
        <v>2145</v>
      </c>
      <c r="BF1940" s="6" t="s">
        <v>17160</v>
      </c>
    </row>
    <row r="1941" customFormat="false" ht="117" hidden="false" customHeight="false" outlineLevel="0" collapsed="false">
      <c r="A1941" s="26" t="s">
        <v>63</v>
      </c>
      <c r="B1941" s="27" t="s">
        <v>2129</v>
      </c>
      <c r="C1941" s="27" t="s">
        <v>2130</v>
      </c>
      <c r="D1941" s="27" t="s">
        <v>17161</v>
      </c>
      <c r="E1941" s="27" t="s">
        <v>17162</v>
      </c>
      <c r="F1941" s="27" t="s">
        <v>17163</v>
      </c>
      <c r="G1941" s="28"/>
      <c r="H1941" s="6" t="s">
        <v>63</v>
      </c>
      <c r="I1941" s="6" t="s">
        <v>62</v>
      </c>
      <c r="J1941" s="6" t="s">
        <v>63</v>
      </c>
      <c r="K1941" s="6" t="s">
        <v>63</v>
      </c>
      <c r="L1941" s="6" t="s">
        <v>64</v>
      </c>
      <c r="M1941" s="27" t="s">
        <v>17164</v>
      </c>
      <c r="N1941" s="27" t="s">
        <v>17165</v>
      </c>
      <c r="O1941" s="6" t="s">
        <v>2797</v>
      </c>
      <c r="P1941" s="28"/>
      <c r="Q1941" s="6" t="s">
        <v>67</v>
      </c>
      <c r="R1941" s="6" t="s">
        <v>68</v>
      </c>
      <c r="S1941" s="28"/>
      <c r="T1941" s="6" t="s">
        <v>6138</v>
      </c>
      <c r="U1941" s="7" t="n">
        <v>5</v>
      </c>
      <c r="V1941" s="7" t="n">
        <v>5</v>
      </c>
      <c r="W1941" s="8" t="s">
        <v>13877</v>
      </c>
      <c r="X1941" s="8" t="s">
        <v>13877</v>
      </c>
      <c r="Y1941" s="8" t="s">
        <v>16493</v>
      </c>
      <c r="Z1941" s="8" t="s">
        <v>16493</v>
      </c>
      <c r="AA1941" s="7" t="n">
        <v>563</v>
      </c>
      <c r="AB1941" s="7" t="n">
        <v>475</v>
      </c>
      <c r="AC1941" s="7" t="n">
        <v>523</v>
      </c>
      <c r="AD1941" s="7" t="n">
        <v>3</v>
      </c>
      <c r="AE1941" s="7" t="n">
        <v>3</v>
      </c>
      <c r="AF1941" s="7" t="n">
        <v>27</v>
      </c>
      <c r="AG1941" s="7" t="n">
        <v>27</v>
      </c>
      <c r="AH1941" s="7" t="n">
        <v>11</v>
      </c>
      <c r="AI1941" s="7" t="n">
        <v>11</v>
      </c>
      <c r="AJ1941" s="7" t="n">
        <v>5</v>
      </c>
      <c r="AK1941" s="7" t="n">
        <v>5</v>
      </c>
      <c r="AL1941" s="7" t="n">
        <v>18</v>
      </c>
      <c r="AM1941" s="7" t="n">
        <v>18</v>
      </c>
      <c r="AN1941" s="7" t="n">
        <v>2</v>
      </c>
      <c r="AO1941" s="7" t="n">
        <v>2</v>
      </c>
      <c r="AP1941" s="7" t="n">
        <v>0</v>
      </c>
      <c r="AQ1941" s="7" t="n">
        <v>0</v>
      </c>
      <c r="AR1941" s="6" t="s">
        <v>63</v>
      </c>
      <c r="AS1941" s="6" t="s">
        <v>57</v>
      </c>
      <c r="AT1941" s="9" t="str">
        <f aca="false">HYPERLINK("http://catalog.hathitrust.org/Record/001381843","HathiTrust Record")</f>
        <v>HathiTrust Record</v>
      </c>
      <c r="AU1941" s="9" t="str">
        <f aca="false">HYPERLINK("https://creighton-primo.hosted.exlibrisgroup.com/primo-explore/search?tab=default_tab&amp;search_scope=EVERYTHING&amp;vid=01CRU&amp;lang=en_US&amp;offset=0&amp;query=any,contains,991001990169702656","Catalog Record")</f>
        <v>Catalog Record</v>
      </c>
      <c r="AV1941" s="9" t="str">
        <f aca="false">HYPERLINK("http://www.worldcat.org/oclc/255204","WorldCat Record")</f>
        <v>WorldCat Record</v>
      </c>
      <c r="AW1941" s="6" t="s">
        <v>17166</v>
      </c>
      <c r="AX1941" s="6" t="s">
        <v>17167</v>
      </c>
      <c r="AY1941" s="6" t="s">
        <v>17168</v>
      </c>
      <c r="AZ1941" s="6" t="s">
        <v>17168</v>
      </c>
      <c r="BA1941" s="6" t="s">
        <v>17169</v>
      </c>
      <c r="BB1941" s="28"/>
      <c r="BC1941" s="6" t="s">
        <v>17170</v>
      </c>
      <c r="BE1941" s="15" t="s">
        <v>2145</v>
      </c>
      <c r="BF1941" s="6" t="s">
        <v>17171</v>
      </c>
    </row>
    <row r="1942" customFormat="false" ht="174.5" hidden="false" customHeight="false" outlineLevel="0" collapsed="false">
      <c r="A1942" s="26" t="s">
        <v>63</v>
      </c>
      <c r="B1942" s="27" t="s">
        <v>2129</v>
      </c>
      <c r="C1942" s="27" t="s">
        <v>2130</v>
      </c>
      <c r="D1942" s="27" t="s">
        <v>17172</v>
      </c>
      <c r="E1942" s="27" t="s">
        <v>17173</v>
      </c>
      <c r="F1942" s="27" t="s">
        <v>17174</v>
      </c>
      <c r="G1942" s="28"/>
      <c r="H1942" s="6" t="s">
        <v>57</v>
      </c>
      <c r="I1942" s="6" t="s">
        <v>62</v>
      </c>
      <c r="J1942" s="6" t="s">
        <v>57</v>
      </c>
      <c r="K1942" s="6" t="s">
        <v>63</v>
      </c>
      <c r="L1942" s="6" t="s">
        <v>64</v>
      </c>
      <c r="M1942" s="27" t="s">
        <v>15360</v>
      </c>
      <c r="N1942" s="27" t="s">
        <v>17175</v>
      </c>
      <c r="O1942" s="6" t="s">
        <v>122</v>
      </c>
      <c r="P1942" s="28"/>
      <c r="Q1942" s="6" t="s">
        <v>6285</v>
      </c>
      <c r="R1942" s="6" t="s">
        <v>367</v>
      </c>
      <c r="S1942" s="27" t="s">
        <v>17176</v>
      </c>
      <c r="T1942" s="6" t="s">
        <v>6138</v>
      </c>
      <c r="U1942" s="7" t="n">
        <v>1</v>
      </c>
      <c r="V1942" s="7" t="n">
        <v>5</v>
      </c>
      <c r="W1942" s="28"/>
      <c r="X1942" s="8" t="s">
        <v>13822</v>
      </c>
      <c r="Y1942" s="8" t="s">
        <v>16493</v>
      </c>
      <c r="Z1942" s="8" t="s">
        <v>16493</v>
      </c>
      <c r="AA1942" s="7" t="n">
        <v>96</v>
      </c>
      <c r="AB1942" s="7" t="n">
        <v>70</v>
      </c>
      <c r="AC1942" s="7" t="n">
        <v>97</v>
      </c>
      <c r="AD1942" s="7" t="n">
        <v>1</v>
      </c>
      <c r="AE1942" s="7" t="n">
        <v>1</v>
      </c>
      <c r="AF1942" s="7" t="n">
        <v>8</v>
      </c>
      <c r="AG1942" s="7" t="n">
        <v>8</v>
      </c>
      <c r="AH1942" s="7" t="n">
        <v>1</v>
      </c>
      <c r="AI1942" s="7" t="n">
        <v>1</v>
      </c>
      <c r="AJ1942" s="7" t="n">
        <v>3</v>
      </c>
      <c r="AK1942" s="7" t="n">
        <v>3</v>
      </c>
      <c r="AL1942" s="7" t="n">
        <v>7</v>
      </c>
      <c r="AM1942" s="7" t="n">
        <v>7</v>
      </c>
      <c r="AN1942" s="7" t="n">
        <v>0</v>
      </c>
      <c r="AO1942" s="7" t="n">
        <v>0</v>
      </c>
      <c r="AP1942" s="7" t="n">
        <v>0</v>
      </c>
      <c r="AQ1942" s="7" t="n">
        <v>0</v>
      </c>
      <c r="AR1942" s="6" t="s">
        <v>63</v>
      </c>
      <c r="AS1942" s="6" t="s">
        <v>57</v>
      </c>
      <c r="AT1942" s="9" t="str">
        <f aca="false">HYPERLINK("http://catalog.hathitrust.org/Record/006751640","HathiTrust Record")</f>
        <v>HathiTrust Record</v>
      </c>
      <c r="AU1942" s="9" t="str">
        <f aca="false">HYPERLINK("https://creighton-primo.hosted.exlibrisgroup.com/primo-explore/search?tab=default_tab&amp;search_scope=EVERYTHING&amp;vid=01CRU&amp;lang=en_US&amp;offset=0&amp;query=any,contains,991003446009702656","Catalog Record")</f>
        <v>Catalog Record</v>
      </c>
      <c r="AV1942" s="9" t="str">
        <f aca="false">HYPERLINK("http://www.worldcat.org/oclc/981265","WorldCat Record")</f>
        <v>WorldCat Record</v>
      </c>
      <c r="AW1942" s="6" t="s">
        <v>17177</v>
      </c>
      <c r="AX1942" s="6" t="s">
        <v>17178</v>
      </c>
      <c r="AY1942" s="6" t="s">
        <v>17179</v>
      </c>
      <c r="AZ1942" s="6" t="s">
        <v>17179</v>
      </c>
      <c r="BA1942" s="6" t="s">
        <v>17180</v>
      </c>
      <c r="BB1942" s="28"/>
      <c r="BC1942" s="6" t="s">
        <v>17181</v>
      </c>
      <c r="BE1942" s="15" t="s">
        <v>2145</v>
      </c>
      <c r="BF1942" s="6" t="s">
        <v>17182</v>
      </c>
    </row>
    <row r="1943" customFormat="false" ht="174.5" hidden="false" customHeight="false" outlineLevel="0" collapsed="false">
      <c r="A1943" s="26" t="s">
        <v>63</v>
      </c>
      <c r="B1943" s="27" t="s">
        <v>2129</v>
      </c>
      <c r="C1943" s="27" t="s">
        <v>2130</v>
      </c>
      <c r="D1943" s="27" t="s">
        <v>17183</v>
      </c>
      <c r="E1943" s="27" t="s">
        <v>17184</v>
      </c>
      <c r="F1943" s="27" t="s">
        <v>17174</v>
      </c>
      <c r="G1943" s="28"/>
      <c r="H1943" s="6" t="s">
        <v>57</v>
      </c>
      <c r="I1943" s="6" t="s">
        <v>62</v>
      </c>
      <c r="J1943" s="6" t="s">
        <v>57</v>
      </c>
      <c r="K1943" s="6" t="s">
        <v>63</v>
      </c>
      <c r="L1943" s="6" t="s">
        <v>64</v>
      </c>
      <c r="M1943" s="27" t="s">
        <v>15360</v>
      </c>
      <c r="N1943" s="27" t="s">
        <v>17175</v>
      </c>
      <c r="O1943" s="6" t="s">
        <v>122</v>
      </c>
      <c r="P1943" s="28"/>
      <c r="Q1943" s="6" t="s">
        <v>6285</v>
      </c>
      <c r="R1943" s="6" t="s">
        <v>367</v>
      </c>
      <c r="S1943" s="27" t="s">
        <v>17176</v>
      </c>
      <c r="T1943" s="6" t="s">
        <v>6138</v>
      </c>
      <c r="U1943" s="7" t="n">
        <v>1</v>
      </c>
      <c r="V1943" s="7" t="n">
        <v>5</v>
      </c>
      <c r="W1943" s="28"/>
      <c r="X1943" s="8" t="s">
        <v>13822</v>
      </c>
      <c r="Y1943" s="8" t="s">
        <v>16493</v>
      </c>
      <c r="Z1943" s="8" t="s">
        <v>16493</v>
      </c>
      <c r="AA1943" s="7" t="n">
        <v>96</v>
      </c>
      <c r="AB1943" s="7" t="n">
        <v>70</v>
      </c>
      <c r="AC1943" s="7" t="n">
        <v>97</v>
      </c>
      <c r="AD1943" s="7" t="n">
        <v>1</v>
      </c>
      <c r="AE1943" s="7" t="n">
        <v>1</v>
      </c>
      <c r="AF1943" s="7" t="n">
        <v>8</v>
      </c>
      <c r="AG1943" s="7" t="n">
        <v>8</v>
      </c>
      <c r="AH1943" s="7" t="n">
        <v>1</v>
      </c>
      <c r="AI1943" s="7" t="n">
        <v>1</v>
      </c>
      <c r="AJ1943" s="7" t="n">
        <v>3</v>
      </c>
      <c r="AK1943" s="7" t="n">
        <v>3</v>
      </c>
      <c r="AL1943" s="7" t="n">
        <v>7</v>
      </c>
      <c r="AM1943" s="7" t="n">
        <v>7</v>
      </c>
      <c r="AN1943" s="7" t="n">
        <v>0</v>
      </c>
      <c r="AO1943" s="7" t="n">
        <v>0</v>
      </c>
      <c r="AP1943" s="7" t="n">
        <v>0</v>
      </c>
      <c r="AQ1943" s="7" t="n">
        <v>0</v>
      </c>
      <c r="AR1943" s="6" t="s">
        <v>63</v>
      </c>
      <c r="AS1943" s="6" t="s">
        <v>57</v>
      </c>
      <c r="AT1943" s="9" t="str">
        <f aca="false">HYPERLINK("http://catalog.hathitrust.org/Record/006751640","HathiTrust Record")</f>
        <v>HathiTrust Record</v>
      </c>
      <c r="AU1943" s="9" t="str">
        <f aca="false">HYPERLINK("https://creighton-primo.hosted.exlibrisgroup.com/primo-explore/search?tab=default_tab&amp;search_scope=EVERYTHING&amp;vid=01CRU&amp;lang=en_US&amp;offset=0&amp;query=any,contains,991003446009702656","Catalog Record")</f>
        <v>Catalog Record</v>
      </c>
      <c r="AV1943" s="9" t="str">
        <f aca="false">HYPERLINK("http://www.worldcat.org/oclc/981265","WorldCat Record")</f>
        <v>WorldCat Record</v>
      </c>
      <c r="AW1943" s="6" t="s">
        <v>17177</v>
      </c>
      <c r="AX1943" s="6" t="s">
        <v>17178</v>
      </c>
      <c r="AY1943" s="6" t="s">
        <v>17179</v>
      </c>
      <c r="AZ1943" s="6" t="s">
        <v>17179</v>
      </c>
      <c r="BA1943" s="6" t="s">
        <v>17180</v>
      </c>
      <c r="BB1943" s="28"/>
      <c r="BC1943" s="6" t="s">
        <v>17185</v>
      </c>
      <c r="BE1943" s="15" t="s">
        <v>2145</v>
      </c>
      <c r="BF1943" s="6" t="s">
        <v>17186</v>
      </c>
    </row>
    <row r="1944" customFormat="false" ht="174.5" hidden="false" customHeight="false" outlineLevel="0" collapsed="false">
      <c r="A1944" s="26" t="s">
        <v>63</v>
      </c>
      <c r="B1944" s="27" t="s">
        <v>2129</v>
      </c>
      <c r="C1944" s="27" t="s">
        <v>2130</v>
      </c>
      <c r="D1944" s="27" t="s">
        <v>17187</v>
      </c>
      <c r="E1944" s="27" t="s">
        <v>17188</v>
      </c>
      <c r="F1944" s="27" t="s">
        <v>17174</v>
      </c>
      <c r="G1944" s="28"/>
      <c r="H1944" s="6" t="s">
        <v>57</v>
      </c>
      <c r="I1944" s="6" t="s">
        <v>62</v>
      </c>
      <c r="J1944" s="6" t="s">
        <v>57</v>
      </c>
      <c r="K1944" s="6" t="s">
        <v>63</v>
      </c>
      <c r="L1944" s="6" t="s">
        <v>64</v>
      </c>
      <c r="M1944" s="27" t="s">
        <v>15360</v>
      </c>
      <c r="N1944" s="27" t="s">
        <v>17175</v>
      </c>
      <c r="O1944" s="6" t="s">
        <v>122</v>
      </c>
      <c r="P1944" s="28"/>
      <c r="Q1944" s="6" t="s">
        <v>6285</v>
      </c>
      <c r="R1944" s="6" t="s">
        <v>367</v>
      </c>
      <c r="S1944" s="27" t="s">
        <v>17176</v>
      </c>
      <c r="T1944" s="6" t="s">
        <v>6138</v>
      </c>
      <c r="U1944" s="7" t="n">
        <v>2</v>
      </c>
      <c r="V1944" s="7" t="n">
        <v>5</v>
      </c>
      <c r="W1944" s="8" t="s">
        <v>13822</v>
      </c>
      <c r="X1944" s="8" t="s">
        <v>13822</v>
      </c>
      <c r="Y1944" s="8" t="s">
        <v>16493</v>
      </c>
      <c r="Z1944" s="8" t="s">
        <v>16493</v>
      </c>
      <c r="AA1944" s="7" t="n">
        <v>96</v>
      </c>
      <c r="AB1944" s="7" t="n">
        <v>70</v>
      </c>
      <c r="AC1944" s="7" t="n">
        <v>97</v>
      </c>
      <c r="AD1944" s="7" t="n">
        <v>1</v>
      </c>
      <c r="AE1944" s="7" t="n">
        <v>1</v>
      </c>
      <c r="AF1944" s="7" t="n">
        <v>8</v>
      </c>
      <c r="AG1944" s="7" t="n">
        <v>8</v>
      </c>
      <c r="AH1944" s="7" t="n">
        <v>1</v>
      </c>
      <c r="AI1944" s="7" t="n">
        <v>1</v>
      </c>
      <c r="AJ1944" s="7" t="n">
        <v>3</v>
      </c>
      <c r="AK1944" s="7" t="n">
        <v>3</v>
      </c>
      <c r="AL1944" s="7" t="n">
        <v>7</v>
      </c>
      <c r="AM1944" s="7" t="n">
        <v>7</v>
      </c>
      <c r="AN1944" s="7" t="n">
        <v>0</v>
      </c>
      <c r="AO1944" s="7" t="n">
        <v>0</v>
      </c>
      <c r="AP1944" s="7" t="n">
        <v>0</v>
      </c>
      <c r="AQ1944" s="7" t="n">
        <v>0</v>
      </c>
      <c r="AR1944" s="6" t="s">
        <v>63</v>
      </c>
      <c r="AS1944" s="6" t="s">
        <v>57</v>
      </c>
      <c r="AT1944" s="9" t="str">
        <f aca="false">HYPERLINK("http://catalog.hathitrust.org/Record/006751640","HathiTrust Record")</f>
        <v>HathiTrust Record</v>
      </c>
      <c r="AU1944" s="9" t="str">
        <f aca="false">HYPERLINK("https://creighton-primo.hosted.exlibrisgroup.com/primo-explore/search?tab=default_tab&amp;search_scope=EVERYTHING&amp;vid=01CRU&amp;lang=en_US&amp;offset=0&amp;query=any,contains,991003446009702656","Catalog Record")</f>
        <v>Catalog Record</v>
      </c>
      <c r="AV1944" s="9" t="str">
        <f aca="false">HYPERLINK("http://www.worldcat.org/oclc/981265","WorldCat Record")</f>
        <v>WorldCat Record</v>
      </c>
      <c r="AW1944" s="6" t="s">
        <v>17177</v>
      </c>
      <c r="AX1944" s="6" t="s">
        <v>17178</v>
      </c>
      <c r="AY1944" s="6" t="s">
        <v>17179</v>
      </c>
      <c r="AZ1944" s="6" t="s">
        <v>17179</v>
      </c>
      <c r="BA1944" s="6" t="s">
        <v>17180</v>
      </c>
      <c r="BB1944" s="28"/>
      <c r="BC1944" s="6" t="s">
        <v>17189</v>
      </c>
      <c r="BE1944" s="15" t="s">
        <v>2145</v>
      </c>
      <c r="BF1944" s="6" t="s">
        <v>17190</v>
      </c>
    </row>
    <row r="1945" customFormat="false" ht="174.5" hidden="false" customHeight="false" outlineLevel="0" collapsed="false">
      <c r="A1945" s="26" t="s">
        <v>63</v>
      </c>
      <c r="B1945" s="27" t="s">
        <v>2129</v>
      </c>
      <c r="C1945" s="27" t="s">
        <v>2130</v>
      </c>
      <c r="D1945" s="27" t="s">
        <v>17191</v>
      </c>
      <c r="E1945" s="27" t="s">
        <v>17192</v>
      </c>
      <c r="F1945" s="27" t="s">
        <v>17174</v>
      </c>
      <c r="G1945" s="28"/>
      <c r="H1945" s="6" t="s">
        <v>57</v>
      </c>
      <c r="I1945" s="6" t="s">
        <v>62</v>
      </c>
      <c r="J1945" s="6" t="s">
        <v>57</v>
      </c>
      <c r="K1945" s="6" t="s">
        <v>63</v>
      </c>
      <c r="L1945" s="6" t="s">
        <v>64</v>
      </c>
      <c r="M1945" s="27" t="s">
        <v>15360</v>
      </c>
      <c r="N1945" s="27" t="s">
        <v>17175</v>
      </c>
      <c r="O1945" s="6" t="s">
        <v>122</v>
      </c>
      <c r="P1945" s="28"/>
      <c r="Q1945" s="6" t="s">
        <v>6285</v>
      </c>
      <c r="R1945" s="6" t="s">
        <v>367</v>
      </c>
      <c r="S1945" s="27" t="s">
        <v>17176</v>
      </c>
      <c r="T1945" s="6" t="s">
        <v>6138</v>
      </c>
      <c r="U1945" s="7" t="n">
        <v>0</v>
      </c>
      <c r="V1945" s="7" t="n">
        <v>5</v>
      </c>
      <c r="W1945" s="28"/>
      <c r="X1945" s="8" t="s">
        <v>13822</v>
      </c>
      <c r="Y1945" s="8" t="s">
        <v>16493</v>
      </c>
      <c r="Z1945" s="8" t="s">
        <v>16493</v>
      </c>
      <c r="AA1945" s="7" t="n">
        <v>96</v>
      </c>
      <c r="AB1945" s="7" t="n">
        <v>70</v>
      </c>
      <c r="AC1945" s="7" t="n">
        <v>97</v>
      </c>
      <c r="AD1945" s="7" t="n">
        <v>1</v>
      </c>
      <c r="AE1945" s="7" t="n">
        <v>1</v>
      </c>
      <c r="AF1945" s="7" t="n">
        <v>8</v>
      </c>
      <c r="AG1945" s="7" t="n">
        <v>8</v>
      </c>
      <c r="AH1945" s="7" t="n">
        <v>1</v>
      </c>
      <c r="AI1945" s="7" t="n">
        <v>1</v>
      </c>
      <c r="AJ1945" s="7" t="n">
        <v>3</v>
      </c>
      <c r="AK1945" s="7" t="n">
        <v>3</v>
      </c>
      <c r="AL1945" s="7" t="n">
        <v>7</v>
      </c>
      <c r="AM1945" s="7" t="n">
        <v>7</v>
      </c>
      <c r="AN1945" s="7" t="n">
        <v>0</v>
      </c>
      <c r="AO1945" s="7" t="n">
        <v>0</v>
      </c>
      <c r="AP1945" s="7" t="n">
        <v>0</v>
      </c>
      <c r="AQ1945" s="7" t="n">
        <v>0</v>
      </c>
      <c r="AR1945" s="6" t="s">
        <v>63</v>
      </c>
      <c r="AS1945" s="6" t="s">
        <v>57</v>
      </c>
      <c r="AT1945" s="9" t="str">
        <f aca="false">HYPERLINK("http://catalog.hathitrust.org/Record/006751640","HathiTrust Record")</f>
        <v>HathiTrust Record</v>
      </c>
      <c r="AU1945" s="9" t="str">
        <f aca="false">HYPERLINK("https://creighton-primo.hosted.exlibrisgroup.com/primo-explore/search?tab=default_tab&amp;search_scope=EVERYTHING&amp;vid=01CRU&amp;lang=en_US&amp;offset=0&amp;query=any,contains,991003446009702656","Catalog Record")</f>
        <v>Catalog Record</v>
      </c>
      <c r="AV1945" s="9" t="str">
        <f aca="false">HYPERLINK("http://www.worldcat.org/oclc/981265","WorldCat Record")</f>
        <v>WorldCat Record</v>
      </c>
      <c r="AW1945" s="6" t="s">
        <v>17177</v>
      </c>
      <c r="AX1945" s="6" t="s">
        <v>17178</v>
      </c>
      <c r="AY1945" s="6" t="s">
        <v>17179</v>
      </c>
      <c r="AZ1945" s="6" t="s">
        <v>17179</v>
      </c>
      <c r="BA1945" s="6" t="s">
        <v>17180</v>
      </c>
      <c r="BB1945" s="28"/>
      <c r="BC1945" s="6" t="s">
        <v>17193</v>
      </c>
      <c r="BE1945" s="15" t="s">
        <v>2145</v>
      </c>
      <c r="BF1945" s="6" t="s">
        <v>17194</v>
      </c>
    </row>
    <row r="1946" customFormat="false" ht="174.5" hidden="false" customHeight="false" outlineLevel="0" collapsed="false">
      <c r="A1946" s="26" t="s">
        <v>63</v>
      </c>
      <c r="B1946" s="27" t="s">
        <v>2129</v>
      </c>
      <c r="C1946" s="27" t="s">
        <v>2130</v>
      </c>
      <c r="D1946" s="27" t="s">
        <v>17195</v>
      </c>
      <c r="E1946" s="27" t="s">
        <v>17196</v>
      </c>
      <c r="F1946" s="27" t="s">
        <v>17174</v>
      </c>
      <c r="G1946" s="28"/>
      <c r="H1946" s="6" t="s">
        <v>57</v>
      </c>
      <c r="I1946" s="6" t="s">
        <v>62</v>
      </c>
      <c r="J1946" s="6" t="s">
        <v>57</v>
      </c>
      <c r="K1946" s="6" t="s">
        <v>63</v>
      </c>
      <c r="L1946" s="6" t="s">
        <v>64</v>
      </c>
      <c r="M1946" s="27" t="s">
        <v>15360</v>
      </c>
      <c r="N1946" s="27" t="s">
        <v>17175</v>
      </c>
      <c r="O1946" s="6" t="s">
        <v>122</v>
      </c>
      <c r="P1946" s="28"/>
      <c r="Q1946" s="6" t="s">
        <v>6285</v>
      </c>
      <c r="R1946" s="6" t="s">
        <v>367</v>
      </c>
      <c r="S1946" s="27" t="s">
        <v>17176</v>
      </c>
      <c r="T1946" s="6" t="s">
        <v>6138</v>
      </c>
      <c r="U1946" s="7" t="n">
        <v>0</v>
      </c>
      <c r="V1946" s="7" t="n">
        <v>5</v>
      </c>
      <c r="W1946" s="28"/>
      <c r="X1946" s="8" t="s">
        <v>13822</v>
      </c>
      <c r="Y1946" s="8" t="s">
        <v>16493</v>
      </c>
      <c r="Z1946" s="8" t="s">
        <v>16493</v>
      </c>
      <c r="AA1946" s="7" t="n">
        <v>96</v>
      </c>
      <c r="AB1946" s="7" t="n">
        <v>70</v>
      </c>
      <c r="AC1946" s="7" t="n">
        <v>97</v>
      </c>
      <c r="AD1946" s="7" t="n">
        <v>1</v>
      </c>
      <c r="AE1946" s="7" t="n">
        <v>1</v>
      </c>
      <c r="AF1946" s="7" t="n">
        <v>8</v>
      </c>
      <c r="AG1946" s="7" t="n">
        <v>8</v>
      </c>
      <c r="AH1946" s="7" t="n">
        <v>1</v>
      </c>
      <c r="AI1946" s="7" t="n">
        <v>1</v>
      </c>
      <c r="AJ1946" s="7" t="n">
        <v>3</v>
      </c>
      <c r="AK1946" s="7" t="n">
        <v>3</v>
      </c>
      <c r="AL1946" s="7" t="n">
        <v>7</v>
      </c>
      <c r="AM1946" s="7" t="n">
        <v>7</v>
      </c>
      <c r="AN1946" s="7" t="n">
        <v>0</v>
      </c>
      <c r="AO1946" s="7" t="n">
        <v>0</v>
      </c>
      <c r="AP1946" s="7" t="n">
        <v>0</v>
      </c>
      <c r="AQ1946" s="7" t="n">
        <v>0</v>
      </c>
      <c r="AR1946" s="6" t="s">
        <v>63</v>
      </c>
      <c r="AS1946" s="6" t="s">
        <v>57</v>
      </c>
      <c r="AT1946" s="9" t="str">
        <f aca="false">HYPERLINK("http://catalog.hathitrust.org/Record/006751640","HathiTrust Record")</f>
        <v>HathiTrust Record</v>
      </c>
      <c r="AU1946" s="9" t="str">
        <f aca="false">HYPERLINK("https://creighton-primo.hosted.exlibrisgroup.com/primo-explore/search?tab=default_tab&amp;search_scope=EVERYTHING&amp;vid=01CRU&amp;lang=en_US&amp;offset=0&amp;query=any,contains,991003446009702656","Catalog Record")</f>
        <v>Catalog Record</v>
      </c>
      <c r="AV1946" s="9" t="str">
        <f aca="false">HYPERLINK("http://www.worldcat.org/oclc/981265","WorldCat Record")</f>
        <v>WorldCat Record</v>
      </c>
      <c r="AW1946" s="6" t="s">
        <v>17177</v>
      </c>
      <c r="AX1946" s="6" t="s">
        <v>17178</v>
      </c>
      <c r="AY1946" s="6" t="s">
        <v>17179</v>
      </c>
      <c r="AZ1946" s="6" t="s">
        <v>17179</v>
      </c>
      <c r="BA1946" s="6" t="s">
        <v>17180</v>
      </c>
      <c r="BB1946" s="28"/>
      <c r="BC1946" s="6" t="s">
        <v>17197</v>
      </c>
      <c r="BE1946" s="15" t="s">
        <v>2145</v>
      </c>
      <c r="BF1946" s="6" t="s">
        <v>17198</v>
      </c>
    </row>
    <row r="1947" customFormat="false" ht="128.5" hidden="false" customHeight="false" outlineLevel="0" collapsed="false">
      <c r="A1947" s="26" t="s">
        <v>63</v>
      </c>
      <c r="B1947" s="27" t="s">
        <v>2129</v>
      </c>
      <c r="C1947" s="27" t="s">
        <v>2130</v>
      </c>
      <c r="D1947" s="27" t="s">
        <v>17199</v>
      </c>
      <c r="E1947" s="27" t="s">
        <v>17200</v>
      </c>
      <c r="F1947" s="27" t="s">
        <v>17201</v>
      </c>
      <c r="G1947" s="28"/>
      <c r="H1947" s="6" t="s">
        <v>63</v>
      </c>
      <c r="I1947" s="6" t="s">
        <v>62</v>
      </c>
      <c r="J1947" s="6" t="s">
        <v>63</v>
      </c>
      <c r="K1947" s="6" t="s">
        <v>63</v>
      </c>
      <c r="L1947" s="6" t="s">
        <v>64</v>
      </c>
      <c r="M1947" s="27" t="s">
        <v>17202</v>
      </c>
      <c r="N1947" s="27" t="s">
        <v>17203</v>
      </c>
      <c r="O1947" s="6" t="s">
        <v>221</v>
      </c>
      <c r="P1947" s="28"/>
      <c r="Q1947" s="6" t="s">
        <v>67</v>
      </c>
      <c r="R1947" s="6" t="s">
        <v>222</v>
      </c>
      <c r="S1947" s="27" t="s">
        <v>17204</v>
      </c>
      <c r="T1947" s="6" t="s">
        <v>6138</v>
      </c>
      <c r="U1947" s="7" t="n">
        <v>4</v>
      </c>
      <c r="V1947" s="7" t="n">
        <v>4</v>
      </c>
      <c r="W1947" s="8" t="s">
        <v>14291</v>
      </c>
      <c r="X1947" s="8" t="s">
        <v>14291</v>
      </c>
      <c r="Y1947" s="8" t="s">
        <v>16493</v>
      </c>
      <c r="Z1947" s="8" t="s">
        <v>16493</v>
      </c>
      <c r="AA1947" s="7" t="n">
        <v>481</v>
      </c>
      <c r="AB1947" s="7" t="n">
        <v>374</v>
      </c>
      <c r="AC1947" s="7" t="n">
        <v>377</v>
      </c>
      <c r="AD1947" s="7" t="n">
        <v>3</v>
      </c>
      <c r="AE1947" s="7" t="n">
        <v>3</v>
      </c>
      <c r="AF1947" s="7" t="n">
        <v>22</v>
      </c>
      <c r="AG1947" s="7" t="n">
        <v>22</v>
      </c>
      <c r="AH1947" s="7" t="n">
        <v>3</v>
      </c>
      <c r="AI1947" s="7" t="n">
        <v>3</v>
      </c>
      <c r="AJ1947" s="7" t="n">
        <v>8</v>
      </c>
      <c r="AK1947" s="7" t="n">
        <v>8</v>
      </c>
      <c r="AL1947" s="7" t="n">
        <v>14</v>
      </c>
      <c r="AM1947" s="7" t="n">
        <v>14</v>
      </c>
      <c r="AN1947" s="7" t="n">
        <v>2</v>
      </c>
      <c r="AO1947" s="7" t="n">
        <v>2</v>
      </c>
      <c r="AP1947" s="7" t="n">
        <v>0</v>
      </c>
      <c r="AQ1947" s="7" t="n">
        <v>0</v>
      </c>
      <c r="AR1947" s="6" t="s">
        <v>63</v>
      </c>
      <c r="AS1947" s="6" t="s">
        <v>63</v>
      </c>
      <c r="AT1947" s="28"/>
      <c r="AU1947" s="9" t="str">
        <f aca="false">HYPERLINK("https://creighton-primo.hosted.exlibrisgroup.com/primo-explore/search?tab=default_tab&amp;search_scope=EVERYTHING&amp;vid=01CRU&amp;lang=en_US&amp;offset=0&amp;query=any,contains,991000146009702656","Catalog Record")</f>
        <v>Catalog Record</v>
      </c>
      <c r="AV1947" s="9" t="str">
        <f aca="false">HYPERLINK("http://www.worldcat.org/oclc/9195269","WorldCat Record")</f>
        <v>WorldCat Record</v>
      </c>
      <c r="AW1947" s="6" t="s">
        <v>17205</v>
      </c>
      <c r="AX1947" s="6" t="s">
        <v>17206</v>
      </c>
      <c r="AY1947" s="6" t="s">
        <v>17207</v>
      </c>
      <c r="AZ1947" s="6" t="s">
        <v>17207</v>
      </c>
      <c r="BA1947" s="6" t="s">
        <v>17208</v>
      </c>
      <c r="BB1947" s="6" t="s">
        <v>17209</v>
      </c>
      <c r="BC1947" s="6" t="s">
        <v>17210</v>
      </c>
      <c r="BE1947" s="15" t="s">
        <v>2145</v>
      </c>
      <c r="BF1947" s="6" t="s">
        <v>17211</v>
      </c>
    </row>
    <row r="1948" customFormat="false" ht="117" hidden="false" customHeight="false" outlineLevel="0" collapsed="false">
      <c r="A1948" s="26" t="s">
        <v>63</v>
      </c>
      <c r="B1948" s="27" t="s">
        <v>2129</v>
      </c>
      <c r="C1948" s="27" t="s">
        <v>2130</v>
      </c>
      <c r="D1948" s="27" t="s">
        <v>17212</v>
      </c>
      <c r="E1948" s="27" t="s">
        <v>17213</v>
      </c>
      <c r="F1948" s="27" t="s">
        <v>17214</v>
      </c>
      <c r="G1948" s="28"/>
      <c r="H1948" s="6" t="s">
        <v>63</v>
      </c>
      <c r="I1948" s="6" t="s">
        <v>62</v>
      </c>
      <c r="J1948" s="6" t="s">
        <v>63</v>
      </c>
      <c r="K1948" s="6" t="s">
        <v>63</v>
      </c>
      <c r="L1948" s="6" t="s">
        <v>64</v>
      </c>
      <c r="M1948" s="27" t="s">
        <v>17215</v>
      </c>
      <c r="N1948" s="27" t="s">
        <v>17216</v>
      </c>
      <c r="O1948" s="6" t="s">
        <v>208</v>
      </c>
      <c r="P1948" s="28"/>
      <c r="Q1948" s="6" t="s">
        <v>67</v>
      </c>
      <c r="R1948" s="6" t="s">
        <v>802</v>
      </c>
      <c r="S1948" s="27" t="s">
        <v>17217</v>
      </c>
      <c r="T1948" s="6" t="s">
        <v>6138</v>
      </c>
      <c r="U1948" s="7" t="n">
        <v>4</v>
      </c>
      <c r="V1948" s="7" t="n">
        <v>4</v>
      </c>
      <c r="W1948" s="8" t="s">
        <v>14291</v>
      </c>
      <c r="X1948" s="8" t="s">
        <v>14291</v>
      </c>
      <c r="Y1948" s="8" t="s">
        <v>17218</v>
      </c>
      <c r="Z1948" s="8" t="s">
        <v>17218</v>
      </c>
      <c r="AA1948" s="7" t="n">
        <v>273</v>
      </c>
      <c r="AB1948" s="7" t="n">
        <v>205</v>
      </c>
      <c r="AC1948" s="7" t="n">
        <v>208</v>
      </c>
      <c r="AD1948" s="7" t="n">
        <v>2</v>
      </c>
      <c r="AE1948" s="7" t="n">
        <v>2</v>
      </c>
      <c r="AF1948" s="7" t="n">
        <v>16</v>
      </c>
      <c r="AG1948" s="7" t="n">
        <v>16</v>
      </c>
      <c r="AH1948" s="7" t="n">
        <v>4</v>
      </c>
      <c r="AI1948" s="7" t="n">
        <v>4</v>
      </c>
      <c r="AJ1948" s="7" t="n">
        <v>6</v>
      </c>
      <c r="AK1948" s="7" t="n">
        <v>6</v>
      </c>
      <c r="AL1948" s="7" t="n">
        <v>11</v>
      </c>
      <c r="AM1948" s="7" t="n">
        <v>11</v>
      </c>
      <c r="AN1948" s="7" t="n">
        <v>1</v>
      </c>
      <c r="AO1948" s="7" t="n">
        <v>1</v>
      </c>
      <c r="AP1948" s="7" t="n">
        <v>0</v>
      </c>
      <c r="AQ1948" s="7" t="n">
        <v>0</v>
      </c>
      <c r="AR1948" s="6" t="s">
        <v>63</v>
      </c>
      <c r="AS1948" s="6" t="s">
        <v>57</v>
      </c>
      <c r="AT1948" s="9" t="str">
        <f aca="false">HYPERLINK("http://catalog.hathitrust.org/Record/000843038","HathiTrust Record")</f>
        <v>HathiTrust Record</v>
      </c>
      <c r="AU1948" s="9" t="str">
        <f aca="false">HYPERLINK("https://creighton-primo.hosted.exlibrisgroup.com/primo-explore/search?tab=default_tab&amp;search_scope=EVERYTHING&amp;vid=01CRU&amp;lang=en_US&amp;offset=0&amp;query=any,contains,991001208509702656","Catalog Record")</f>
        <v>Catalog Record</v>
      </c>
      <c r="AV1948" s="9" t="str">
        <f aca="false">HYPERLINK("http://www.worldcat.org/oclc/17370593","WorldCat Record")</f>
        <v>WorldCat Record</v>
      </c>
      <c r="AW1948" s="6" t="s">
        <v>17219</v>
      </c>
      <c r="AX1948" s="6" t="s">
        <v>17220</v>
      </c>
      <c r="AY1948" s="6" t="s">
        <v>17221</v>
      </c>
      <c r="AZ1948" s="6" t="s">
        <v>17221</v>
      </c>
      <c r="BA1948" s="6" t="s">
        <v>17222</v>
      </c>
      <c r="BB1948" s="6" t="s">
        <v>17223</v>
      </c>
      <c r="BC1948" s="6" t="s">
        <v>17224</v>
      </c>
      <c r="BE1948" s="15" t="s">
        <v>2145</v>
      </c>
      <c r="BF1948" s="6" t="s">
        <v>17225</v>
      </c>
    </row>
    <row r="1949" customFormat="false" ht="140" hidden="false" customHeight="false" outlineLevel="0" collapsed="false">
      <c r="A1949" s="26" t="s">
        <v>63</v>
      </c>
      <c r="B1949" s="27" t="s">
        <v>2129</v>
      </c>
      <c r="C1949" s="27" t="s">
        <v>2130</v>
      </c>
      <c r="D1949" s="27" t="s">
        <v>17226</v>
      </c>
      <c r="E1949" s="27" t="s">
        <v>17227</v>
      </c>
      <c r="F1949" s="27" t="s">
        <v>17228</v>
      </c>
      <c r="G1949" s="28"/>
      <c r="H1949" s="6" t="s">
        <v>63</v>
      </c>
      <c r="I1949" s="6" t="s">
        <v>62</v>
      </c>
      <c r="J1949" s="6" t="s">
        <v>63</v>
      </c>
      <c r="K1949" s="6" t="s">
        <v>63</v>
      </c>
      <c r="L1949" s="6" t="s">
        <v>64</v>
      </c>
      <c r="M1949" s="27" t="s">
        <v>17229</v>
      </c>
      <c r="N1949" s="27" t="s">
        <v>17230</v>
      </c>
      <c r="O1949" s="6" t="s">
        <v>2811</v>
      </c>
      <c r="P1949" s="28"/>
      <c r="Q1949" s="6" t="s">
        <v>67</v>
      </c>
      <c r="R1949" s="6" t="s">
        <v>68</v>
      </c>
      <c r="S1949" s="28"/>
      <c r="T1949" s="6" t="s">
        <v>6138</v>
      </c>
      <c r="U1949" s="7" t="n">
        <v>3</v>
      </c>
      <c r="V1949" s="7" t="n">
        <v>3</v>
      </c>
      <c r="W1949" s="8" t="s">
        <v>6313</v>
      </c>
      <c r="X1949" s="8" t="s">
        <v>6313</v>
      </c>
      <c r="Y1949" s="8" t="s">
        <v>16493</v>
      </c>
      <c r="Z1949" s="8" t="s">
        <v>16493</v>
      </c>
      <c r="AA1949" s="7" t="n">
        <v>391</v>
      </c>
      <c r="AB1949" s="7" t="n">
        <v>318</v>
      </c>
      <c r="AC1949" s="7" t="n">
        <v>325</v>
      </c>
      <c r="AD1949" s="7" t="n">
        <v>4</v>
      </c>
      <c r="AE1949" s="7" t="n">
        <v>4</v>
      </c>
      <c r="AF1949" s="7" t="n">
        <v>17</v>
      </c>
      <c r="AG1949" s="7" t="n">
        <v>17</v>
      </c>
      <c r="AH1949" s="7" t="n">
        <v>3</v>
      </c>
      <c r="AI1949" s="7" t="n">
        <v>3</v>
      </c>
      <c r="AJ1949" s="7" t="n">
        <v>4</v>
      </c>
      <c r="AK1949" s="7" t="n">
        <v>4</v>
      </c>
      <c r="AL1949" s="7" t="n">
        <v>9</v>
      </c>
      <c r="AM1949" s="7" t="n">
        <v>9</v>
      </c>
      <c r="AN1949" s="7" t="n">
        <v>3</v>
      </c>
      <c r="AO1949" s="7" t="n">
        <v>3</v>
      </c>
      <c r="AP1949" s="7" t="n">
        <v>0</v>
      </c>
      <c r="AQ1949" s="7" t="n">
        <v>0</v>
      </c>
      <c r="AR1949" s="6" t="s">
        <v>63</v>
      </c>
      <c r="AS1949" s="6" t="s">
        <v>57</v>
      </c>
      <c r="AT1949" s="9" t="str">
        <f aca="false">HYPERLINK("http://catalog.hathitrust.org/Record/001381875","HathiTrust Record")</f>
        <v>HathiTrust Record</v>
      </c>
      <c r="AU1949" s="9" t="str">
        <f aca="false">HYPERLINK("https://creighton-primo.hosted.exlibrisgroup.com/primo-explore/search?tab=default_tab&amp;search_scope=EVERYTHING&amp;vid=01CRU&amp;lang=en_US&amp;offset=0&amp;query=any,contains,991002005999702656","Catalog Record")</f>
        <v>Catalog Record</v>
      </c>
      <c r="AV1949" s="9" t="str">
        <f aca="false">HYPERLINK("http://www.worldcat.org/oclc/258117","WorldCat Record")</f>
        <v>WorldCat Record</v>
      </c>
      <c r="AW1949" s="6" t="s">
        <v>17231</v>
      </c>
      <c r="AX1949" s="6" t="s">
        <v>17232</v>
      </c>
      <c r="AY1949" s="6" t="s">
        <v>17233</v>
      </c>
      <c r="AZ1949" s="6" t="s">
        <v>17233</v>
      </c>
      <c r="BA1949" s="6" t="s">
        <v>17234</v>
      </c>
      <c r="BB1949" s="28"/>
      <c r="BC1949" s="6" t="s">
        <v>17235</v>
      </c>
      <c r="BE1949" s="15" t="s">
        <v>2145</v>
      </c>
      <c r="BF1949" s="6" t="s">
        <v>17236</v>
      </c>
    </row>
    <row r="1950" customFormat="false" ht="48" hidden="false" customHeight="false" outlineLevel="0" collapsed="false">
      <c r="A1950" s="26" t="s">
        <v>63</v>
      </c>
      <c r="B1950" s="27" t="s">
        <v>2129</v>
      </c>
      <c r="C1950" s="27" t="s">
        <v>2130</v>
      </c>
      <c r="D1950" s="27" t="s">
        <v>17237</v>
      </c>
      <c r="E1950" s="27" t="s">
        <v>17238</v>
      </c>
      <c r="F1950" s="27" t="s">
        <v>17239</v>
      </c>
      <c r="G1950" s="28"/>
      <c r="H1950" s="6" t="s">
        <v>63</v>
      </c>
      <c r="I1950" s="6" t="s">
        <v>62</v>
      </c>
      <c r="J1950" s="6" t="s">
        <v>63</v>
      </c>
      <c r="K1950" s="6" t="s">
        <v>63</v>
      </c>
      <c r="L1950" s="6" t="s">
        <v>64</v>
      </c>
      <c r="M1950" s="27" t="s">
        <v>17240</v>
      </c>
      <c r="N1950" s="27" t="s">
        <v>17241</v>
      </c>
      <c r="O1950" s="6" t="s">
        <v>264</v>
      </c>
      <c r="P1950" s="28"/>
      <c r="Q1950" s="6" t="s">
        <v>67</v>
      </c>
      <c r="R1950" s="6" t="s">
        <v>68</v>
      </c>
      <c r="S1950" s="28"/>
      <c r="T1950" s="6" t="s">
        <v>6138</v>
      </c>
      <c r="U1950" s="7" t="n">
        <v>1</v>
      </c>
      <c r="V1950" s="7" t="n">
        <v>1</v>
      </c>
      <c r="W1950" s="8" t="s">
        <v>6313</v>
      </c>
      <c r="X1950" s="8" t="s">
        <v>6313</v>
      </c>
      <c r="Y1950" s="8" t="s">
        <v>16493</v>
      </c>
      <c r="Z1950" s="8" t="s">
        <v>16493</v>
      </c>
      <c r="AA1950" s="7" t="n">
        <v>695</v>
      </c>
      <c r="AB1950" s="7" t="n">
        <v>650</v>
      </c>
      <c r="AC1950" s="7" t="n">
        <v>680</v>
      </c>
      <c r="AD1950" s="7" t="n">
        <v>6</v>
      </c>
      <c r="AE1950" s="7" t="n">
        <v>7</v>
      </c>
      <c r="AF1950" s="7" t="n">
        <v>22</v>
      </c>
      <c r="AG1950" s="7" t="n">
        <v>24</v>
      </c>
      <c r="AH1950" s="7" t="n">
        <v>5</v>
      </c>
      <c r="AI1950" s="7" t="n">
        <v>6</v>
      </c>
      <c r="AJ1950" s="7" t="n">
        <v>5</v>
      </c>
      <c r="AK1950" s="7" t="n">
        <v>5</v>
      </c>
      <c r="AL1950" s="7" t="n">
        <v>12</v>
      </c>
      <c r="AM1950" s="7" t="n">
        <v>12</v>
      </c>
      <c r="AN1950" s="7" t="n">
        <v>4</v>
      </c>
      <c r="AO1950" s="7" t="n">
        <v>5</v>
      </c>
      <c r="AP1950" s="7" t="n">
        <v>0</v>
      </c>
      <c r="AQ1950" s="7" t="n">
        <v>0</v>
      </c>
      <c r="AR1950" s="6" t="s">
        <v>63</v>
      </c>
      <c r="AS1950" s="6" t="s">
        <v>57</v>
      </c>
      <c r="AT1950" s="9" t="str">
        <f aca="false">HYPERLINK("http://catalog.hathitrust.org/Record/001381876","HathiTrust Record")</f>
        <v>HathiTrust Record</v>
      </c>
      <c r="AU1950" s="9" t="str">
        <f aca="false">HYPERLINK("https://creighton-primo.hosted.exlibrisgroup.com/primo-explore/search?tab=default_tab&amp;search_scope=EVERYTHING&amp;vid=01CRU&amp;lang=en_US&amp;offset=0&amp;query=any,contains,991000636289702656","Catalog Record")</f>
        <v>Catalog Record</v>
      </c>
      <c r="AV1950" s="9" t="str">
        <f aca="false">HYPERLINK("http://www.worldcat.org/oclc/108016","WorldCat Record")</f>
        <v>WorldCat Record</v>
      </c>
      <c r="AW1950" s="6" t="s">
        <v>17242</v>
      </c>
      <c r="AX1950" s="6" t="s">
        <v>17243</v>
      </c>
      <c r="AY1950" s="6" t="s">
        <v>17244</v>
      </c>
      <c r="AZ1950" s="6" t="s">
        <v>17244</v>
      </c>
      <c r="BA1950" s="6" t="s">
        <v>17245</v>
      </c>
      <c r="BB1950" s="6" t="s">
        <v>17246</v>
      </c>
      <c r="BC1950" s="6" t="s">
        <v>17247</v>
      </c>
      <c r="BE1950" s="15" t="s">
        <v>2145</v>
      </c>
      <c r="BF1950" s="6" t="s">
        <v>17248</v>
      </c>
    </row>
    <row r="1951" customFormat="false" ht="474" hidden="false" customHeight="false" outlineLevel="0" collapsed="false">
      <c r="A1951" s="26" t="s">
        <v>63</v>
      </c>
      <c r="B1951" s="27" t="s">
        <v>2129</v>
      </c>
      <c r="C1951" s="27" t="s">
        <v>2130</v>
      </c>
      <c r="D1951" s="27" t="s">
        <v>17249</v>
      </c>
      <c r="E1951" s="27" t="s">
        <v>17250</v>
      </c>
      <c r="F1951" s="27" t="s">
        <v>17251</v>
      </c>
      <c r="G1951" s="6" t="s">
        <v>502</v>
      </c>
      <c r="H1951" s="6" t="s">
        <v>57</v>
      </c>
      <c r="I1951" s="6" t="s">
        <v>62</v>
      </c>
      <c r="J1951" s="6" t="s">
        <v>63</v>
      </c>
      <c r="K1951" s="6" t="s">
        <v>63</v>
      </c>
      <c r="L1951" s="6" t="s">
        <v>64</v>
      </c>
      <c r="M1951" s="28"/>
      <c r="N1951" s="27" t="s">
        <v>17252</v>
      </c>
      <c r="O1951" s="6" t="s">
        <v>2975</v>
      </c>
      <c r="P1951" s="28"/>
      <c r="Q1951" s="6" t="s">
        <v>4501</v>
      </c>
      <c r="R1951" s="6" t="s">
        <v>802</v>
      </c>
      <c r="S1951" s="28"/>
      <c r="T1951" s="6" t="s">
        <v>6138</v>
      </c>
      <c r="U1951" s="7" t="n">
        <v>3</v>
      </c>
      <c r="V1951" s="7" t="n">
        <v>3</v>
      </c>
      <c r="W1951" s="8" t="s">
        <v>17253</v>
      </c>
      <c r="X1951" s="8" t="s">
        <v>17253</v>
      </c>
      <c r="Y1951" s="8" t="s">
        <v>16493</v>
      </c>
      <c r="Z1951" s="8" t="s">
        <v>16493</v>
      </c>
      <c r="AA1951" s="7" t="n">
        <v>206</v>
      </c>
      <c r="AB1951" s="7" t="n">
        <v>163</v>
      </c>
      <c r="AC1951" s="7" t="n">
        <v>165</v>
      </c>
      <c r="AD1951" s="7" t="n">
        <v>2</v>
      </c>
      <c r="AE1951" s="7" t="n">
        <v>2</v>
      </c>
      <c r="AF1951" s="7" t="n">
        <v>13</v>
      </c>
      <c r="AG1951" s="7" t="n">
        <v>13</v>
      </c>
      <c r="AH1951" s="7" t="n">
        <v>2</v>
      </c>
      <c r="AI1951" s="7" t="n">
        <v>2</v>
      </c>
      <c r="AJ1951" s="7" t="n">
        <v>5</v>
      </c>
      <c r="AK1951" s="7" t="n">
        <v>5</v>
      </c>
      <c r="AL1951" s="7" t="n">
        <v>8</v>
      </c>
      <c r="AM1951" s="7" t="n">
        <v>8</v>
      </c>
      <c r="AN1951" s="7" t="n">
        <v>1</v>
      </c>
      <c r="AO1951" s="7" t="n">
        <v>1</v>
      </c>
      <c r="AP1951" s="7" t="n">
        <v>0</v>
      </c>
      <c r="AQ1951" s="7" t="n">
        <v>0</v>
      </c>
      <c r="AR1951" s="6" t="s">
        <v>63</v>
      </c>
      <c r="AS1951" s="6" t="s">
        <v>57</v>
      </c>
      <c r="AT1951" s="9" t="str">
        <f aca="false">HYPERLINK("http://catalog.hathitrust.org/Record/001381883","HathiTrust Record")</f>
        <v>HathiTrust Record</v>
      </c>
      <c r="AU1951" s="9" t="str">
        <f aca="false">HYPERLINK("https://creighton-primo.hosted.exlibrisgroup.com/primo-explore/search?tab=default_tab&amp;search_scope=EVERYTHING&amp;vid=01CRU&amp;lang=en_US&amp;offset=0&amp;query=any,contains,991001913759702656","Catalog Record")</f>
        <v>Catalog Record</v>
      </c>
      <c r="AV1951" s="9" t="str">
        <f aca="false">HYPERLINK("http://www.worldcat.org/oclc/242984","WorldCat Record")</f>
        <v>WorldCat Record</v>
      </c>
      <c r="AW1951" s="6" t="s">
        <v>17254</v>
      </c>
      <c r="AX1951" s="6" t="s">
        <v>17255</v>
      </c>
      <c r="AY1951" s="6" t="s">
        <v>17256</v>
      </c>
      <c r="AZ1951" s="6" t="s">
        <v>17256</v>
      </c>
      <c r="BA1951" s="6" t="s">
        <v>17257</v>
      </c>
      <c r="BB1951" s="28"/>
      <c r="BC1951" s="6" t="s">
        <v>17258</v>
      </c>
      <c r="BE1951" s="15" t="s">
        <v>2145</v>
      </c>
      <c r="BF1951" s="6" t="s">
        <v>17259</v>
      </c>
    </row>
    <row r="1952" customFormat="false" ht="474" hidden="false" customHeight="false" outlineLevel="0" collapsed="false">
      <c r="A1952" s="26" t="s">
        <v>63</v>
      </c>
      <c r="B1952" s="27" t="s">
        <v>2129</v>
      </c>
      <c r="C1952" s="27" t="s">
        <v>2130</v>
      </c>
      <c r="D1952" s="27" t="s">
        <v>17249</v>
      </c>
      <c r="E1952" s="27" t="s">
        <v>17250</v>
      </c>
      <c r="F1952" s="27" t="s">
        <v>17251</v>
      </c>
      <c r="G1952" s="6" t="s">
        <v>498</v>
      </c>
      <c r="H1952" s="6" t="s">
        <v>57</v>
      </c>
      <c r="I1952" s="6" t="s">
        <v>62</v>
      </c>
      <c r="J1952" s="6" t="s">
        <v>63</v>
      </c>
      <c r="K1952" s="6" t="s">
        <v>63</v>
      </c>
      <c r="L1952" s="6" t="s">
        <v>64</v>
      </c>
      <c r="M1952" s="28"/>
      <c r="N1952" s="27" t="s">
        <v>17252</v>
      </c>
      <c r="O1952" s="6" t="s">
        <v>2975</v>
      </c>
      <c r="P1952" s="28"/>
      <c r="Q1952" s="6" t="s">
        <v>4501</v>
      </c>
      <c r="R1952" s="6" t="s">
        <v>802</v>
      </c>
      <c r="S1952" s="28"/>
      <c r="T1952" s="6" t="s">
        <v>6138</v>
      </c>
      <c r="U1952" s="7" t="n">
        <v>0</v>
      </c>
      <c r="V1952" s="7" t="n">
        <v>3</v>
      </c>
      <c r="W1952" s="28"/>
      <c r="X1952" s="8" t="s">
        <v>17253</v>
      </c>
      <c r="Y1952" s="8" t="s">
        <v>16493</v>
      </c>
      <c r="Z1952" s="8" t="s">
        <v>16493</v>
      </c>
      <c r="AA1952" s="7" t="n">
        <v>206</v>
      </c>
      <c r="AB1952" s="7" t="n">
        <v>163</v>
      </c>
      <c r="AC1952" s="7" t="n">
        <v>165</v>
      </c>
      <c r="AD1952" s="7" t="n">
        <v>2</v>
      </c>
      <c r="AE1952" s="7" t="n">
        <v>2</v>
      </c>
      <c r="AF1952" s="7" t="n">
        <v>13</v>
      </c>
      <c r="AG1952" s="7" t="n">
        <v>13</v>
      </c>
      <c r="AH1952" s="7" t="n">
        <v>2</v>
      </c>
      <c r="AI1952" s="7" t="n">
        <v>2</v>
      </c>
      <c r="AJ1952" s="7" t="n">
        <v>5</v>
      </c>
      <c r="AK1952" s="7" t="n">
        <v>5</v>
      </c>
      <c r="AL1952" s="7" t="n">
        <v>8</v>
      </c>
      <c r="AM1952" s="7" t="n">
        <v>8</v>
      </c>
      <c r="AN1952" s="7" t="n">
        <v>1</v>
      </c>
      <c r="AO1952" s="7" t="n">
        <v>1</v>
      </c>
      <c r="AP1952" s="7" t="n">
        <v>0</v>
      </c>
      <c r="AQ1952" s="7" t="n">
        <v>0</v>
      </c>
      <c r="AR1952" s="6" t="s">
        <v>63</v>
      </c>
      <c r="AS1952" s="6" t="s">
        <v>57</v>
      </c>
      <c r="AT1952" s="9" t="str">
        <f aca="false">HYPERLINK("http://catalog.hathitrust.org/Record/001381883","HathiTrust Record")</f>
        <v>HathiTrust Record</v>
      </c>
      <c r="AU1952" s="9" t="str">
        <f aca="false">HYPERLINK("https://creighton-primo.hosted.exlibrisgroup.com/primo-explore/search?tab=default_tab&amp;search_scope=EVERYTHING&amp;vid=01CRU&amp;lang=en_US&amp;offset=0&amp;query=any,contains,991001913759702656","Catalog Record")</f>
        <v>Catalog Record</v>
      </c>
      <c r="AV1952" s="9" t="str">
        <f aca="false">HYPERLINK("http://www.worldcat.org/oclc/242984","WorldCat Record")</f>
        <v>WorldCat Record</v>
      </c>
      <c r="AW1952" s="6" t="s">
        <v>17254</v>
      </c>
      <c r="AX1952" s="6" t="s">
        <v>17255</v>
      </c>
      <c r="AY1952" s="6" t="s">
        <v>17256</v>
      </c>
      <c r="AZ1952" s="6" t="s">
        <v>17256</v>
      </c>
      <c r="BA1952" s="6" t="s">
        <v>17257</v>
      </c>
      <c r="BB1952" s="28"/>
      <c r="BC1952" s="6" t="s">
        <v>17260</v>
      </c>
      <c r="BE1952" s="15" t="s">
        <v>2145</v>
      </c>
      <c r="BF1952" s="6" t="s">
        <v>17261</v>
      </c>
    </row>
    <row r="1953" customFormat="false" ht="209" hidden="false" customHeight="false" outlineLevel="0" collapsed="false">
      <c r="A1953" s="26" t="s">
        <v>63</v>
      </c>
      <c r="B1953" s="27" t="s">
        <v>2129</v>
      </c>
      <c r="C1953" s="27" t="s">
        <v>2130</v>
      </c>
      <c r="D1953" s="27" t="s">
        <v>17262</v>
      </c>
      <c r="E1953" s="27" t="s">
        <v>17263</v>
      </c>
      <c r="F1953" s="27" t="s">
        <v>17264</v>
      </c>
      <c r="G1953" s="6" t="s">
        <v>498</v>
      </c>
      <c r="H1953" s="6" t="s">
        <v>63</v>
      </c>
      <c r="I1953" s="6" t="s">
        <v>62</v>
      </c>
      <c r="J1953" s="6" t="s">
        <v>63</v>
      </c>
      <c r="K1953" s="6" t="s">
        <v>63</v>
      </c>
      <c r="L1953" s="6" t="s">
        <v>64</v>
      </c>
      <c r="M1953" s="27" t="s">
        <v>17265</v>
      </c>
      <c r="N1953" s="27" t="s">
        <v>17266</v>
      </c>
      <c r="O1953" s="6" t="s">
        <v>90</v>
      </c>
      <c r="P1953" s="28"/>
      <c r="Q1953" s="6" t="s">
        <v>67</v>
      </c>
      <c r="R1953" s="6" t="s">
        <v>222</v>
      </c>
      <c r="S1953" s="27" t="s">
        <v>17267</v>
      </c>
      <c r="T1953" s="6" t="s">
        <v>6138</v>
      </c>
      <c r="U1953" s="7" t="n">
        <v>2</v>
      </c>
      <c r="V1953" s="7" t="n">
        <v>2</v>
      </c>
      <c r="W1953" s="8" t="s">
        <v>17268</v>
      </c>
      <c r="X1953" s="8" t="s">
        <v>17268</v>
      </c>
      <c r="Y1953" s="8" t="s">
        <v>17269</v>
      </c>
      <c r="Z1953" s="8" t="s">
        <v>17269</v>
      </c>
      <c r="AA1953" s="7" t="n">
        <v>579</v>
      </c>
      <c r="AB1953" s="7" t="n">
        <v>468</v>
      </c>
      <c r="AC1953" s="7" t="n">
        <v>474</v>
      </c>
      <c r="AD1953" s="7" t="n">
        <v>5</v>
      </c>
      <c r="AE1953" s="7" t="n">
        <v>5</v>
      </c>
      <c r="AF1953" s="7" t="n">
        <v>38</v>
      </c>
      <c r="AG1953" s="7" t="n">
        <v>38</v>
      </c>
      <c r="AH1953" s="7" t="n">
        <v>15</v>
      </c>
      <c r="AI1953" s="7" t="n">
        <v>15</v>
      </c>
      <c r="AJ1953" s="7" t="n">
        <v>9</v>
      </c>
      <c r="AK1953" s="7" t="n">
        <v>9</v>
      </c>
      <c r="AL1953" s="7" t="n">
        <v>20</v>
      </c>
      <c r="AM1953" s="7" t="n">
        <v>20</v>
      </c>
      <c r="AN1953" s="7" t="n">
        <v>4</v>
      </c>
      <c r="AO1953" s="7" t="n">
        <v>4</v>
      </c>
      <c r="AP1953" s="7" t="n">
        <v>1</v>
      </c>
      <c r="AQ1953" s="7" t="n">
        <v>1</v>
      </c>
      <c r="AR1953" s="6" t="s">
        <v>63</v>
      </c>
      <c r="AS1953" s="6" t="s">
        <v>57</v>
      </c>
      <c r="AT1953" s="9" t="str">
        <f aca="false">HYPERLINK("http://catalog.hathitrust.org/Record/004256179","HathiTrust Record")</f>
        <v>HathiTrust Record</v>
      </c>
      <c r="AU1953" s="9" t="str">
        <f aca="false">HYPERLINK("https://creighton-primo.hosted.exlibrisgroup.com/primo-explore/search?tab=default_tab&amp;search_scope=EVERYTHING&amp;vid=01CRU&amp;lang=en_US&amp;offset=0&amp;query=any,contains,991003536019702656","Catalog Record")</f>
        <v>Catalog Record</v>
      </c>
      <c r="AV1953" s="9" t="str">
        <f aca="false">HYPERLINK("http://www.worldcat.org/oclc/45362539","WorldCat Record")</f>
        <v>WorldCat Record</v>
      </c>
      <c r="AW1953" s="6" t="s">
        <v>17270</v>
      </c>
      <c r="AX1953" s="6" t="s">
        <v>17271</v>
      </c>
      <c r="AY1953" s="6" t="s">
        <v>17272</v>
      </c>
      <c r="AZ1953" s="6" t="s">
        <v>17272</v>
      </c>
      <c r="BA1953" s="6" t="s">
        <v>17273</v>
      </c>
      <c r="BB1953" s="6" t="s">
        <v>17274</v>
      </c>
      <c r="BC1953" s="6" t="s">
        <v>17275</v>
      </c>
      <c r="BE1953" s="15" t="s">
        <v>2145</v>
      </c>
      <c r="BF1953" s="6" t="s">
        <v>17276</v>
      </c>
    </row>
    <row r="1954" customFormat="false" ht="94" hidden="false" customHeight="false" outlineLevel="0" collapsed="false">
      <c r="A1954" s="26" t="s">
        <v>63</v>
      </c>
      <c r="B1954" s="27" t="s">
        <v>2129</v>
      </c>
      <c r="C1954" s="27" t="s">
        <v>2130</v>
      </c>
      <c r="D1954" s="27" t="s">
        <v>17277</v>
      </c>
      <c r="E1954" s="27" t="s">
        <v>17278</v>
      </c>
      <c r="F1954" s="27" t="s">
        <v>17279</v>
      </c>
      <c r="G1954" s="28"/>
      <c r="H1954" s="6" t="s">
        <v>63</v>
      </c>
      <c r="I1954" s="6" t="s">
        <v>62</v>
      </c>
      <c r="J1954" s="6" t="s">
        <v>63</v>
      </c>
      <c r="K1954" s="6" t="s">
        <v>63</v>
      </c>
      <c r="L1954" s="6" t="s">
        <v>64</v>
      </c>
      <c r="M1954" s="27" t="s">
        <v>17280</v>
      </c>
      <c r="N1954" s="28"/>
      <c r="O1954" s="6" t="s">
        <v>180</v>
      </c>
      <c r="P1954" s="28"/>
      <c r="Q1954" s="6" t="s">
        <v>67</v>
      </c>
      <c r="R1954" s="6" t="s">
        <v>68</v>
      </c>
      <c r="S1954" s="28"/>
      <c r="T1954" s="6" t="s">
        <v>6138</v>
      </c>
      <c r="U1954" s="7" t="n">
        <v>3</v>
      </c>
      <c r="V1954" s="7" t="n">
        <v>3</v>
      </c>
      <c r="W1954" s="8" t="s">
        <v>17281</v>
      </c>
      <c r="X1954" s="8" t="s">
        <v>17281</v>
      </c>
      <c r="Y1954" s="8" t="s">
        <v>16493</v>
      </c>
      <c r="Z1954" s="8" t="s">
        <v>16493</v>
      </c>
      <c r="AA1954" s="7" t="n">
        <v>293</v>
      </c>
      <c r="AB1954" s="7" t="n">
        <v>241</v>
      </c>
      <c r="AC1954" s="7" t="n">
        <v>241</v>
      </c>
      <c r="AD1954" s="7" t="n">
        <v>3</v>
      </c>
      <c r="AE1954" s="7" t="n">
        <v>3</v>
      </c>
      <c r="AF1954" s="7" t="n">
        <v>21</v>
      </c>
      <c r="AG1954" s="7" t="n">
        <v>21</v>
      </c>
      <c r="AH1954" s="7" t="n">
        <v>6</v>
      </c>
      <c r="AI1954" s="7" t="n">
        <v>6</v>
      </c>
      <c r="AJ1954" s="7" t="n">
        <v>4</v>
      </c>
      <c r="AK1954" s="7" t="n">
        <v>4</v>
      </c>
      <c r="AL1954" s="7" t="n">
        <v>16</v>
      </c>
      <c r="AM1954" s="7" t="n">
        <v>16</v>
      </c>
      <c r="AN1954" s="7" t="n">
        <v>2</v>
      </c>
      <c r="AO1954" s="7" t="n">
        <v>2</v>
      </c>
      <c r="AP1954" s="7" t="n">
        <v>0</v>
      </c>
      <c r="AQ1954" s="7" t="n">
        <v>0</v>
      </c>
      <c r="AR1954" s="6" t="s">
        <v>63</v>
      </c>
      <c r="AS1954" s="6" t="s">
        <v>63</v>
      </c>
      <c r="AT1954" s="28"/>
      <c r="AU1954" s="9" t="str">
        <f aca="false">HYPERLINK("https://creighton-primo.hosted.exlibrisgroup.com/primo-explore/search?tab=default_tab&amp;search_scope=EVERYTHING&amp;vid=01CRU&amp;lang=en_US&amp;offset=0&amp;query=any,contains,991004430349702656","Catalog Record")</f>
        <v>Catalog Record</v>
      </c>
      <c r="AV1954" s="9" t="str">
        <f aca="false">HYPERLINK("http://www.worldcat.org/oclc/3416391","WorldCat Record")</f>
        <v>WorldCat Record</v>
      </c>
      <c r="AW1954" s="6" t="s">
        <v>17282</v>
      </c>
      <c r="AX1954" s="6" t="s">
        <v>17283</v>
      </c>
      <c r="AY1954" s="6" t="s">
        <v>17284</v>
      </c>
      <c r="AZ1954" s="6" t="s">
        <v>17284</v>
      </c>
      <c r="BA1954" s="6" t="s">
        <v>17285</v>
      </c>
      <c r="BB1954" s="28"/>
      <c r="BC1954" s="6" t="s">
        <v>17286</v>
      </c>
      <c r="BE1954" s="15" t="s">
        <v>2145</v>
      </c>
      <c r="BF1954" s="6" t="s">
        <v>17287</v>
      </c>
    </row>
    <row r="1955" customFormat="false" ht="140" hidden="false" customHeight="false" outlineLevel="0" collapsed="false">
      <c r="A1955" s="26" t="s">
        <v>63</v>
      </c>
      <c r="B1955" s="27" t="s">
        <v>2129</v>
      </c>
      <c r="C1955" s="27" t="s">
        <v>2130</v>
      </c>
      <c r="D1955" s="27" t="s">
        <v>17288</v>
      </c>
      <c r="E1955" s="27" t="s">
        <v>17289</v>
      </c>
      <c r="F1955" s="27" t="s">
        <v>17290</v>
      </c>
      <c r="G1955" s="28"/>
      <c r="H1955" s="6" t="s">
        <v>63</v>
      </c>
      <c r="I1955" s="6" t="s">
        <v>62</v>
      </c>
      <c r="J1955" s="6" t="s">
        <v>63</v>
      </c>
      <c r="K1955" s="6" t="s">
        <v>63</v>
      </c>
      <c r="L1955" s="6" t="s">
        <v>64</v>
      </c>
      <c r="M1955" s="27" t="s">
        <v>17291</v>
      </c>
      <c r="N1955" s="27" t="s">
        <v>17292</v>
      </c>
      <c r="O1955" s="6" t="s">
        <v>3661</v>
      </c>
      <c r="P1955" s="28"/>
      <c r="Q1955" s="6" t="s">
        <v>67</v>
      </c>
      <c r="R1955" s="6" t="s">
        <v>1059</v>
      </c>
      <c r="S1955" s="27" t="s">
        <v>17293</v>
      </c>
      <c r="T1955" s="6" t="s">
        <v>6138</v>
      </c>
      <c r="U1955" s="7" t="n">
        <v>3</v>
      </c>
      <c r="V1955" s="7" t="n">
        <v>3</v>
      </c>
      <c r="W1955" s="8" t="s">
        <v>17294</v>
      </c>
      <c r="X1955" s="8" t="s">
        <v>17294</v>
      </c>
      <c r="Y1955" s="8" t="s">
        <v>16493</v>
      </c>
      <c r="Z1955" s="8" t="s">
        <v>16493</v>
      </c>
      <c r="AA1955" s="7" t="n">
        <v>206</v>
      </c>
      <c r="AB1955" s="7" t="n">
        <v>191</v>
      </c>
      <c r="AC1955" s="7" t="n">
        <v>755</v>
      </c>
      <c r="AD1955" s="7" t="n">
        <v>2</v>
      </c>
      <c r="AE1955" s="7" t="n">
        <v>7</v>
      </c>
      <c r="AF1955" s="7" t="n">
        <v>11</v>
      </c>
      <c r="AG1955" s="7" t="n">
        <v>27</v>
      </c>
      <c r="AH1955" s="7" t="n">
        <v>3</v>
      </c>
      <c r="AI1955" s="7" t="n">
        <v>13</v>
      </c>
      <c r="AJ1955" s="7" t="n">
        <v>2</v>
      </c>
      <c r="AK1955" s="7" t="n">
        <v>5</v>
      </c>
      <c r="AL1955" s="7" t="n">
        <v>6</v>
      </c>
      <c r="AM1955" s="7" t="n">
        <v>11</v>
      </c>
      <c r="AN1955" s="7" t="n">
        <v>1</v>
      </c>
      <c r="AO1955" s="7" t="n">
        <v>4</v>
      </c>
      <c r="AP1955" s="7" t="n">
        <v>0</v>
      </c>
      <c r="AQ1955" s="7" t="n">
        <v>0</v>
      </c>
      <c r="AR1955" s="6" t="s">
        <v>63</v>
      </c>
      <c r="AS1955" s="6" t="s">
        <v>63</v>
      </c>
      <c r="AT1955" s="28"/>
      <c r="AU1955" s="9" t="str">
        <f aca="false">HYPERLINK("https://creighton-primo.hosted.exlibrisgroup.com/primo-explore/search?tab=default_tab&amp;search_scope=EVERYTHING&amp;vid=01CRU&amp;lang=en_US&amp;offset=0&amp;query=any,contains,991002561049702656","Catalog Record")</f>
        <v>Catalog Record</v>
      </c>
      <c r="AV1955" s="9" t="str">
        <f aca="false">HYPERLINK("http://www.worldcat.org/oclc/371754","WorldCat Record")</f>
        <v>WorldCat Record</v>
      </c>
      <c r="AW1955" s="6" t="s">
        <v>17295</v>
      </c>
      <c r="AX1955" s="6" t="s">
        <v>17296</v>
      </c>
      <c r="AY1955" s="6" t="s">
        <v>17297</v>
      </c>
      <c r="AZ1955" s="6" t="s">
        <v>17297</v>
      </c>
      <c r="BA1955" s="6" t="s">
        <v>17298</v>
      </c>
      <c r="BB1955" s="28"/>
      <c r="BC1955" s="6" t="s">
        <v>17299</v>
      </c>
      <c r="BE1955" s="15" t="s">
        <v>2145</v>
      </c>
      <c r="BF1955" s="6" t="s">
        <v>17300</v>
      </c>
    </row>
    <row r="1956" customFormat="false" ht="174.5" hidden="false" customHeight="false" outlineLevel="0" collapsed="false">
      <c r="A1956" s="26" t="s">
        <v>63</v>
      </c>
      <c r="B1956" s="27" t="s">
        <v>2129</v>
      </c>
      <c r="C1956" s="27" t="s">
        <v>2130</v>
      </c>
      <c r="D1956" s="27" t="s">
        <v>17301</v>
      </c>
      <c r="E1956" s="27" t="s">
        <v>17302</v>
      </c>
      <c r="F1956" s="27" t="s">
        <v>17174</v>
      </c>
      <c r="G1956" s="28"/>
      <c r="H1956" s="6" t="s">
        <v>57</v>
      </c>
      <c r="I1956" s="6" t="s">
        <v>62</v>
      </c>
      <c r="J1956" s="6" t="s">
        <v>57</v>
      </c>
      <c r="K1956" s="6" t="s">
        <v>63</v>
      </c>
      <c r="L1956" s="6" t="s">
        <v>64</v>
      </c>
      <c r="M1956" s="27" t="s">
        <v>15360</v>
      </c>
      <c r="N1956" s="27" t="s">
        <v>17175</v>
      </c>
      <c r="O1956" s="6" t="s">
        <v>122</v>
      </c>
      <c r="P1956" s="28"/>
      <c r="Q1956" s="6" t="s">
        <v>6285</v>
      </c>
      <c r="R1956" s="6" t="s">
        <v>367</v>
      </c>
      <c r="S1956" s="27" t="s">
        <v>17176</v>
      </c>
      <c r="T1956" s="6" t="s">
        <v>6138</v>
      </c>
      <c r="U1956" s="7" t="n">
        <v>1</v>
      </c>
      <c r="V1956" s="7" t="n">
        <v>5</v>
      </c>
      <c r="W1956" s="28"/>
      <c r="X1956" s="8" t="s">
        <v>13822</v>
      </c>
      <c r="Y1956" s="8" t="s">
        <v>16493</v>
      </c>
      <c r="Z1956" s="8" t="s">
        <v>16493</v>
      </c>
      <c r="AA1956" s="7" t="n">
        <v>96</v>
      </c>
      <c r="AB1956" s="7" t="n">
        <v>70</v>
      </c>
      <c r="AC1956" s="7" t="n">
        <v>97</v>
      </c>
      <c r="AD1956" s="7" t="n">
        <v>1</v>
      </c>
      <c r="AE1956" s="7" t="n">
        <v>1</v>
      </c>
      <c r="AF1956" s="7" t="n">
        <v>8</v>
      </c>
      <c r="AG1956" s="7" t="n">
        <v>8</v>
      </c>
      <c r="AH1956" s="7" t="n">
        <v>1</v>
      </c>
      <c r="AI1956" s="7" t="n">
        <v>1</v>
      </c>
      <c r="AJ1956" s="7" t="n">
        <v>3</v>
      </c>
      <c r="AK1956" s="7" t="n">
        <v>3</v>
      </c>
      <c r="AL1956" s="7" t="n">
        <v>7</v>
      </c>
      <c r="AM1956" s="7" t="n">
        <v>7</v>
      </c>
      <c r="AN1956" s="7" t="n">
        <v>0</v>
      </c>
      <c r="AO1956" s="7" t="n">
        <v>0</v>
      </c>
      <c r="AP1956" s="7" t="n">
        <v>0</v>
      </c>
      <c r="AQ1956" s="7" t="n">
        <v>0</v>
      </c>
      <c r="AR1956" s="6" t="s">
        <v>63</v>
      </c>
      <c r="AS1956" s="6" t="s">
        <v>57</v>
      </c>
      <c r="AT1956" s="9" t="str">
        <f aca="false">HYPERLINK("http://catalog.hathitrust.org/Record/006751640","HathiTrust Record")</f>
        <v>HathiTrust Record</v>
      </c>
      <c r="AU1956" s="9" t="str">
        <f aca="false">HYPERLINK("https://creighton-primo.hosted.exlibrisgroup.com/primo-explore/search?tab=default_tab&amp;search_scope=EVERYTHING&amp;vid=01CRU&amp;lang=en_US&amp;offset=0&amp;query=any,contains,991003446009702656","Catalog Record")</f>
        <v>Catalog Record</v>
      </c>
      <c r="AV1956" s="9" t="str">
        <f aca="false">HYPERLINK("http://www.worldcat.org/oclc/981265","WorldCat Record")</f>
        <v>WorldCat Record</v>
      </c>
      <c r="AW1956" s="6" t="s">
        <v>17177</v>
      </c>
      <c r="AX1956" s="6" t="s">
        <v>17178</v>
      </c>
      <c r="AY1956" s="6" t="s">
        <v>17179</v>
      </c>
      <c r="AZ1956" s="6" t="s">
        <v>17179</v>
      </c>
      <c r="BA1956" s="6" t="s">
        <v>17180</v>
      </c>
      <c r="BB1956" s="28"/>
      <c r="BC1956" s="6" t="s">
        <v>17303</v>
      </c>
      <c r="BE1956" s="15" t="s">
        <v>2145</v>
      </c>
      <c r="BF1956" s="6" t="s">
        <v>17304</v>
      </c>
    </row>
    <row r="1957" customFormat="false" ht="59.5" hidden="false" customHeight="false" outlineLevel="0" collapsed="false">
      <c r="A1957" s="26" t="s">
        <v>63</v>
      </c>
      <c r="B1957" s="27" t="s">
        <v>2129</v>
      </c>
      <c r="C1957" s="27" t="s">
        <v>2130</v>
      </c>
      <c r="D1957" s="27" t="s">
        <v>17305</v>
      </c>
      <c r="E1957" s="27" t="s">
        <v>17306</v>
      </c>
      <c r="F1957" s="27" t="s">
        <v>17307</v>
      </c>
      <c r="G1957" s="28"/>
      <c r="H1957" s="6" t="s">
        <v>63</v>
      </c>
      <c r="I1957" s="6" t="s">
        <v>62</v>
      </c>
      <c r="J1957" s="6" t="s">
        <v>63</v>
      </c>
      <c r="K1957" s="6" t="s">
        <v>63</v>
      </c>
      <c r="L1957" s="6" t="s">
        <v>64</v>
      </c>
      <c r="M1957" s="27" t="s">
        <v>17308</v>
      </c>
      <c r="N1957" s="27" t="s">
        <v>17309</v>
      </c>
      <c r="O1957" s="6" t="s">
        <v>3648</v>
      </c>
      <c r="P1957" s="28"/>
      <c r="Q1957" s="6" t="s">
        <v>67</v>
      </c>
      <c r="R1957" s="6" t="s">
        <v>68</v>
      </c>
      <c r="S1957" s="28"/>
      <c r="T1957" s="6" t="s">
        <v>6138</v>
      </c>
      <c r="U1957" s="7" t="n">
        <v>2</v>
      </c>
      <c r="V1957" s="7" t="n">
        <v>2</v>
      </c>
      <c r="W1957" s="8" t="s">
        <v>17310</v>
      </c>
      <c r="X1957" s="8" t="s">
        <v>17310</v>
      </c>
      <c r="Y1957" s="8" t="s">
        <v>16493</v>
      </c>
      <c r="Z1957" s="8" t="s">
        <v>16493</v>
      </c>
      <c r="AA1957" s="7" t="n">
        <v>234</v>
      </c>
      <c r="AB1957" s="7" t="n">
        <v>211</v>
      </c>
      <c r="AC1957" s="7" t="n">
        <v>218</v>
      </c>
      <c r="AD1957" s="7" t="n">
        <v>2</v>
      </c>
      <c r="AE1957" s="7" t="n">
        <v>2</v>
      </c>
      <c r="AF1957" s="7" t="n">
        <v>27</v>
      </c>
      <c r="AG1957" s="7" t="n">
        <v>27</v>
      </c>
      <c r="AH1957" s="7" t="n">
        <v>9</v>
      </c>
      <c r="AI1957" s="7" t="n">
        <v>9</v>
      </c>
      <c r="AJ1957" s="7" t="n">
        <v>7</v>
      </c>
      <c r="AK1957" s="7" t="n">
        <v>7</v>
      </c>
      <c r="AL1957" s="7" t="n">
        <v>22</v>
      </c>
      <c r="AM1957" s="7" t="n">
        <v>22</v>
      </c>
      <c r="AN1957" s="7" t="n">
        <v>0</v>
      </c>
      <c r="AO1957" s="7" t="n">
        <v>0</v>
      </c>
      <c r="AP1957" s="7" t="n">
        <v>0</v>
      </c>
      <c r="AQ1957" s="7" t="n">
        <v>0</v>
      </c>
      <c r="AR1957" s="6" t="s">
        <v>63</v>
      </c>
      <c r="AS1957" s="6" t="s">
        <v>57</v>
      </c>
      <c r="AT1957" s="9" t="str">
        <f aca="false">HYPERLINK("http://catalog.hathitrust.org/Record/001381952","HathiTrust Record")</f>
        <v>HathiTrust Record</v>
      </c>
      <c r="AU1957" s="9" t="str">
        <f aca="false">HYPERLINK("https://creighton-primo.hosted.exlibrisgroup.com/primo-explore/search?tab=default_tab&amp;search_scope=EVERYTHING&amp;vid=01CRU&amp;lang=en_US&amp;offset=0&amp;query=any,contains,991003689069702656","Catalog Record")</f>
        <v>Catalog Record</v>
      </c>
      <c r="AV1957" s="9" t="str">
        <f aca="false">HYPERLINK("http://www.worldcat.org/oclc/1318546","WorldCat Record")</f>
        <v>WorldCat Record</v>
      </c>
      <c r="AW1957" s="6" t="s">
        <v>17311</v>
      </c>
      <c r="AX1957" s="6" t="s">
        <v>17312</v>
      </c>
      <c r="AY1957" s="6" t="s">
        <v>17313</v>
      </c>
      <c r="AZ1957" s="6" t="s">
        <v>17313</v>
      </c>
      <c r="BA1957" s="6" t="s">
        <v>17314</v>
      </c>
      <c r="BB1957" s="28"/>
      <c r="BC1957" s="6" t="s">
        <v>17315</v>
      </c>
      <c r="BE1957" s="15" t="s">
        <v>2145</v>
      </c>
      <c r="BF1957" s="6" t="s">
        <v>17316</v>
      </c>
    </row>
    <row r="1958" customFormat="false" ht="59.5" hidden="false" customHeight="false" outlineLevel="0" collapsed="false">
      <c r="A1958" s="26" t="s">
        <v>63</v>
      </c>
      <c r="B1958" s="27" t="s">
        <v>2129</v>
      </c>
      <c r="C1958" s="27" t="s">
        <v>2130</v>
      </c>
      <c r="D1958" s="27" t="s">
        <v>17317</v>
      </c>
      <c r="E1958" s="27" t="s">
        <v>17318</v>
      </c>
      <c r="F1958" s="27" t="s">
        <v>17319</v>
      </c>
      <c r="G1958" s="28"/>
      <c r="H1958" s="6" t="s">
        <v>63</v>
      </c>
      <c r="I1958" s="6" t="s">
        <v>62</v>
      </c>
      <c r="J1958" s="6" t="s">
        <v>63</v>
      </c>
      <c r="K1958" s="6" t="s">
        <v>63</v>
      </c>
      <c r="L1958" s="6" t="s">
        <v>64</v>
      </c>
      <c r="M1958" s="27" t="s">
        <v>17320</v>
      </c>
      <c r="N1958" s="27" t="s">
        <v>11531</v>
      </c>
      <c r="O1958" s="6" t="s">
        <v>2811</v>
      </c>
      <c r="P1958" s="28"/>
      <c r="Q1958" s="6" t="s">
        <v>67</v>
      </c>
      <c r="R1958" s="6" t="s">
        <v>802</v>
      </c>
      <c r="S1958" s="27" t="s">
        <v>17321</v>
      </c>
      <c r="T1958" s="6" t="s">
        <v>6138</v>
      </c>
      <c r="U1958" s="7" t="n">
        <v>1</v>
      </c>
      <c r="V1958" s="7" t="n">
        <v>1</v>
      </c>
      <c r="W1958" s="8" t="s">
        <v>4962</v>
      </c>
      <c r="X1958" s="8" t="s">
        <v>4962</v>
      </c>
      <c r="Y1958" s="8" t="s">
        <v>16493</v>
      </c>
      <c r="Z1958" s="8" t="s">
        <v>16493</v>
      </c>
      <c r="AA1958" s="7" t="n">
        <v>278</v>
      </c>
      <c r="AB1958" s="7" t="n">
        <v>208</v>
      </c>
      <c r="AC1958" s="7" t="n">
        <v>212</v>
      </c>
      <c r="AD1958" s="7" t="n">
        <v>3</v>
      </c>
      <c r="AE1958" s="7" t="n">
        <v>3</v>
      </c>
      <c r="AF1958" s="7" t="n">
        <v>20</v>
      </c>
      <c r="AG1958" s="7" t="n">
        <v>20</v>
      </c>
      <c r="AH1958" s="7" t="n">
        <v>3</v>
      </c>
      <c r="AI1958" s="7" t="n">
        <v>3</v>
      </c>
      <c r="AJ1958" s="7" t="n">
        <v>8</v>
      </c>
      <c r="AK1958" s="7" t="n">
        <v>8</v>
      </c>
      <c r="AL1958" s="7" t="n">
        <v>13</v>
      </c>
      <c r="AM1958" s="7" t="n">
        <v>13</v>
      </c>
      <c r="AN1958" s="7" t="n">
        <v>2</v>
      </c>
      <c r="AO1958" s="7" t="n">
        <v>2</v>
      </c>
      <c r="AP1958" s="7" t="n">
        <v>0</v>
      </c>
      <c r="AQ1958" s="7" t="n">
        <v>0</v>
      </c>
      <c r="AR1958" s="6" t="s">
        <v>63</v>
      </c>
      <c r="AS1958" s="6" t="s">
        <v>57</v>
      </c>
      <c r="AT1958" s="9" t="str">
        <f aca="false">HYPERLINK("http://catalog.hathitrust.org/Record/001381958","HathiTrust Record")</f>
        <v>HathiTrust Record</v>
      </c>
      <c r="AU1958" s="9" t="str">
        <f aca="false">HYPERLINK("https://creighton-primo.hosted.exlibrisgroup.com/primo-explore/search?tab=default_tab&amp;search_scope=EVERYTHING&amp;vid=01CRU&amp;lang=en_US&amp;offset=0&amp;query=any,contains,991000871499702656","Catalog Record")</f>
        <v>Catalog Record</v>
      </c>
      <c r="AV1958" s="9" t="str">
        <f aca="false">HYPERLINK("http://www.worldcat.org/oclc/151296","WorldCat Record")</f>
        <v>WorldCat Record</v>
      </c>
      <c r="AW1958" s="6" t="s">
        <v>17322</v>
      </c>
      <c r="AX1958" s="6" t="s">
        <v>17323</v>
      </c>
      <c r="AY1958" s="6" t="s">
        <v>17324</v>
      </c>
      <c r="AZ1958" s="6" t="s">
        <v>17324</v>
      </c>
      <c r="BA1958" s="6" t="s">
        <v>17325</v>
      </c>
      <c r="BB1958" s="28"/>
      <c r="BC1958" s="6" t="s">
        <v>17326</v>
      </c>
      <c r="BE1958" s="15" t="s">
        <v>2145</v>
      </c>
      <c r="BF1958" s="6" t="s">
        <v>17327</v>
      </c>
    </row>
    <row r="1959" customFormat="false" ht="151.5" hidden="false" customHeight="false" outlineLevel="0" collapsed="false">
      <c r="A1959" s="26" t="s">
        <v>63</v>
      </c>
      <c r="B1959" s="27" t="s">
        <v>2129</v>
      </c>
      <c r="C1959" s="27" t="s">
        <v>2130</v>
      </c>
      <c r="D1959" s="27" t="s">
        <v>17328</v>
      </c>
      <c r="E1959" s="27" t="s">
        <v>17329</v>
      </c>
      <c r="F1959" s="27" t="s">
        <v>17330</v>
      </c>
      <c r="G1959" s="28"/>
      <c r="H1959" s="6" t="s">
        <v>63</v>
      </c>
      <c r="I1959" s="6" t="s">
        <v>62</v>
      </c>
      <c r="J1959" s="6" t="s">
        <v>63</v>
      </c>
      <c r="K1959" s="6" t="s">
        <v>63</v>
      </c>
      <c r="L1959" s="6" t="s">
        <v>64</v>
      </c>
      <c r="M1959" s="27" t="s">
        <v>5931</v>
      </c>
      <c r="N1959" s="27" t="s">
        <v>17331</v>
      </c>
      <c r="O1959" s="6" t="s">
        <v>2693</v>
      </c>
      <c r="P1959" s="28"/>
      <c r="Q1959" s="6" t="s">
        <v>67</v>
      </c>
      <c r="R1959" s="6" t="s">
        <v>68</v>
      </c>
      <c r="S1959" s="27" t="s">
        <v>17332</v>
      </c>
      <c r="T1959" s="6" t="s">
        <v>6138</v>
      </c>
      <c r="U1959" s="7" t="n">
        <v>1</v>
      </c>
      <c r="V1959" s="7" t="n">
        <v>1</v>
      </c>
      <c r="W1959" s="8" t="s">
        <v>17333</v>
      </c>
      <c r="X1959" s="8" t="s">
        <v>17333</v>
      </c>
      <c r="Y1959" s="8" t="s">
        <v>2868</v>
      </c>
      <c r="Z1959" s="8" t="s">
        <v>2868</v>
      </c>
      <c r="AA1959" s="7" t="n">
        <v>448</v>
      </c>
      <c r="AB1959" s="7" t="n">
        <v>392</v>
      </c>
      <c r="AC1959" s="7" t="n">
        <v>394</v>
      </c>
      <c r="AD1959" s="7" t="n">
        <v>2</v>
      </c>
      <c r="AE1959" s="7" t="n">
        <v>2</v>
      </c>
      <c r="AF1959" s="7" t="n">
        <v>27</v>
      </c>
      <c r="AG1959" s="7" t="n">
        <v>27</v>
      </c>
      <c r="AH1959" s="7" t="n">
        <v>8</v>
      </c>
      <c r="AI1959" s="7" t="n">
        <v>8</v>
      </c>
      <c r="AJ1959" s="7" t="n">
        <v>7</v>
      </c>
      <c r="AK1959" s="7" t="n">
        <v>7</v>
      </c>
      <c r="AL1959" s="7" t="n">
        <v>18</v>
      </c>
      <c r="AM1959" s="7" t="n">
        <v>18</v>
      </c>
      <c r="AN1959" s="7" t="n">
        <v>1</v>
      </c>
      <c r="AO1959" s="7" t="n">
        <v>1</v>
      </c>
      <c r="AP1959" s="7" t="n">
        <v>0</v>
      </c>
      <c r="AQ1959" s="7" t="n">
        <v>0</v>
      </c>
      <c r="AR1959" s="6" t="s">
        <v>63</v>
      </c>
      <c r="AS1959" s="6" t="s">
        <v>57</v>
      </c>
      <c r="AT1959" s="9" t="str">
        <f aca="false">HYPERLINK("http://catalog.hathitrust.org/Record/001395680","HathiTrust Record")</f>
        <v>HathiTrust Record</v>
      </c>
      <c r="AU1959" s="9" t="str">
        <f aca="false">HYPERLINK("https://creighton-primo.hosted.exlibrisgroup.com/primo-explore/search?tab=default_tab&amp;search_scope=EVERYTHING&amp;vid=01CRU&amp;lang=en_US&amp;offset=0&amp;query=any,contains,991005434099702656","Catalog Record")</f>
        <v>Catalog Record</v>
      </c>
      <c r="AV1959" s="9" t="str">
        <f aca="false">HYPERLINK("http://www.worldcat.org/oclc/2287","WorldCat Record")</f>
        <v>WorldCat Record</v>
      </c>
      <c r="AW1959" s="6" t="s">
        <v>17334</v>
      </c>
      <c r="AX1959" s="6" t="s">
        <v>17335</v>
      </c>
      <c r="AY1959" s="6" t="s">
        <v>17336</v>
      </c>
      <c r="AZ1959" s="6" t="s">
        <v>17336</v>
      </c>
      <c r="BA1959" s="6" t="s">
        <v>17337</v>
      </c>
      <c r="BB1959" s="28"/>
      <c r="BC1959" s="6" t="s">
        <v>17338</v>
      </c>
      <c r="BE1959" s="15" t="s">
        <v>2145</v>
      </c>
      <c r="BF1959" s="6" t="s">
        <v>17339</v>
      </c>
    </row>
    <row r="1960" customFormat="false" ht="128.5" hidden="false" customHeight="false" outlineLevel="0" collapsed="false">
      <c r="A1960" s="26" t="s">
        <v>63</v>
      </c>
      <c r="B1960" s="27" t="s">
        <v>2129</v>
      </c>
      <c r="C1960" s="27" t="s">
        <v>2130</v>
      </c>
      <c r="D1960" s="27" t="s">
        <v>17340</v>
      </c>
      <c r="E1960" s="27" t="s">
        <v>17341</v>
      </c>
      <c r="F1960" s="27" t="s">
        <v>17342</v>
      </c>
      <c r="G1960" s="28"/>
      <c r="H1960" s="6" t="s">
        <v>63</v>
      </c>
      <c r="I1960" s="6" t="s">
        <v>62</v>
      </c>
      <c r="J1960" s="6" t="s">
        <v>63</v>
      </c>
      <c r="K1960" s="6" t="s">
        <v>63</v>
      </c>
      <c r="L1960" s="6" t="s">
        <v>64</v>
      </c>
      <c r="M1960" s="27" t="s">
        <v>17343</v>
      </c>
      <c r="N1960" s="27" t="s">
        <v>17344</v>
      </c>
      <c r="O1960" s="6" t="s">
        <v>233</v>
      </c>
      <c r="P1960" s="28"/>
      <c r="Q1960" s="6" t="s">
        <v>67</v>
      </c>
      <c r="R1960" s="6" t="s">
        <v>68</v>
      </c>
      <c r="S1960" s="27" t="s">
        <v>17345</v>
      </c>
      <c r="T1960" s="6" t="s">
        <v>6138</v>
      </c>
      <c r="U1960" s="7" t="n">
        <v>3</v>
      </c>
      <c r="V1960" s="7" t="n">
        <v>3</v>
      </c>
      <c r="W1960" s="8" t="s">
        <v>17346</v>
      </c>
      <c r="X1960" s="8" t="s">
        <v>17346</v>
      </c>
      <c r="Y1960" s="8" t="s">
        <v>2868</v>
      </c>
      <c r="Z1960" s="8" t="s">
        <v>2868</v>
      </c>
      <c r="AA1960" s="7" t="n">
        <v>1138</v>
      </c>
      <c r="AB1960" s="7" t="n">
        <v>1068</v>
      </c>
      <c r="AC1960" s="7" t="n">
        <v>1559</v>
      </c>
      <c r="AD1960" s="7" t="n">
        <v>7</v>
      </c>
      <c r="AE1960" s="7" t="n">
        <v>11</v>
      </c>
      <c r="AF1960" s="7" t="n">
        <v>39</v>
      </c>
      <c r="AG1960" s="7" t="n">
        <v>46</v>
      </c>
      <c r="AH1960" s="7" t="n">
        <v>16</v>
      </c>
      <c r="AI1960" s="7" t="n">
        <v>17</v>
      </c>
      <c r="AJ1960" s="7" t="n">
        <v>9</v>
      </c>
      <c r="AK1960" s="7" t="n">
        <v>10</v>
      </c>
      <c r="AL1960" s="7" t="n">
        <v>19</v>
      </c>
      <c r="AM1960" s="7" t="n">
        <v>23</v>
      </c>
      <c r="AN1960" s="7" t="n">
        <v>4</v>
      </c>
      <c r="AO1960" s="7" t="n">
        <v>6</v>
      </c>
      <c r="AP1960" s="7" t="n">
        <v>1</v>
      </c>
      <c r="AQ1960" s="7" t="n">
        <v>1</v>
      </c>
      <c r="AR1960" s="6" t="s">
        <v>63</v>
      </c>
      <c r="AS1960" s="6" t="s">
        <v>63</v>
      </c>
      <c r="AT1960" s="9" t="str">
        <f aca="false">HYPERLINK("http://catalog.hathitrust.org/Record/100030357","HathiTrust Record")</f>
        <v>HathiTrust Record</v>
      </c>
      <c r="AU1960" s="9" t="str">
        <f aca="false">HYPERLINK("https://creighton-primo.hosted.exlibrisgroup.com/primo-explore/search?tab=default_tab&amp;search_scope=EVERYTHING&amp;vid=01CRU&amp;lang=en_US&amp;offset=0&amp;query=any,contains,991001935459702656","Catalog Record")</f>
        <v>Catalog Record</v>
      </c>
      <c r="AV1960" s="9" t="str">
        <f aca="false">HYPERLINK("http://www.worldcat.org/oclc/250414","WorldCat Record")</f>
        <v>WorldCat Record</v>
      </c>
      <c r="AW1960" s="6" t="s">
        <v>17347</v>
      </c>
      <c r="AX1960" s="6" t="s">
        <v>17348</v>
      </c>
      <c r="AY1960" s="6" t="s">
        <v>17349</v>
      </c>
      <c r="AZ1960" s="6" t="s">
        <v>17349</v>
      </c>
      <c r="BA1960" s="6" t="s">
        <v>17350</v>
      </c>
      <c r="BB1960" s="28"/>
      <c r="BC1960" s="6" t="s">
        <v>17351</v>
      </c>
      <c r="BE1960" s="15" t="s">
        <v>2145</v>
      </c>
      <c r="BF1960" s="6" t="s">
        <v>17352</v>
      </c>
    </row>
    <row r="1961" customFormat="false" ht="71" hidden="false" customHeight="false" outlineLevel="0" collapsed="false">
      <c r="A1961" s="26" t="s">
        <v>63</v>
      </c>
      <c r="B1961" s="27" t="s">
        <v>2129</v>
      </c>
      <c r="C1961" s="27" t="s">
        <v>2130</v>
      </c>
      <c r="D1961" s="27" t="s">
        <v>17353</v>
      </c>
      <c r="E1961" s="27" t="s">
        <v>17354</v>
      </c>
      <c r="F1961" s="27" t="s">
        <v>17355</v>
      </c>
      <c r="G1961" s="28"/>
      <c r="H1961" s="6" t="s">
        <v>63</v>
      </c>
      <c r="I1961" s="6" t="s">
        <v>62</v>
      </c>
      <c r="J1961" s="6" t="s">
        <v>57</v>
      </c>
      <c r="K1961" s="6" t="s">
        <v>63</v>
      </c>
      <c r="L1961" s="6" t="s">
        <v>64</v>
      </c>
      <c r="M1961" s="27" t="s">
        <v>5414</v>
      </c>
      <c r="N1961" s="27" t="s">
        <v>17356</v>
      </c>
      <c r="O1961" s="6" t="s">
        <v>195</v>
      </c>
      <c r="P1961" s="28"/>
      <c r="Q1961" s="6" t="s">
        <v>67</v>
      </c>
      <c r="R1961" s="6" t="s">
        <v>4707</v>
      </c>
      <c r="S1961" s="28"/>
      <c r="T1961" s="6" t="s">
        <v>6138</v>
      </c>
      <c r="U1961" s="7" t="n">
        <v>26</v>
      </c>
      <c r="V1961" s="7" t="n">
        <v>26</v>
      </c>
      <c r="W1961" s="8" t="s">
        <v>4264</v>
      </c>
      <c r="X1961" s="8" t="s">
        <v>4264</v>
      </c>
      <c r="Y1961" s="8" t="s">
        <v>2868</v>
      </c>
      <c r="Z1961" s="8" t="s">
        <v>2868</v>
      </c>
      <c r="AA1961" s="7" t="n">
        <v>492</v>
      </c>
      <c r="AB1961" s="7" t="n">
        <v>424</v>
      </c>
      <c r="AC1961" s="7" t="n">
        <v>518</v>
      </c>
      <c r="AD1961" s="7" t="n">
        <v>3</v>
      </c>
      <c r="AE1961" s="7" t="n">
        <v>3</v>
      </c>
      <c r="AF1961" s="7" t="n">
        <v>32</v>
      </c>
      <c r="AG1961" s="7" t="n">
        <v>33</v>
      </c>
      <c r="AH1961" s="7" t="n">
        <v>11</v>
      </c>
      <c r="AI1961" s="7" t="n">
        <v>11</v>
      </c>
      <c r="AJ1961" s="7" t="n">
        <v>7</v>
      </c>
      <c r="AK1961" s="7" t="n">
        <v>8</v>
      </c>
      <c r="AL1961" s="7" t="n">
        <v>24</v>
      </c>
      <c r="AM1961" s="7" t="n">
        <v>25</v>
      </c>
      <c r="AN1961" s="7" t="n">
        <v>1</v>
      </c>
      <c r="AO1961" s="7" t="n">
        <v>1</v>
      </c>
      <c r="AP1961" s="7" t="n">
        <v>0</v>
      </c>
      <c r="AQ1961" s="7" t="n">
        <v>0</v>
      </c>
      <c r="AR1961" s="6" t="s">
        <v>63</v>
      </c>
      <c r="AS1961" s="6" t="s">
        <v>57</v>
      </c>
      <c r="AT1961" s="9" t="str">
        <f aca="false">HYPERLINK("http://catalog.hathitrust.org/Record/001381986","HathiTrust Record")</f>
        <v>HathiTrust Record</v>
      </c>
      <c r="AU1961" s="9" t="str">
        <f aca="false">HYPERLINK("https://creighton-primo.hosted.exlibrisgroup.com/primo-explore/search?tab=default_tab&amp;search_scope=EVERYTHING&amp;vid=01CRU&amp;lang=en_US&amp;offset=0&amp;query=any,contains,991003371289702656","Catalog Record")</f>
        <v>Catalog Record</v>
      </c>
      <c r="AV1961" s="9" t="str">
        <f aca="false">HYPERLINK("http://www.worldcat.org/oclc/907400","WorldCat Record")</f>
        <v>WorldCat Record</v>
      </c>
      <c r="AW1961" s="6" t="s">
        <v>17357</v>
      </c>
      <c r="AX1961" s="6" t="s">
        <v>17358</v>
      </c>
      <c r="AY1961" s="6" t="s">
        <v>17359</v>
      </c>
      <c r="AZ1961" s="6" t="s">
        <v>17359</v>
      </c>
      <c r="BA1961" s="6" t="s">
        <v>17360</v>
      </c>
      <c r="BB1961" s="28"/>
      <c r="BC1961" s="6" t="s">
        <v>17361</v>
      </c>
      <c r="BE1961" s="15" t="s">
        <v>2145</v>
      </c>
      <c r="BF1961" s="6" t="s">
        <v>17362</v>
      </c>
    </row>
    <row r="1962" customFormat="false" ht="59.5" hidden="false" customHeight="false" outlineLevel="0" collapsed="false">
      <c r="A1962" s="26" t="s">
        <v>63</v>
      </c>
      <c r="B1962" s="27" t="s">
        <v>2129</v>
      </c>
      <c r="C1962" s="27" t="s">
        <v>2130</v>
      </c>
      <c r="D1962" s="27" t="s">
        <v>17363</v>
      </c>
      <c r="E1962" s="27" t="s">
        <v>17364</v>
      </c>
      <c r="F1962" s="27" t="s">
        <v>17365</v>
      </c>
      <c r="G1962" s="28"/>
      <c r="H1962" s="6" t="s">
        <v>63</v>
      </c>
      <c r="I1962" s="6" t="s">
        <v>62</v>
      </c>
      <c r="J1962" s="6" t="s">
        <v>63</v>
      </c>
      <c r="K1962" s="6" t="s">
        <v>63</v>
      </c>
      <c r="L1962" s="6" t="s">
        <v>64</v>
      </c>
      <c r="M1962" s="27" t="s">
        <v>5414</v>
      </c>
      <c r="N1962" s="27" t="s">
        <v>17366</v>
      </c>
      <c r="O1962" s="6" t="s">
        <v>2329</v>
      </c>
      <c r="P1962" s="28"/>
      <c r="Q1962" s="6" t="s">
        <v>67</v>
      </c>
      <c r="R1962" s="6" t="s">
        <v>1059</v>
      </c>
      <c r="S1962" s="28"/>
      <c r="T1962" s="6" t="s">
        <v>6138</v>
      </c>
      <c r="U1962" s="7" t="n">
        <v>3</v>
      </c>
      <c r="V1962" s="7" t="n">
        <v>3</v>
      </c>
      <c r="W1962" s="8" t="s">
        <v>13665</v>
      </c>
      <c r="X1962" s="8" t="s">
        <v>13665</v>
      </c>
      <c r="Y1962" s="8" t="s">
        <v>2868</v>
      </c>
      <c r="Z1962" s="8" t="s">
        <v>2868</v>
      </c>
      <c r="AA1962" s="7" t="n">
        <v>301</v>
      </c>
      <c r="AB1962" s="7" t="n">
        <v>274</v>
      </c>
      <c r="AC1962" s="7" t="n">
        <v>281</v>
      </c>
      <c r="AD1962" s="7" t="n">
        <v>1</v>
      </c>
      <c r="AE1962" s="7" t="n">
        <v>1</v>
      </c>
      <c r="AF1962" s="7" t="n">
        <v>31</v>
      </c>
      <c r="AG1962" s="7" t="n">
        <v>31</v>
      </c>
      <c r="AH1962" s="7" t="n">
        <v>12</v>
      </c>
      <c r="AI1962" s="7" t="n">
        <v>12</v>
      </c>
      <c r="AJ1962" s="7" t="n">
        <v>6</v>
      </c>
      <c r="AK1962" s="7" t="n">
        <v>6</v>
      </c>
      <c r="AL1962" s="7" t="n">
        <v>26</v>
      </c>
      <c r="AM1962" s="7" t="n">
        <v>26</v>
      </c>
      <c r="AN1962" s="7" t="n">
        <v>0</v>
      </c>
      <c r="AO1962" s="7" t="n">
        <v>0</v>
      </c>
      <c r="AP1962" s="7" t="n">
        <v>0</v>
      </c>
      <c r="AQ1962" s="7" t="n">
        <v>0</v>
      </c>
      <c r="AR1962" s="6" t="s">
        <v>63</v>
      </c>
      <c r="AS1962" s="6" t="s">
        <v>57</v>
      </c>
      <c r="AT1962" s="9" t="str">
        <f aca="false">HYPERLINK("http://catalog.hathitrust.org/Record/100908842","HathiTrust Record")</f>
        <v>HathiTrust Record</v>
      </c>
      <c r="AU1962" s="9" t="str">
        <f aca="false">HYPERLINK("https://creighton-primo.hosted.exlibrisgroup.com/primo-explore/search?tab=default_tab&amp;search_scope=EVERYTHING&amp;vid=01CRU&amp;lang=en_US&amp;offset=0&amp;query=any,contains,991003403969702656","Catalog Record")</f>
        <v>Catalog Record</v>
      </c>
      <c r="AV1962" s="9" t="str">
        <f aca="false">HYPERLINK("http://www.worldcat.org/oclc/943781","WorldCat Record")</f>
        <v>WorldCat Record</v>
      </c>
      <c r="AW1962" s="6" t="s">
        <v>17367</v>
      </c>
      <c r="AX1962" s="6" t="s">
        <v>17368</v>
      </c>
      <c r="AY1962" s="6" t="s">
        <v>17369</v>
      </c>
      <c r="AZ1962" s="6" t="s">
        <v>17369</v>
      </c>
      <c r="BA1962" s="6" t="s">
        <v>17370</v>
      </c>
      <c r="BB1962" s="28"/>
      <c r="BC1962" s="6" t="s">
        <v>17371</v>
      </c>
      <c r="BE1962" s="15" t="s">
        <v>2145</v>
      </c>
      <c r="BF1962" s="6" t="s">
        <v>17372</v>
      </c>
    </row>
    <row r="1963" customFormat="false" ht="82.5" hidden="false" customHeight="false" outlineLevel="0" collapsed="false">
      <c r="A1963" s="26" t="s">
        <v>63</v>
      </c>
      <c r="B1963" s="27" t="s">
        <v>2129</v>
      </c>
      <c r="C1963" s="27" t="s">
        <v>2130</v>
      </c>
      <c r="D1963" s="27" t="s">
        <v>17373</v>
      </c>
      <c r="E1963" s="27" t="s">
        <v>17374</v>
      </c>
      <c r="F1963" s="27" t="s">
        <v>17375</v>
      </c>
      <c r="G1963" s="28"/>
      <c r="H1963" s="6" t="s">
        <v>63</v>
      </c>
      <c r="I1963" s="6" t="s">
        <v>62</v>
      </c>
      <c r="J1963" s="6" t="s">
        <v>63</v>
      </c>
      <c r="K1963" s="6" t="s">
        <v>63</v>
      </c>
      <c r="L1963" s="6" t="s">
        <v>64</v>
      </c>
      <c r="M1963" s="28"/>
      <c r="N1963" s="27" t="s">
        <v>17376</v>
      </c>
      <c r="O1963" s="6" t="s">
        <v>2893</v>
      </c>
      <c r="P1963" s="28"/>
      <c r="Q1963" s="6" t="s">
        <v>67</v>
      </c>
      <c r="R1963" s="6" t="s">
        <v>68</v>
      </c>
      <c r="S1963" s="27" t="s">
        <v>17377</v>
      </c>
      <c r="T1963" s="6" t="s">
        <v>6138</v>
      </c>
      <c r="U1963" s="7" t="n">
        <v>3</v>
      </c>
      <c r="V1963" s="7" t="n">
        <v>3</v>
      </c>
      <c r="W1963" s="8" t="s">
        <v>17378</v>
      </c>
      <c r="X1963" s="8" t="s">
        <v>17378</v>
      </c>
      <c r="Y1963" s="8" t="s">
        <v>2868</v>
      </c>
      <c r="Z1963" s="8" t="s">
        <v>2868</v>
      </c>
      <c r="AA1963" s="7" t="n">
        <v>112</v>
      </c>
      <c r="AB1963" s="7" t="n">
        <v>101</v>
      </c>
      <c r="AC1963" s="7" t="n">
        <v>102</v>
      </c>
      <c r="AD1963" s="7" t="n">
        <v>3</v>
      </c>
      <c r="AE1963" s="7" t="n">
        <v>3</v>
      </c>
      <c r="AF1963" s="7" t="n">
        <v>4</v>
      </c>
      <c r="AG1963" s="7" t="n">
        <v>4</v>
      </c>
      <c r="AH1963" s="7" t="n">
        <v>0</v>
      </c>
      <c r="AI1963" s="7" t="n">
        <v>0</v>
      </c>
      <c r="AJ1963" s="7" t="n">
        <v>0</v>
      </c>
      <c r="AK1963" s="7" t="n">
        <v>0</v>
      </c>
      <c r="AL1963" s="7" t="n">
        <v>2</v>
      </c>
      <c r="AM1963" s="7" t="n">
        <v>2</v>
      </c>
      <c r="AN1963" s="7" t="n">
        <v>2</v>
      </c>
      <c r="AO1963" s="7" t="n">
        <v>2</v>
      </c>
      <c r="AP1963" s="7" t="n">
        <v>0</v>
      </c>
      <c r="AQ1963" s="7" t="n">
        <v>0</v>
      </c>
      <c r="AR1963" s="6" t="s">
        <v>63</v>
      </c>
      <c r="AS1963" s="6" t="s">
        <v>57</v>
      </c>
      <c r="AT1963" s="9" t="str">
        <f aca="false">HYPERLINK("http://catalog.hathitrust.org/Record/001395682","HathiTrust Record")</f>
        <v>HathiTrust Record</v>
      </c>
      <c r="AU1963" s="9" t="str">
        <f aca="false">HYPERLINK("https://creighton-primo.hosted.exlibrisgroup.com/primo-explore/search?tab=default_tab&amp;search_scope=EVERYTHING&amp;vid=01CRU&amp;lang=en_US&amp;offset=0&amp;query=any,contains,991003712729702656","Catalog Record")</f>
        <v>Catalog Record</v>
      </c>
      <c r="AV1963" s="9" t="str">
        <f aca="false">HYPERLINK("http://www.worldcat.org/oclc/1354948","WorldCat Record")</f>
        <v>WorldCat Record</v>
      </c>
      <c r="AW1963" s="6" t="s">
        <v>17379</v>
      </c>
      <c r="AX1963" s="6" t="s">
        <v>17380</v>
      </c>
      <c r="AY1963" s="6" t="s">
        <v>17381</v>
      </c>
      <c r="AZ1963" s="6" t="s">
        <v>17381</v>
      </c>
      <c r="BA1963" s="6" t="s">
        <v>17382</v>
      </c>
      <c r="BB1963" s="6" t="s">
        <v>17383</v>
      </c>
      <c r="BC1963" s="6" t="s">
        <v>17384</v>
      </c>
      <c r="BE1963" s="15" t="s">
        <v>2145</v>
      </c>
      <c r="BF1963" s="6" t="s">
        <v>17385</v>
      </c>
    </row>
    <row r="1964" customFormat="false" ht="71" hidden="false" customHeight="false" outlineLevel="0" collapsed="false">
      <c r="A1964" s="26" t="s">
        <v>63</v>
      </c>
      <c r="B1964" s="27" t="s">
        <v>2129</v>
      </c>
      <c r="C1964" s="27" t="s">
        <v>2130</v>
      </c>
      <c r="D1964" s="27" t="s">
        <v>17386</v>
      </c>
      <c r="E1964" s="27" t="s">
        <v>17387</v>
      </c>
      <c r="F1964" s="27" t="s">
        <v>17388</v>
      </c>
      <c r="G1964" s="28"/>
      <c r="H1964" s="6" t="s">
        <v>63</v>
      </c>
      <c r="I1964" s="6" t="s">
        <v>62</v>
      </c>
      <c r="J1964" s="6" t="s">
        <v>57</v>
      </c>
      <c r="K1964" s="6" t="s">
        <v>63</v>
      </c>
      <c r="L1964" s="6" t="s">
        <v>64</v>
      </c>
      <c r="M1964" s="27" t="s">
        <v>17389</v>
      </c>
      <c r="N1964" s="27" t="s">
        <v>17390</v>
      </c>
      <c r="O1964" s="6" t="s">
        <v>2329</v>
      </c>
      <c r="P1964" s="28"/>
      <c r="Q1964" s="6" t="s">
        <v>67</v>
      </c>
      <c r="R1964" s="6" t="s">
        <v>367</v>
      </c>
      <c r="S1964" s="28"/>
      <c r="T1964" s="6" t="s">
        <v>6138</v>
      </c>
      <c r="U1964" s="7" t="n">
        <v>3</v>
      </c>
      <c r="V1964" s="7" t="n">
        <v>3</v>
      </c>
      <c r="W1964" s="8" t="s">
        <v>17391</v>
      </c>
      <c r="X1964" s="8" t="s">
        <v>17391</v>
      </c>
      <c r="Y1964" s="8" t="s">
        <v>2868</v>
      </c>
      <c r="Z1964" s="8" t="s">
        <v>2868</v>
      </c>
      <c r="AA1964" s="7" t="n">
        <v>383</v>
      </c>
      <c r="AB1964" s="7" t="n">
        <v>335</v>
      </c>
      <c r="AC1964" s="7" t="n">
        <v>341</v>
      </c>
      <c r="AD1964" s="7" t="n">
        <v>5</v>
      </c>
      <c r="AE1964" s="7" t="n">
        <v>5</v>
      </c>
      <c r="AF1964" s="7" t="n">
        <v>37</v>
      </c>
      <c r="AG1964" s="7" t="n">
        <v>37</v>
      </c>
      <c r="AH1964" s="7" t="n">
        <v>13</v>
      </c>
      <c r="AI1964" s="7" t="n">
        <v>13</v>
      </c>
      <c r="AJ1964" s="7" t="n">
        <v>9</v>
      </c>
      <c r="AK1964" s="7" t="n">
        <v>9</v>
      </c>
      <c r="AL1964" s="7" t="n">
        <v>26</v>
      </c>
      <c r="AM1964" s="7" t="n">
        <v>26</v>
      </c>
      <c r="AN1964" s="7" t="n">
        <v>2</v>
      </c>
      <c r="AO1964" s="7" t="n">
        <v>2</v>
      </c>
      <c r="AP1964" s="7" t="n">
        <v>0</v>
      </c>
      <c r="AQ1964" s="7" t="n">
        <v>0</v>
      </c>
      <c r="AR1964" s="6" t="s">
        <v>63</v>
      </c>
      <c r="AS1964" s="6" t="s">
        <v>63</v>
      </c>
      <c r="AT1964" s="9" t="str">
        <f aca="false">HYPERLINK("http://catalog.hathitrust.org/Record/102300032","HathiTrust Record")</f>
        <v>HathiTrust Record</v>
      </c>
      <c r="AU1964" s="9" t="str">
        <f aca="false">HYPERLINK("https://creighton-primo.hosted.exlibrisgroup.com/primo-explore/search?tab=default_tab&amp;search_scope=EVERYTHING&amp;vid=01CRU&amp;lang=en_US&amp;offset=0&amp;query=any,contains,991001761539702656","Catalog Record")</f>
        <v>Catalog Record</v>
      </c>
      <c r="AV1964" s="9" t="str">
        <f aca="false">HYPERLINK("http://www.worldcat.org/oclc/371799","WorldCat Record")</f>
        <v>WorldCat Record</v>
      </c>
      <c r="AW1964" s="6" t="s">
        <v>17392</v>
      </c>
      <c r="AX1964" s="6" t="s">
        <v>17393</v>
      </c>
      <c r="AY1964" s="6" t="s">
        <v>17394</v>
      </c>
      <c r="AZ1964" s="6" t="s">
        <v>17394</v>
      </c>
      <c r="BA1964" s="6" t="s">
        <v>17395</v>
      </c>
      <c r="BB1964" s="28"/>
      <c r="BC1964" s="6" t="s">
        <v>17396</v>
      </c>
      <c r="BE1964" s="15" t="s">
        <v>2145</v>
      </c>
      <c r="BF1964" s="6" t="s">
        <v>17397</v>
      </c>
    </row>
    <row r="1965" customFormat="false" ht="174.5" hidden="false" customHeight="false" outlineLevel="0" collapsed="false">
      <c r="A1965" s="26" t="s">
        <v>63</v>
      </c>
      <c r="B1965" s="27" t="s">
        <v>2129</v>
      </c>
      <c r="C1965" s="27" t="s">
        <v>2130</v>
      </c>
      <c r="D1965" s="27" t="s">
        <v>17398</v>
      </c>
      <c r="E1965" s="27" t="s">
        <v>17399</v>
      </c>
      <c r="F1965" s="27" t="s">
        <v>17400</v>
      </c>
      <c r="G1965" s="28"/>
      <c r="H1965" s="6" t="s">
        <v>63</v>
      </c>
      <c r="I1965" s="6" t="s">
        <v>62</v>
      </c>
      <c r="J1965" s="6" t="s">
        <v>63</v>
      </c>
      <c r="K1965" s="6" t="s">
        <v>63</v>
      </c>
      <c r="L1965" s="6" t="s">
        <v>64</v>
      </c>
      <c r="M1965" s="27" t="s">
        <v>17401</v>
      </c>
      <c r="N1965" s="27" t="s">
        <v>17402</v>
      </c>
      <c r="O1965" s="6" t="s">
        <v>2693</v>
      </c>
      <c r="P1965" s="28"/>
      <c r="Q1965" s="6" t="s">
        <v>67</v>
      </c>
      <c r="R1965" s="6" t="s">
        <v>68</v>
      </c>
      <c r="S1965" s="28"/>
      <c r="T1965" s="6" t="s">
        <v>6138</v>
      </c>
      <c r="U1965" s="7" t="n">
        <v>5</v>
      </c>
      <c r="V1965" s="7" t="n">
        <v>5</v>
      </c>
      <c r="W1965" s="8" t="s">
        <v>17403</v>
      </c>
      <c r="X1965" s="8" t="s">
        <v>17403</v>
      </c>
      <c r="Y1965" s="8" t="s">
        <v>15447</v>
      </c>
      <c r="Z1965" s="8" t="s">
        <v>15447</v>
      </c>
      <c r="AA1965" s="7" t="n">
        <v>302</v>
      </c>
      <c r="AB1965" s="7" t="n">
        <v>286</v>
      </c>
      <c r="AC1965" s="7" t="n">
        <v>445</v>
      </c>
      <c r="AD1965" s="7" t="n">
        <v>3</v>
      </c>
      <c r="AE1965" s="7" t="n">
        <v>3</v>
      </c>
      <c r="AF1965" s="7" t="n">
        <v>15</v>
      </c>
      <c r="AG1965" s="7" t="n">
        <v>25</v>
      </c>
      <c r="AH1965" s="7" t="n">
        <v>4</v>
      </c>
      <c r="AI1965" s="7" t="n">
        <v>8</v>
      </c>
      <c r="AJ1965" s="7" t="n">
        <v>4</v>
      </c>
      <c r="AK1965" s="7" t="n">
        <v>7</v>
      </c>
      <c r="AL1965" s="7" t="n">
        <v>9</v>
      </c>
      <c r="AM1965" s="7" t="n">
        <v>16</v>
      </c>
      <c r="AN1965" s="7" t="n">
        <v>2</v>
      </c>
      <c r="AO1965" s="7" t="n">
        <v>2</v>
      </c>
      <c r="AP1965" s="7" t="n">
        <v>0</v>
      </c>
      <c r="AQ1965" s="7" t="n">
        <v>0</v>
      </c>
      <c r="AR1965" s="6" t="s">
        <v>63</v>
      </c>
      <c r="AS1965" s="6" t="s">
        <v>57</v>
      </c>
      <c r="AT1965" s="9" t="str">
        <f aca="false">HYPERLINK("http://catalog.hathitrust.org/Record/004456503","HathiTrust Record")</f>
        <v>HathiTrust Record</v>
      </c>
      <c r="AU1965" s="9" t="str">
        <f aca="false">HYPERLINK("https://creighton-primo.hosted.exlibrisgroup.com/primo-explore/search?tab=default_tab&amp;search_scope=EVERYTHING&amp;vid=01CRU&amp;lang=en_US&amp;offset=0&amp;query=any,contains,991001295719702656","Catalog Record")</f>
        <v>Catalog Record</v>
      </c>
      <c r="AV1965" s="9" t="str">
        <f aca="false">HYPERLINK("http://www.worldcat.org/oclc/219531","WorldCat Record")</f>
        <v>WorldCat Record</v>
      </c>
      <c r="AW1965" s="6" t="s">
        <v>17404</v>
      </c>
      <c r="AX1965" s="6" t="s">
        <v>17405</v>
      </c>
      <c r="AY1965" s="6" t="s">
        <v>17406</v>
      </c>
      <c r="AZ1965" s="6" t="s">
        <v>17406</v>
      </c>
      <c r="BA1965" s="6" t="s">
        <v>17407</v>
      </c>
      <c r="BB1965" s="28"/>
      <c r="BC1965" s="6" t="s">
        <v>17408</v>
      </c>
      <c r="BE1965" s="15" t="s">
        <v>2145</v>
      </c>
      <c r="BF1965" s="6" t="s">
        <v>17409</v>
      </c>
    </row>
    <row r="1966" customFormat="false" ht="128.5" hidden="false" customHeight="false" outlineLevel="0" collapsed="false">
      <c r="A1966" s="26" t="s">
        <v>63</v>
      </c>
      <c r="B1966" s="27" t="s">
        <v>2129</v>
      </c>
      <c r="C1966" s="27" t="s">
        <v>2130</v>
      </c>
      <c r="D1966" s="27" t="s">
        <v>17410</v>
      </c>
      <c r="E1966" s="27" t="s">
        <v>17411</v>
      </c>
      <c r="F1966" s="27" t="s">
        <v>17412</v>
      </c>
      <c r="G1966" s="28"/>
      <c r="H1966" s="6" t="s">
        <v>63</v>
      </c>
      <c r="I1966" s="6" t="s">
        <v>62</v>
      </c>
      <c r="J1966" s="6" t="s">
        <v>63</v>
      </c>
      <c r="K1966" s="6" t="s">
        <v>63</v>
      </c>
      <c r="L1966" s="6" t="s">
        <v>64</v>
      </c>
      <c r="M1966" s="27" t="s">
        <v>17413</v>
      </c>
      <c r="N1966" s="27" t="s">
        <v>9667</v>
      </c>
      <c r="O1966" s="6" t="s">
        <v>122</v>
      </c>
      <c r="P1966" s="28"/>
      <c r="Q1966" s="6" t="s">
        <v>67</v>
      </c>
      <c r="R1966" s="6" t="s">
        <v>68</v>
      </c>
      <c r="S1966" s="27" t="s">
        <v>17414</v>
      </c>
      <c r="T1966" s="6" t="s">
        <v>6138</v>
      </c>
      <c r="U1966" s="7" t="n">
        <v>8</v>
      </c>
      <c r="V1966" s="7" t="n">
        <v>8</v>
      </c>
      <c r="W1966" s="8" t="s">
        <v>2357</v>
      </c>
      <c r="X1966" s="8" t="s">
        <v>2357</v>
      </c>
      <c r="Y1966" s="8" t="s">
        <v>15447</v>
      </c>
      <c r="Z1966" s="8" t="s">
        <v>15447</v>
      </c>
      <c r="AA1966" s="7" t="n">
        <v>848</v>
      </c>
      <c r="AB1966" s="7" t="n">
        <v>710</v>
      </c>
      <c r="AC1966" s="7" t="n">
        <v>720</v>
      </c>
      <c r="AD1966" s="7" t="n">
        <v>5</v>
      </c>
      <c r="AE1966" s="7" t="n">
        <v>5</v>
      </c>
      <c r="AF1966" s="7" t="n">
        <v>32</v>
      </c>
      <c r="AG1966" s="7" t="n">
        <v>32</v>
      </c>
      <c r="AH1966" s="7" t="n">
        <v>13</v>
      </c>
      <c r="AI1966" s="7" t="n">
        <v>13</v>
      </c>
      <c r="AJ1966" s="7" t="n">
        <v>4</v>
      </c>
      <c r="AK1966" s="7" t="n">
        <v>4</v>
      </c>
      <c r="AL1966" s="7" t="n">
        <v>19</v>
      </c>
      <c r="AM1966" s="7" t="n">
        <v>19</v>
      </c>
      <c r="AN1966" s="7" t="n">
        <v>3</v>
      </c>
      <c r="AO1966" s="7" t="n">
        <v>3</v>
      </c>
      <c r="AP1966" s="7" t="n">
        <v>1</v>
      </c>
      <c r="AQ1966" s="7" t="n">
        <v>1</v>
      </c>
      <c r="AR1966" s="6" t="s">
        <v>63</v>
      </c>
      <c r="AS1966" s="6" t="s">
        <v>63</v>
      </c>
      <c r="AT1966" s="28"/>
      <c r="AU1966" s="9" t="str">
        <f aca="false">HYPERLINK("https://creighton-primo.hosted.exlibrisgroup.com/primo-explore/search?tab=default_tab&amp;search_scope=EVERYTHING&amp;vid=01CRU&amp;lang=en_US&amp;offset=0&amp;query=any,contains,991001009469702656","Catalog Record")</f>
        <v>Catalog Record</v>
      </c>
      <c r="AV1966" s="9" t="str">
        <f aca="false">HYPERLINK("http://www.worldcat.org/oclc/173248","WorldCat Record")</f>
        <v>WorldCat Record</v>
      </c>
      <c r="AW1966" s="6" t="s">
        <v>17415</v>
      </c>
      <c r="AX1966" s="6" t="s">
        <v>17416</v>
      </c>
      <c r="AY1966" s="6" t="s">
        <v>17417</v>
      </c>
      <c r="AZ1966" s="6" t="s">
        <v>17417</v>
      </c>
      <c r="BA1966" s="6" t="s">
        <v>17418</v>
      </c>
      <c r="BB1966" s="28"/>
      <c r="BC1966" s="6" t="s">
        <v>17419</v>
      </c>
      <c r="BE1966" s="15" t="s">
        <v>2145</v>
      </c>
      <c r="BF1966" s="6" t="s">
        <v>17420</v>
      </c>
    </row>
    <row r="1967" customFormat="false" ht="59.5" hidden="false" customHeight="false" outlineLevel="0" collapsed="false">
      <c r="A1967" s="26" t="s">
        <v>63</v>
      </c>
      <c r="B1967" s="27" t="s">
        <v>2129</v>
      </c>
      <c r="C1967" s="27" t="s">
        <v>2130</v>
      </c>
      <c r="D1967" s="27" t="s">
        <v>17421</v>
      </c>
      <c r="E1967" s="27" t="s">
        <v>17422</v>
      </c>
      <c r="F1967" s="27" t="s">
        <v>17423</v>
      </c>
      <c r="G1967" s="28"/>
      <c r="H1967" s="6" t="s">
        <v>63</v>
      </c>
      <c r="I1967" s="6" t="s">
        <v>62</v>
      </c>
      <c r="J1967" s="6" t="s">
        <v>63</v>
      </c>
      <c r="K1967" s="6" t="s">
        <v>63</v>
      </c>
      <c r="L1967" s="6" t="s">
        <v>64</v>
      </c>
      <c r="M1967" s="27" t="s">
        <v>5078</v>
      </c>
      <c r="N1967" s="27" t="s">
        <v>17424</v>
      </c>
      <c r="O1967" s="6" t="s">
        <v>3661</v>
      </c>
      <c r="P1967" s="28"/>
      <c r="Q1967" s="6" t="s">
        <v>67</v>
      </c>
      <c r="R1967" s="6" t="s">
        <v>68</v>
      </c>
      <c r="S1967" s="27" t="s">
        <v>17425</v>
      </c>
      <c r="T1967" s="6" t="s">
        <v>6138</v>
      </c>
      <c r="U1967" s="7" t="n">
        <v>12</v>
      </c>
      <c r="V1967" s="7" t="n">
        <v>12</v>
      </c>
      <c r="W1967" s="8" t="s">
        <v>17426</v>
      </c>
      <c r="X1967" s="8" t="s">
        <v>17426</v>
      </c>
      <c r="Y1967" s="8" t="s">
        <v>15447</v>
      </c>
      <c r="Z1967" s="8" t="s">
        <v>15447</v>
      </c>
      <c r="AA1967" s="7" t="n">
        <v>958</v>
      </c>
      <c r="AB1967" s="7" t="n">
        <v>874</v>
      </c>
      <c r="AC1967" s="7" t="n">
        <v>906</v>
      </c>
      <c r="AD1967" s="7" t="n">
        <v>7</v>
      </c>
      <c r="AE1967" s="7" t="n">
        <v>7</v>
      </c>
      <c r="AF1967" s="7" t="n">
        <v>33</v>
      </c>
      <c r="AG1967" s="7" t="n">
        <v>33</v>
      </c>
      <c r="AH1967" s="7" t="n">
        <v>14</v>
      </c>
      <c r="AI1967" s="7" t="n">
        <v>14</v>
      </c>
      <c r="AJ1967" s="7" t="n">
        <v>4</v>
      </c>
      <c r="AK1967" s="7" t="n">
        <v>4</v>
      </c>
      <c r="AL1967" s="7" t="n">
        <v>19</v>
      </c>
      <c r="AM1967" s="7" t="n">
        <v>19</v>
      </c>
      <c r="AN1967" s="7" t="n">
        <v>6</v>
      </c>
      <c r="AO1967" s="7" t="n">
        <v>6</v>
      </c>
      <c r="AP1967" s="7" t="n">
        <v>0</v>
      </c>
      <c r="AQ1967" s="7" t="n">
        <v>0</v>
      </c>
      <c r="AR1967" s="6" t="s">
        <v>63</v>
      </c>
      <c r="AS1967" s="6" t="s">
        <v>63</v>
      </c>
      <c r="AT1967" s="9" t="str">
        <f aca="false">HYPERLINK("http://catalog.hathitrust.org/Record/007125113","HathiTrust Record")</f>
        <v>HathiTrust Record</v>
      </c>
      <c r="AU1967" s="9" t="str">
        <f aca="false">HYPERLINK("https://creighton-primo.hosted.exlibrisgroup.com/primo-explore/search?tab=default_tab&amp;search_scope=EVERYTHING&amp;vid=01CRU&amp;lang=en_US&amp;offset=0&amp;query=any,contains,991002037239702656","Catalog Record")</f>
        <v>Catalog Record</v>
      </c>
      <c r="AV1967" s="9" t="str">
        <f aca="false">HYPERLINK("http://www.worldcat.org/oclc/260788","WorldCat Record")</f>
        <v>WorldCat Record</v>
      </c>
      <c r="AW1967" s="6" t="s">
        <v>17427</v>
      </c>
      <c r="AX1967" s="6" t="s">
        <v>17428</v>
      </c>
      <c r="AY1967" s="6" t="s">
        <v>17429</v>
      </c>
      <c r="AZ1967" s="6" t="s">
        <v>17429</v>
      </c>
      <c r="BA1967" s="6" t="s">
        <v>17430</v>
      </c>
      <c r="BB1967" s="28"/>
      <c r="BC1967" s="6" t="s">
        <v>17431</v>
      </c>
      <c r="BE1967" s="15" t="s">
        <v>2145</v>
      </c>
      <c r="BF1967" s="6" t="s">
        <v>17432</v>
      </c>
    </row>
    <row r="1968" customFormat="false" ht="186" hidden="false" customHeight="false" outlineLevel="0" collapsed="false">
      <c r="A1968" s="26" t="s">
        <v>63</v>
      </c>
      <c r="B1968" s="27" t="s">
        <v>2129</v>
      </c>
      <c r="C1968" s="27" t="s">
        <v>2130</v>
      </c>
      <c r="D1968" s="27" t="s">
        <v>17433</v>
      </c>
      <c r="E1968" s="27" t="s">
        <v>17434</v>
      </c>
      <c r="F1968" s="27" t="s">
        <v>17435</v>
      </c>
      <c r="G1968" s="28"/>
      <c r="H1968" s="6" t="s">
        <v>63</v>
      </c>
      <c r="I1968" s="6" t="s">
        <v>62</v>
      </c>
      <c r="J1968" s="6" t="s">
        <v>63</v>
      </c>
      <c r="K1968" s="6" t="s">
        <v>63</v>
      </c>
      <c r="L1968" s="6" t="s">
        <v>64</v>
      </c>
      <c r="M1968" s="27" t="s">
        <v>17436</v>
      </c>
      <c r="N1968" s="27" t="s">
        <v>17437</v>
      </c>
      <c r="O1968" s="6" t="s">
        <v>195</v>
      </c>
      <c r="P1968" s="28"/>
      <c r="Q1968" s="6" t="s">
        <v>67</v>
      </c>
      <c r="R1968" s="6" t="s">
        <v>181</v>
      </c>
      <c r="S1968" s="28"/>
      <c r="T1968" s="6" t="s">
        <v>6138</v>
      </c>
      <c r="U1968" s="7" t="n">
        <v>11</v>
      </c>
      <c r="V1968" s="7" t="n">
        <v>11</v>
      </c>
      <c r="W1968" s="8" t="s">
        <v>17438</v>
      </c>
      <c r="X1968" s="8" t="s">
        <v>17438</v>
      </c>
      <c r="Y1968" s="8" t="s">
        <v>15447</v>
      </c>
      <c r="Z1968" s="8" t="s">
        <v>15447</v>
      </c>
      <c r="AA1968" s="7" t="n">
        <v>480</v>
      </c>
      <c r="AB1968" s="7" t="n">
        <v>450</v>
      </c>
      <c r="AC1968" s="7" t="n">
        <v>1051</v>
      </c>
      <c r="AD1968" s="7" t="n">
        <v>4</v>
      </c>
      <c r="AE1968" s="7" t="n">
        <v>9</v>
      </c>
      <c r="AF1968" s="7" t="n">
        <v>30</v>
      </c>
      <c r="AG1968" s="7" t="n">
        <v>52</v>
      </c>
      <c r="AH1968" s="7" t="n">
        <v>10</v>
      </c>
      <c r="AI1968" s="7" t="n">
        <v>22</v>
      </c>
      <c r="AJ1968" s="7" t="n">
        <v>9</v>
      </c>
      <c r="AK1968" s="7" t="n">
        <v>11</v>
      </c>
      <c r="AL1968" s="7" t="n">
        <v>14</v>
      </c>
      <c r="AM1968" s="7" t="n">
        <v>23</v>
      </c>
      <c r="AN1968" s="7" t="n">
        <v>3</v>
      </c>
      <c r="AO1968" s="7" t="n">
        <v>8</v>
      </c>
      <c r="AP1968" s="7" t="n">
        <v>0</v>
      </c>
      <c r="AQ1968" s="7" t="n">
        <v>0</v>
      </c>
      <c r="AR1968" s="6" t="s">
        <v>63</v>
      </c>
      <c r="AS1968" s="6" t="s">
        <v>57</v>
      </c>
      <c r="AT1968" s="9" t="str">
        <f aca="false">HYPERLINK("http://catalog.hathitrust.org/Record/001382097","HathiTrust Record")</f>
        <v>HathiTrust Record</v>
      </c>
      <c r="AU1968" s="9" t="str">
        <f aca="false">HYPERLINK("https://creighton-primo.hosted.exlibrisgroup.com/primo-explore/search?tab=default_tab&amp;search_scope=EVERYTHING&amp;vid=01CRU&amp;lang=en_US&amp;offset=0&amp;query=any,contains,991001934139702656","Catalog Record")</f>
        <v>Catalog Record</v>
      </c>
      <c r="AV1968" s="9" t="str">
        <f aca="false">HYPERLINK("http://www.worldcat.org/oclc/249964","WorldCat Record")</f>
        <v>WorldCat Record</v>
      </c>
      <c r="AW1968" s="6" t="s">
        <v>17439</v>
      </c>
      <c r="AX1968" s="6" t="s">
        <v>17440</v>
      </c>
      <c r="AY1968" s="6" t="s">
        <v>17441</v>
      </c>
      <c r="AZ1968" s="6" t="s">
        <v>17441</v>
      </c>
      <c r="BA1968" s="6" t="s">
        <v>17442</v>
      </c>
      <c r="BB1968" s="28"/>
      <c r="BC1968" s="6" t="s">
        <v>17443</v>
      </c>
      <c r="BE1968" s="15" t="s">
        <v>2145</v>
      </c>
      <c r="BF1968" s="6" t="s">
        <v>17444</v>
      </c>
    </row>
    <row r="1969" customFormat="false" ht="186" hidden="false" customHeight="false" outlineLevel="0" collapsed="false">
      <c r="A1969" s="26" t="s">
        <v>63</v>
      </c>
      <c r="B1969" s="27" t="s">
        <v>2129</v>
      </c>
      <c r="C1969" s="27" t="s">
        <v>2130</v>
      </c>
      <c r="D1969" s="27" t="s">
        <v>17445</v>
      </c>
      <c r="E1969" s="27" t="s">
        <v>17446</v>
      </c>
      <c r="F1969" s="27" t="s">
        <v>17447</v>
      </c>
      <c r="G1969" s="28"/>
      <c r="H1969" s="6" t="s">
        <v>63</v>
      </c>
      <c r="I1969" s="6" t="s">
        <v>62</v>
      </c>
      <c r="J1969" s="6" t="s">
        <v>63</v>
      </c>
      <c r="K1969" s="6" t="s">
        <v>63</v>
      </c>
      <c r="L1969" s="6" t="s">
        <v>64</v>
      </c>
      <c r="M1969" s="27" t="s">
        <v>17448</v>
      </c>
      <c r="N1969" s="27" t="s">
        <v>17449</v>
      </c>
      <c r="O1969" s="6" t="s">
        <v>167</v>
      </c>
      <c r="P1969" s="28"/>
      <c r="Q1969" s="6" t="s">
        <v>67</v>
      </c>
      <c r="R1969" s="6" t="s">
        <v>6745</v>
      </c>
      <c r="S1969" s="28"/>
      <c r="T1969" s="6" t="s">
        <v>6138</v>
      </c>
      <c r="U1969" s="7" t="n">
        <v>3</v>
      </c>
      <c r="V1969" s="7" t="n">
        <v>3</v>
      </c>
      <c r="W1969" s="8" t="s">
        <v>17450</v>
      </c>
      <c r="X1969" s="8" t="s">
        <v>17450</v>
      </c>
      <c r="Y1969" s="8" t="s">
        <v>15447</v>
      </c>
      <c r="Z1969" s="8" t="s">
        <v>15447</v>
      </c>
      <c r="AA1969" s="7" t="n">
        <v>432</v>
      </c>
      <c r="AB1969" s="7" t="n">
        <v>375</v>
      </c>
      <c r="AC1969" s="7" t="n">
        <v>380</v>
      </c>
      <c r="AD1969" s="7" t="n">
        <v>2</v>
      </c>
      <c r="AE1969" s="7" t="n">
        <v>2</v>
      </c>
      <c r="AF1969" s="7" t="n">
        <v>17</v>
      </c>
      <c r="AG1969" s="7" t="n">
        <v>17</v>
      </c>
      <c r="AH1969" s="7" t="n">
        <v>4</v>
      </c>
      <c r="AI1969" s="7" t="n">
        <v>4</v>
      </c>
      <c r="AJ1969" s="7" t="n">
        <v>8</v>
      </c>
      <c r="AK1969" s="7" t="n">
        <v>8</v>
      </c>
      <c r="AL1969" s="7" t="n">
        <v>8</v>
      </c>
      <c r="AM1969" s="7" t="n">
        <v>8</v>
      </c>
      <c r="AN1969" s="7" t="n">
        <v>1</v>
      </c>
      <c r="AO1969" s="7" t="n">
        <v>1</v>
      </c>
      <c r="AP1969" s="7" t="n">
        <v>0</v>
      </c>
      <c r="AQ1969" s="7" t="n">
        <v>0</v>
      </c>
      <c r="AR1969" s="6" t="s">
        <v>63</v>
      </c>
      <c r="AS1969" s="6" t="s">
        <v>57</v>
      </c>
      <c r="AT1969" s="9" t="str">
        <f aca="false">HYPERLINK("http://catalog.hathitrust.org/Record/001382103","HathiTrust Record")</f>
        <v>HathiTrust Record</v>
      </c>
      <c r="AU1969" s="9" t="str">
        <f aca="false">HYPERLINK("https://creighton-primo.hosted.exlibrisgroup.com/primo-explore/search?tab=default_tab&amp;search_scope=EVERYTHING&amp;vid=01CRU&amp;lang=en_US&amp;offset=0&amp;query=any,contains,991002403269702656","Catalog Record")</f>
        <v>Catalog Record</v>
      </c>
      <c r="AV1969" s="9" t="str">
        <f aca="false">HYPERLINK("http://www.worldcat.org/oclc/337869","WorldCat Record")</f>
        <v>WorldCat Record</v>
      </c>
      <c r="AW1969" s="6" t="s">
        <v>17451</v>
      </c>
      <c r="AX1969" s="6" t="s">
        <v>17452</v>
      </c>
      <c r="AY1969" s="6" t="s">
        <v>17453</v>
      </c>
      <c r="AZ1969" s="6" t="s">
        <v>17453</v>
      </c>
      <c r="BA1969" s="6" t="s">
        <v>17454</v>
      </c>
      <c r="BB1969" s="28"/>
      <c r="BC1969" s="6" t="s">
        <v>17455</v>
      </c>
      <c r="BE1969" s="15" t="s">
        <v>2145</v>
      </c>
      <c r="BF1969" s="6" t="s">
        <v>17456</v>
      </c>
    </row>
    <row r="1970" customFormat="false" ht="128.5" hidden="false" customHeight="false" outlineLevel="0" collapsed="false">
      <c r="A1970" s="26" t="s">
        <v>63</v>
      </c>
      <c r="B1970" s="27" t="s">
        <v>2129</v>
      </c>
      <c r="C1970" s="27" t="s">
        <v>2130</v>
      </c>
      <c r="D1970" s="27" t="s">
        <v>17457</v>
      </c>
      <c r="E1970" s="27" t="s">
        <v>17458</v>
      </c>
      <c r="F1970" s="27" t="s">
        <v>17459</v>
      </c>
      <c r="G1970" s="28"/>
      <c r="H1970" s="6" t="s">
        <v>63</v>
      </c>
      <c r="I1970" s="6" t="s">
        <v>62</v>
      </c>
      <c r="J1970" s="6" t="s">
        <v>63</v>
      </c>
      <c r="K1970" s="6" t="s">
        <v>63</v>
      </c>
      <c r="L1970" s="6" t="s">
        <v>64</v>
      </c>
      <c r="M1970" s="27" t="s">
        <v>17460</v>
      </c>
      <c r="N1970" s="27" t="s">
        <v>17461</v>
      </c>
      <c r="O1970" s="6" t="s">
        <v>2693</v>
      </c>
      <c r="P1970" s="28"/>
      <c r="Q1970" s="6" t="s">
        <v>67</v>
      </c>
      <c r="R1970" s="6" t="s">
        <v>181</v>
      </c>
      <c r="S1970" s="28"/>
      <c r="T1970" s="6" t="s">
        <v>6138</v>
      </c>
      <c r="U1970" s="7" t="n">
        <v>4</v>
      </c>
      <c r="V1970" s="7" t="n">
        <v>4</v>
      </c>
      <c r="W1970" s="8" t="s">
        <v>11074</v>
      </c>
      <c r="X1970" s="8" t="s">
        <v>11074</v>
      </c>
      <c r="Y1970" s="8" t="s">
        <v>15447</v>
      </c>
      <c r="Z1970" s="8" t="s">
        <v>15447</v>
      </c>
      <c r="AA1970" s="7" t="n">
        <v>345</v>
      </c>
      <c r="AB1970" s="7" t="n">
        <v>301</v>
      </c>
      <c r="AC1970" s="7" t="n">
        <v>620</v>
      </c>
      <c r="AD1970" s="7" t="n">
        <v>3</v>
      </c>
      <c r="AE1970" s="7" t="n">
        <v>5</v>
      </c>
      <c r="AF1970" s="7" t="n">
        <v>18</v>
      </c>
      <c r="AG1970" s="7" t="n">
        <v>33</v>
      </c>
      <c r="AH1970" s="7" t="n">
        <v>10</v>
      </c>
      <c r="AI1970" s="7" t="n">
        <v>15</v>
      </c>
      <c r="AJ1970" s="7" t="n">
        <v>3</v>
      </c>
      <c r="AK1970" s="7" t="n">
        <v>8</v>
      </c>
      <c r="AL1970" s="7" t="n">
        <v>9</v>
      </c>
      <c r="AM1970" s="7" t="n">
        <v>17</v>
      </c>
      <c r="AN1970" s="7" t="n">
        <v>2</v>
      </c>
      <c r="AO1970" s="7" t="n">
        <v>4</v>
      </c>
      <c r="AP1970" s="7" t="n">
        <v>0</v>
      </c>
      <c r="AQ1970" s="7" t="n">
        <v>0</v>
      </c>
      <c r="AR1970" s="6" t="s">
        <v>63</v>
      </c>
      <c r="AS1970" s="6" t="s">
        <v>57</v>
      </c>
      <c r="AT1970" s="9" t="str">
        <f aca="false">HYPERLINK("http://catalog.hathitrust.org/Record/004456522","HathiTrust Record")</f>
        <v>HathiTrust Record</v>
      </c>
      <c r="AU1970" s="9" t="str">
        <f aca="false">HYPERLINK("https://creighton-primo.hosted.exlibrisgroup.com/primo-explore/search?tab=default_tab&amp;search_scope=EVERYTHING&amp;vid=01CRU&amp;lang=en_US&amp;offset=0&amp;query=any,contains,991002769929702656","Catalog Record")</f>
        <v>Catalog Record</v>
      </c>
      <c r="AV1970" s="9" t="str">
        <f aca="false">HYPERLINK("http://www.worldcat.org/oclc/436534","WorldCat Record")</f>
        <v>WorldCat Record</v>
      </c>
      <c r="AW1970" s="6" t="s">
        <v>17462</v>
      </c>
      <c r="AX1970" s="6" t="s">
        <v>17463</v>
      </c>
      <c r="AY1970" s="6" t="s">
        <v>17464</v>
      </c>
      <c r="AZ1970" s="6" t="s">
        <v>17464</v>
      </c>
      <c r="BA1970" s="6" t="s">
        <v>17465</v>
      </c>
      <c r="BB1970" s="28"/>
      <c r="BC1970" s="6" t="s">
        <v>17466</v>
      </c>
      <c r="BE1970" s="15" t="s">
        <v>2145</v>
      </c>
      <c r="BF1970" s="6" t="s">
        <v>17467</v>
      </c>
    </row>
    <row r="1971" customFormat="false" ht="82.5" hidden="false" customHeight="false" outlineLevel="0" collapsed="false">
      <c r="A1971" s="26" t="s">
        <v>63</v>
      </c>
      <c r="B1971" s="27" t="s">
        <v>2129</v>
      </c>
      <c r="C1971" s="27" t="s">
        <v>2130</v>
      </c>
      <c r="D1971" s="27" t="s">
        <v>17468</v>
      </c>
      <c r="E1971" s="27" t="s">
        <v>17469</v>
      </c>
      <c r="F1971" s="27" t="s">
        <v>17470</v>
      </c>
      <c r="G1971" s="28"/>
      <c r="H1971" s="6" t="s">
        <v>57</v>
      </c>
      <c r="I1971" s="6" t="s">
        <v>62</v>
      </c>
      <c r="J1971" s="6" t="s">
        <v>57</v>
      </c>
      <c r="K1971" s="6" t="s">
        <v>63</v>
      </c>
      <c r="L1971" s="6" t="s">
        <v>64</v>
      </c>
      <c r="M1971" s="27" t="s">
        <v>17471</v>
      </c>
      <c r="N1971" s="27" t="s">
        <v>17472</v>
      </c>
      <c r="O1971" s="6" t="s">
        <v>122</v>
      </c>
      <c r="P1971" s="28"/>
      <c r="Q1971" s="6" t="s">
        <v>67</v>
      </c>
      <c r="R1971" s="6" t="s">
        <v>68</v>
      </c>
      <c r="S1971" s="28"/>
      <c r="T1971" s="6" t="s">
        <v>6138</v>
      </c>
      <c r="U1971" s="7" t="n">
        <v>3</v>
      </c>
      <c r="V1971" s="7" t="n">
        <v>5</v>
      </c>
      <c r="W1971" s="8" t="s">
        <v>17473</v>
      </c>
      <c r="X1971" s="8" t="s">
        <v>17473</v>
      </c>
      <c r="Y1971" s="8" t="s">
        <v>17474</v>
      </c>
      <c r="Z1971" s="8" t="s">
        <v>17474</v>
      </c>
      <c r="AA1971" s="7" t="n">
        <v>404</v>
      </c>
      <c r="AB1971" s="7" t="n">
        <v>361</v>
      </c>
      <c r="AC1971" s="7" t="n">
        <v>412</v>
      </c>
      <c r="AD1971" s="7" t="n">
        <v>3</v>
      </c>
      <c r="AE1971" s="7" t="n">
        <v>3</v>
      </c>
      <c r="AF1971" s="7" t="n">
        <v>26</v>
      </c>
      <c r="AG1971" s="7" t="n">
        <v>27</v>
      </c>
      <c r="AH1971" s="7" t="n">
        <v>12</v>
      </c>
      <c r="AI1971" s="7" t="n">
        <v>12</v>
      </c>
      <c r="AJ1971" s="7" t="n">
        <v>7</v>
      </c>
      <c r="AK1971" s="7" t="n">
        <v>7</v>
      </c>
      <c r="AL1971" s="7" t="n">
        <v>14</v>
      </c>
      <c r="AM1971" s="7" t="n">
        <v>15</v>
      </c>
      <c r="AN1971" s="7" t="n">
        <v>2</v>
      </c>
      <c r="AO1971" s="7" t="n">
        <v>2</v>
      </c>
      <c r="AP1971" s="7" t="n">
        <v>0</v>
      </c>
      <c r="AQ1971" s="7" t="n">
        <v>0</v>
      </c>
      <c r="AR1971" s="6" t="s">
        <v>63</v>
      </c>
      <c r="AS1971" s="6" t="s">
        <v>57</v>
      </c>
      <c r="AT1971" s="9" t="str">
        <f aca="false">HYPERLINK("http://catalog.hathitrust.org/Record/006751605","HathiTrust Record")</f>
        <v>HathiTrust Record</v>
      </c>
      <c r="AU1971" s="9" t="str">
        <f aca="false">HYPERLINK("https://creighton-primo.hosted.exlibrisgroup.com/primo-explore/search?tab=default_tab&amp;search_scope=EVERYTHING&amp;vid=01CRU&amp;lang=en_US&amp;offset=0&amp;query=any,contains,991002561229702656","Catalog Record")</f>
        <v>Catalog Record</v>
      </c>
      <c r="AV1971" s="9" t="str">
        <f aca="false">HYPERLINK("http://www.worldcat.org/oclc/371761","WorldCat Record")</f>
        <v>WorldCat Record</v>
      </c>
      <c r="AW1971" s="6" t="s">
        <v>17475</v>
      </c>
      <c r="AX1971" s="6" t="s">
        <v>17476</v>
      </c>
      <c r="AY1971" s="6" t="s">
        <v>17477</v>
      </c>
      <c r="AZ1971" s="6" t="s">
        <v>17477</v>
      </c>
      <c r="BA1971" s="6" t="s">
        <v>17478</v>
      </c>
      <c r="BB1971" s="28"/>
      <c r="BC1971" s="6" t="s">
        <v>17479</v>
      </c>
      <c r="BE1971" s="15" t="s">
        <v>2145</v>
      </c>
      <c r="BF1971" s="6" t="s">
        <v>17480</v>
      </c>
    </row>
    <row r="1972" customFormat="false" ht="82.5" hidden="false" customHeight="false" outlineLevel="0" collapsed="false">
      <c r="A1972" s="26" t="s">
        <v>63</v>
      </c>
      <c r="B1972" s="27" t="s">
        <v>2129</v>
      </c>
      <c r="C1972" s="27" t="s">
        <v>2130</v>
      </c>
      <c r="D1972" s="27" t="s">
        <v>17481</v>
      </c>
      <c r="E1972" s="27" t="s">
        <v>17482</v>
      </c>
      <c r="F1972" s="27" t="s">
        <v>17470</v>
      </c>
      <c r="G1972" s="28"/>
      <c r="H1972" s="6" t="s">
        <v>57</v>
      </c>
      <c r="I1972" s="6" t="s">
        <v>62</v>
      </c>
      <c r="J1972" s="6" t="s">
        <v>57</v>
      </c>
      <c r="K1972" s="6" t="s">
        <v>63</v>
      </c>
      <c r="L1972" s="6" t="s">
        <v>64</v>
      </c>
      <c r="M1972" s="27" t="s">
        <v>17471</v>
      </c>
      <c r="N1972" s="27" t="s">
        <v>17472</v>
      </c>
      <c r="O1972" s="6" t="s">
        <v>122</v>
      </c>
      <c r="P1972" s="28"/>
      <c r="Q1972" s="6" t="s">
        <v>67</v>
      </c>
      <c r="R1972" s="6" t="s">
        <v>68</v>
      </c>
      <c r="S1972" s="28"/>
      <c r="T1972" s="6" t="s">
        <v>6138</v>
      </c>
      <c r="U1972" s="7" t="n">
        <v>2</v>
      </c>
      <c r="V1972" s="7" t="n">
        <v>5</v>
      </c>
      <c r="W1972" s="8" t="s">
        <v>17473</v>
      </c>
      <c r="X1972" s="8" t="s">
        <v>17473</v>
      </c>
      <c r="Y1972" s="8" t="s">
        <v>17474</v>
      </c>
      <c r="Z1972" s="8" t="s">
        <v>17474</v>
      </c>
      <c r="AA1972" s="7" t="n">
        <v>404</v>
      </c>
      <c r="AB1972" s="7" t="n">
        <v>361</v>
      </c>
      <c r="AC1972" s="7" t="n">
        <v>412</v>
      </c>
      <c r="AD1972" s="7" t="n">
        <v>3</v>
      </c>
      <c r="AE1972" s="7" t="n">
        <v>3</v>
      </c>
      <c r="AF1972" s="7" t="n">
        <v>26</v>
      </c>
      <c r="AG1972" s="7" t="n">
        <v>27</v>
      </c>
      <c r="AH1972" s="7" t="n">
        <v>12</v>
      </c>
      <c r="AI1972" s="7" t="n">
        <v>12</v>
      </c>
      <c r="AJ1972" s="7" t="n">
        <v>7</v>
      </c>
      <c r="AK1972" s="7" t="n">
        <v>7</v>
      </c>
      <c r="AL1972" s="7" t="n">
        <v>14</v>
      </c>
      <c r="AM1972" s="7" t="n">
        <v>15</v>
      </c>
      <c r="AN1972" s="7" t="n">
        <v>2</v>
      </c>
      <c r="AO1972" s="7" t="n">
        <v>2</v>
      </c>
      <c r="AP1972" s="7" t="n">
        <v>0</v>
      </c>
      <c r="AQ1972" s="7" t="n">
        <v>0</v>
      </c>
      <c r="AR1972" s="6" t="s">
        <v>63</v>
      </c>
      <c r="AS1972" s="6" t="s">
        <v>57</v>
      </c>
      <c r="AT1972" s="9" t="str">
        <f aca="false">HYPERLINK("http://catalog.hathitrust.org/Record/006751605","HathiTrust Record")</f>
        <v>HathiTrust Record</v>
      </c>
      <c r="AU1972" s="9" t="str">
        <f aca="false">HYPERLINK("https://creighton-primo.hosted.exlibrisgroup.com/primo-explore/search?tab=default_tab&amp;search_scope=EVERYTHING&amp;vid=01CRU&amp;lang=en_US&amp;offset=0&amp;query=any,contains,991002561229702656","Catalog Record")</f>
        <v>Catalog Record</v>
      </c>
      <c r="AV1972" s="9" t="str">
        <f aca="false">HYPERLINK("http://www.worldcat.org/oclc/371761","WorldCat Record")</f>
        <v>WorldCat Record</v>
      </c>
      <c r="AW1972" s="6" t="s">
        <v>17475</v>
      </c>
      <c r="AX1972" s="6" t="s">
        <v>17476</v>
      </c>
      <c r="AY1972" s="6" t="s">
        <v>17477</v>
      </c>
      <c r="AZ1972" s="6" t="s">
        <v>17477</v>
      </c>
      <c r="BA1972" s="6" t="s">
        <v>17478</v>
      </c>
      <c r="BB1972" s="28"/>
      <c r="BC1972" s="6" t="s">
        <v>17483</v>
      </c>
      <c r="BE1972" s="15" t="s">
        <v>2145</v>
      </c>
      <c r="BF1972" s="6" t="s">
        <v>17484</v>
      </c>
    </row>
    <row r="1973" customFormat="false" ht="71" hidden="false" customHeight="false" outlineLevel="0" collapsed="false">
      <c r="A1973" s="26" t="s">
        <v>57</v>
      </c>
      <c r="B1973" s="27" t="s">
        <v>2129</v>
      </c>
      <c r="C1973" s="27" t="s">
        <v>2130</v>
      </c>
      <c r="D1973" s="27" t="s">
        <v>17485</v>
      </c>
      <c r="E1973" s="27" t="s">
        <v>17486</v>
      </c>
      <c r="F1973" s="27" t="s">
        <v>17487</v>
      </c>
      <c r="G1973" s="28"/>
      <c r="H1973" s="6" t="s">
        <v>63</v>
      </c>
      <c r="I1973" s="6" t="s">
        <v>62</v>
      </c>
      <c r="J1973" s="6" t="s">
        <v>63</v>
      </c>
      <c r="K1973" s="6" t="s">
        <v>63</v>
      </c>
      <c r="L1973" s="6" t="s">
        <v>64</v>
      </c>
      <c r="M1973" s="27" t="s">
        <v>3932</v>
      </c>
      <c r="N1973" s="27" t="s">
        <v>17488</v>
      </c>
      <c r="O1973" s="6" t="s">
        <v>3919</v>
      </c>
      <c r="P1973" s="28"/>
      <c r="Q1973" s="6" t="s">
        <v>67</v>
      </c>
      <c r="R1973" s="6" t="s">
        <v>500</v>
      </c>
      <c r="S1973" s="28"/>
      <c r="T1973" s="6" t="s">
        <v>6138</v>
      </c>
      <c r="U1973" s="7" t="n">
        <v>1</v>
      </c>
      <c r="V1973" s="7" t="n">
        <v>1</v>
      </c>
      <c r="W1973" s="8" t="s">
        <v>16314</v>
      </c>
      <c r="X1973" s="8" t="s">
        <v>16314</v>
      </c>
      <c r="Y1973" s="8" t="s">
        <v>17474</v>
      </c>
      <c r="Z1973" s="8" t="s">
        <v>17474</v>
      </c>
      <c r="AA1973" s="7" t="n">
        <v>1012</v>
      </c>
      <c r="AB1973" s="7" t="n">
        <v>911</v>
      </c>
      <c r="AC1973" s="7" t="n">
        <v>956</v>
      </c>
      <c r="AD1973" s="7" t="n">
        <v>6</v>
      </c>
      <c r="AE1973" s="7" t="n">
        <v>6</v>
      </c>
      <c r="AF1973" s="7" t="n">
        <v>40</v>
      </c>
      <c r="AG1973" s="7" t="n">
        <v>43</v>
      </c>
      <c r="AH1973" s="7" t="n">
        <v>13</v>
      </c>
      <c r="AI1973" s="7" t="n">
        <v>15</v>
      </c>
      <c r="AJ1973" s="7" t="n">
        <v>10</v>
      </c>
      <c r="AK1973" s="7" t="n">
        <v>10</v>
      </c>
      <c r="AL1973" s="7" t="n">
        <v>21</v>
      </c>
      <c r="AM1973" s="7" t="n">
        <v>23</v>
      </c>
      <c r="AN1973" s="7" t="n">
        <v>4</v>
      </c>
      <c r="AO1973" s="7" t="n">
        <v>4</v>
      </c>
      <c r="AP1973" s="7" t="n">
        <v>1</v>
      </c>
      <c r="AQ1973" s="7" t="n">
        <v>1</v>
      </c>
      <c r="AR1973" s="6" t="s">
        <v>63</v>
      </c>
      <c r="AS1973" s="6" t="s">
        <v>63</v>
      </c>
      <c r="AT1973" s="9" t="str">
        <f aca="false">HYPERLINK("http://catalog.hathitrust.org/Record/001382117","HathiTrust Record")</f>
        <v>HathiTrust Record</v>
      </c>
      <c r="AU1973" s="9" t="str">
        <f aca="false">HYPERLINK("https://creighton-primo.hosted.exlibrisgroup.com/primo-explore/search?tab=default_tab&amp;search_scope=EVERYTHING&amp;vid=01CRU&amp;lang=en_US&amp;offset=0&amp;query=any,contains,991002561169702656","Catalog Record")</f>
        <v>Catalog Record</v>
      </c>
      <c r="AV1973" s="9" t="str">
        <f aca="false">HYPERLINK("http://www.worldcat.org/oclc/371759","WorldCat Record")</f>
        <v>WorldCat Record</v>
      </c>
      <c r="AW1973" s="6" t="s">
        <v>17489</v>
      </c>
      <c r="AX1973" s="6" t="s">
        <v>17490</v>
      </c>
      <c r="AY1973" s="6" t="s">
        <v>17491</v>
      </c>
      <c r="AZ1973" s="6" t="s">
        <v>17491</v>
      </c>
      <c r="BA1973" s="6" t="s">
        <v>17492</v>
      </c>
      <c r="BB1973" s="28"/>
      <c r="BC1973" s="6" t="s">
        <v>17493</v>
      </c>
      <c r="BE1973" s="15" t="s">
        <v>2145</v>
      </c>
      <c r="BF1973" s="6" t="s">
        <v>17494</v>
      </c>
    </row>
    <row r="1974" customFormat="false" ht="174.5" hidden="false" customHeight="false" outlineLevel="0" collapsed="false">
      <c r="A1974" s="26" t="s">
        <v>63</v>
      </c>
      <c r="B1974" s="27" t="s">
        <v>2129</v>
      </c>
      <c r="C1974" s="27" t="s">
        <v>2130</v>
      </c>
      <c r="D1974" s="27" t="s">
        <v>17495</v>
      </c>
      <c r="E1974" s="27" t="s">
        <v>17496</v>
      </c>
      <c r="F1974" s="27" t="s">
        <v>17497</v>
      </c>
      <c r="G1974" s="28"/>
      <c r="H1974" s="6" t="s">
        <v>63</v>
      </c>
      <c r="I1974" s="6" t="s">
        <v>62</v>
      </c>
      <c r="J1974" s="6" t="s">
        <v>63</v>
      </c>
      <c r="K1974" s="6" t="s">
        <v>63</v>
      </c>
      <c r="L1974" s="6" t="s">
        <v>64</v>
      </c>
      <c r="M1974" s="27" t="s">
        <v>17498</v>
      </c>
      <c r="N1974" s="27" t="s">
        <v>17499</v>
      </c>
      <c r="O1974" s="6" t="s">
        <v>2369</v>
      </c>
      <c r="P1974" s="27" t="s">
        <v>255</v>
      </c>
      <c r="Q1974" s="6" t="s">
        <v>67</v>
      </c>
      <c r="R1974" s="6" t="s">
        <v>68</v>
      </c>
      <c r="S1974" s="28"/>
      <c r="T1974" s="6" t="s">
        <v>6138</v>
      </c>
      <c r="U1974" s="7" t="n">
        <v>2</v>
      </c>
      <c r="V1974" s="7" t="n">
        <v>2</v>
      </c>
      <c r="W1974" s="8" t="s">
        <v>17500</v>
      </c>
      <c r="X1974" s="8" t="s">
        <v>17500</v>
      </c>
      <c r="Y1974" s="8" t="s">
        <v>17474</v>
      </c>
      <c r="Z1974" s="8" t="s">
        <v>17474</v>
      </c>
      <c r="AA1974" s="7" t="n">
        <v>1011</v>
      </c>
      <c r="AB1974" s="7" t="n">
        <v>923</v>
      </c>
      <c r="AC1974" s="7" t="n">
        <v>1149</v>
      </c>
      <c r="AD1974" s="7" t="n">
        <v>5</v>
      </c>
      <c r="AE1974" s="7" t="n">
        <v>7</v>
      </c>
      <c r="AF1974" s="7" t="n">
        <v>39</v>
      </c>
      <c r="AG1974" s="7" t="n">
        <v>50</v>
      </c>
      <c r="AH1974" s="7" t="n">
        <v>16</v>
      </c>
      <c r="AI1974" s="7" t="n">
        <v>22</v>
      </c>
      <c r="AJ1974" s="7" t="n">
        <v>8</v>
      </c>
      <c r="AK1974" s="7" t="n">
        <v>9</v>
      </c>
      <c r="AL1974" s="7" t="n">
        <v>20</v>
      </c>
      <c r="AM1974" s="7" t="n">
        <v>26</v>
      </c>
      <c r="AN1974" s="7" t="n">
        <v>4</v>
      </c>
      <c r="AO1974" s="7" t="n">
        <v>5</v>
      </c>
      <c r="AP1974" s="7" t="n">
        <v>0</v>
      </c>
      <c r="AQ1974" s="7" t="n">
        <v>0</v>
      </c>
      <c r="AR1974" s="6" t="s">
        <v>63</v>
      </c>
      <c r="AS1974" s="6" t="s">
        <v>57</v>
      </c>
      <c r="AT1974" s="9" t="str">
        <f aca="false">HYPERLINK("http://catalog.hathitrust.org/Record/001382118","HathiTrust Record")</f>
        <v>HathiTrust Record</v>
      </c>
      <c r="AU1974" s="9" t="str">
        <f aca="false">HYPERLINK("https://creighton-primo.hosted.exlibrisgroup.com/primo-explore/search?tab=default_tab&amp;search_scope=EVERYTHING&amp;vid=01CRU&amp;lang=en_US&amp;offset=0&amp;query=any,contains,991001935039702656","Catalog Record")</f>
        <v>Catalog Record</v>
      </c>
      <c r="AV1974" s="9" t="str">
        <f aca="false">HYPERLINK("http://www.worldcat.org/oclc/250267","WorldCat Record")</f>
        <v>WorldCat Record</v>
      </c>
      <c r="AW1974" s="6" t="s">
        <v>17501</v>
      </c>
      <c r="AX1974" s="6" t="s">
        <v>17502</v>
      </c>
      <c r="AY1974" s="6" t="s">
        <v>17503</v>
      </c>
      <c r="AZ1974" s="6" t="s">
        <v>17503</v>
      </c>
      <c r="BA1974" s="6" t="s">
        <v>17504</v>
      </c>
      <c r="BB1974" s="28"/>
      <c r="BC1974" s="6" t="s">
        <v>17505</v>
      </c>
      <c r="BE1974" s="15" t="s">
        <v>2145</v>
      </c>
      <c r="BF1974" s="6" t="s">
        <v>17506</v>
      </c>
    </row>
    <row r="1975" customFormat="false" ht="128.5" hidden="false" customHeight="false" outlineLevel="0" collapsed="false">
      <c r="A1975" s="26" t="s">
        <v>63</v>
      </c>
      <c r="B1975" s="27" t="s">
        <v>2129</v>
      </c>
      <c r="C1975" s="27" t="s">
        <v>2130</v>
      </c>
      <c r="D1975" s="27" t="s">
        <v>17507</v>
      </c>
      <c r="E1975" s="27" t="s">
        <v>17508</v>
      </c>
      <c r="F1975" s="27" t="s">
        <v>17509</v>
      </c>
      <c r="G1975" s="28"/>
      <c r="H1975" s="6" t="s">
        <v>63</v>
      </c>
      <c r="I1975" s="6" t="s">
        <v>62</v>
      </c>
      <c r="J1975" s="6" t="s">
        <v>63</v>
      </c>
      <c r="K1975" s="6" t="s">
        <v>63</v>
      </c>
      <c r="L1975" s="6" t="s">
        <v>64</v>
      </c>
      <c r="M1975" s="27" t="s">
        <v>17510</v>
      </c>
      <c r="N1975" s="27" t="s">
        <v>17511</v>
      </c>
      <c r="O1975" s="6" t="s">
        <v>2811</v>
      </c>
      <c r="P1975" s="28"/>
      <c r="Q1975" s="6" t="s">
        <v>67</v>
      </c>
      <c r="R1975" s="6" t="s">
        <v>1224</v>
      </c>
      <c r="S1975" s="28"/>
      <c r="T1975" s="6" t="s">
        <v>6138</v>
      </c>
      <c r="U1975" s="7" t="n">
        <v>3</v>
      </c>
      <c r="V1975" s="7" t="n">
        <v>3</v>
      </c>
      <c r="W1975" s="8" t="s">
        <v>17473</v>
      </c>
      <c r="X1975" s="8" t="s">
        <v>17473</v>
      </c>
      <c r="Y1975" s="8" t="s">
        <v>17474</v>
      </c>
      <c r="Z1975" s="8" t="s">
        <v>17474</v>
      </c>
      <c r="AA1975" s="7" t="n">
        <v>809</v>
      </c>
      <c r="AB1975" s="7" t="n">
        <v>650</v>
      </c>
      <c r="AC1975" s="7" t="n">
        <v>821</v>
      </c>
      <c r="AD1975" s="7" t="n">
        <v>5</v>
      </c>
      <c r="AE1975" s="7" t="n">
        <v>7</v>
      </c>
      <c r="AF1975" s="7" t="n">
        <v>36</v>
      </c>
      <c r="AG1975" s="7" t="n">
        <v>45</v>
      </c>
      <c r="AH1975" s="7" t="n">
        <v>12</v>
      </c>
      <c r="AI1975" s="7" t="n">
        <v>16</v>
      </c>
      <c r="AJ1975" s="7" t="n">
        <v>10</v>
      </c>
      <c r="AK1975" s="7" t="n">
        <v>11</v>
      </c>
      <c r="AL1975" s="7" t="n">
        <v>23</v>
      </c>
      <c r="AM1975" s="7" t="n">
        <v>26</v>
      </c>
      <c r="AN1975" s="7" t="n">
        <v>4</v>
      </c>
      <c r="AO1975" s="7" t="n">
        <v>6</v>
      </c>
      <c r="AP1975" s="7" t="n">
        <v>0</v>
      </c>
      <c r="AQ1975" s="7" t="n">
        <v>0</v>
      </c>
      <c r="AR1975" s="6" t="s">
        <v>63</v>
      </c>
      <c r="AS1975" s="6" t="s">
        <v>57</v>
      </c>
      <c r="AT1975" s="9" t="str">
        <f aca="false">HYPERLINK("http://catalog.hathitrust.org/Record/001382120","HathiTrust Record")</f>
        <v>HathiTrust Record</v>
      </c>
      <c r="AU1975" s="9" t="str">
        <f aca="false">HYPERLINK("https://creighton-primo.hosted.exlibrisgroup.com/primo-explore/search?tab=default_tab&amp;search_scope=EVERYTHING&amp;vid=01CRU&amp;lang=en_US&amp;offset=0&amp;query=any,contains,991001088779702656","Catalog Record")</f>
        <v>Catalog Record</v>
      </c>
      <c r="AV1975" s="9" t="str">
        <f aca="false">HYPERLINK("http://www.worldcat.org/oclc/181108","WorldCat Record")</f>
        <v>WorldCat Record</v>
      </c>
      <c r="AW1975" s="6" t="s">
        <v>17512</v>
      </c>
      <c r="AX1975" s="6" t="s">
        <v>17513</v>
      </c>
      <c r="AY1975" s="6" t="s">
        <v>17514</v>
      </c>
      <c r="AZ1975" s="6" t="s">
        <v>17514</v>
      </c>
      <c r="BA1975" s="6" t="s">
        <v>17515</v>
      </c>
      <c r="BB1975" s="6" t="s">
        <v>17516</v>
      </c>
      <c r="BC1975" s="6" t="s">
        <v>17517</v>
      </c>
      <c r="BE1975" s="15" t="s">
        <v>2145</v>
      </c>
      <c r="BF1975" s="6" t="s">
        <v>17518</v>
      </c>
    </row>
    <row r="1976" customFormat="false" ht="151.5" hidden="false" customHeight="false" outlineLevel="0" collapsed="false">
      <c r="A1976" s="26" t="s">
        <v>63</v>
      </c>
      <c r="B1976" s="27" t="s">
        <v>2129</v>
      </c>
      <c r="C1976" s="27" t="s">
        <v>2130</v>
      </c>
      <c r="D1976" s="27" t="s">
        <v>17519</v>
      </c>
      <c r="E1976" s="27" t="s">
        <v>17520</v>
      </c>
      <c r="F1976" s="27" t="s">
        <v>17521</v>
      </c>
      <c r="G1976" s="28"/>
      <c r="H1976" s="6" t="s">
        <v>63</v>
      </c>
      <c r="I1976" s="6" t="s">
        <v>62</v>
      </c>
      <c r="J1976" s="6" t="s">
        <v>63</v>
      </c>
      <c r="K1976" s="6" t="s">
        <v>63</v>
      </c>
      <c r="L1976" s="6" t="s">
        <v>64</v>
      </c>
      <c r="M1976" s="27" t="s">
        <v>17522</v>
      </c>
      <c r="N1976" s="27" t="s">
        <v>17523</v>
      </c>
      <c r="O1976" s="6" t="s">
        <v>11452</v>
      </c>
      <c r="P1976" s="28"/>
      <c r="Q1976" s="6" t="s">
        <v>67</v>
      </c>
      <c r="R1976" s="6" t="s">
        <v>1059</v>
      </c>
      <c r="S1976" s="28"/>
      <c r="T1976" s="6" t="s">
        <v>6138</v>
      </c>
      <c r="U1976" s="7" t="n">
        <v>2</v>
      </c>
      <c r="V1976" s="7" t="n">
        <v>2</v>
      </c>
      <c r="W1976" s="8" t="s">
        <v>17524</v>
      </c>
      <c r="X1976" s="8" t="s">
        <v>17524</v>
      </c>
      <c r="Y1976" s="8" t="s">
        <v>17474</v>
      </c>
      <c r="Z1976" s="8" t="s">
        <v>17474</v>
      </c>
      <c r="AA1976" s="7" t="n">
        <v>976</v>
      </c>
      <c r="AB1976" s="7" t="n">
        <v>866</v>
      </c>
      <c r="AC1976" s="7" t="n">
        <v>973</v>
      </c>
      <c r="AD1976" s="7" t="n">
        <v>8</v>
      </c>
      <c r="AE1976" s="7" t="n">
        <v>8</v>
      </c>
      <c r="AF1976" s="7" t="n">
        <v>42</v>
      </c>
      <c r="AG1976" s="7" t="n">
        <v>49</v>
      </c>
      <c r="AH1976" s="7" t="n">
        <v>19</v>
      </c>
      <c r="AI1976" s="7" t="n">
        <v>22</v>
      </c>
      <c r="AJ1976" s="7" t="n">
        <v>8</v>
      </c>
      <c r="AK1976" s="7" t="n">
        <v>10</v>
      </c>
      <c r="AL1976" s="7" t="n">
        <v>19</v>
      </c>
      <c r="AM1976" s="7" t="n">
        <v>23</v>
      </c>
      <c r="AN1976" s="7" t="n">
        <v>6</v>
      </c>
      <c r="AO1976" s="7" t="n">
        <v>6</v>
      </c>
      <c r="AP1976" s="7" t="n">
        <v>0</v>
      </c>
      <c r="AQ1976" s="7" t="n">
        <v>0</v>
      </c>
      <c r="AR1976" s="6" t="s">
        <v>57</v>
      </c>
      <c r="AS1976" s="6" t="s">
        <v>63</v>
      </c>
      <c r="AT1976" s="9" t="str">
        <f aca="false">HYPERLINK("http://catalog.hathitrust.org/Record/001382121","HathiTrust Record")</f>
        <v>HathiTrust Record</v>
      </c>
      <c r="AU1976" s="9" t="str">
        <f aca="false">HYPERLINK("https://creighton-primo.hosted.exlibrisgroup.com/primo-explore/search?tab=default_tab&amp;search_scope=EVERYTHING&amp;vid=01CRU&amp;lang=en_US&amp;offset=0&amp;query=any,contains,991002566229702656","Catalog Record")</f>
        <v>Catalog Record</v>
      </c>
      <c r="AV1976" s="9" t="str">
        <f aca="false">HYPERLINK("http://www.worldcat.org/oclc/372710","WorldCat Record")</f>
        <v>WorldCat Record</v>
      </c>
      <c r="AW1976" s="6" t="s">
        <v>17525</v>
      </c>
      <c r="AX1976" s="6" t="s">
        <v>17526</v>
      </c>
      <c r="AY1976" s="6" t="s">
        <v>17527</v>
      </c>
      <c r="AZ1976" s="6" t="s">
        <v>17527</v>
      </c>
      <c r="BA1976" s="6" t="s">
        <v>17528</v>
      </c>
      <c r="BB1976" s="28"/>
      <c r="BC1976" s="6" t="s">
        <v>17529</v>
      </c>
      <c r="BE1976" s="15" t="s">
        <v>2145</v>
      </c>
      <c r="BF1976" s="6" t="s">
        <v>17530</v>
      </c>
    </row>
    <row r="1977" customFormat="false" ht="151.5" hidden="false" customHeight="false" outlineLevel="0" collapsed="false">
      <c r="A1977" s="26" t="s">
        <v>63</v>
      </c>
      <c r="B1977" s="27" t="s">
        <v>2129</v>
      </c>
      <c r="C1977" s="27" t="s">
        <v>2130</v>
      </c>
      <c r="D1977" s="27" t="s">
        <v>17531</v>
      </c>
      <c r="E1977" s="27" t="s">
        <v>17532</v>
      </c>
      <c r="F1977" s="27" t="s">
        <v>17533</v>
      </c>
      <c r="G1977" s="28"/>
      <c r="H1977" s="6" t="s">
        <v>63</v>
      </c>
      <c r="I1977" s="6" t="s">
        <v>62</v>
      </c>
      <c r="J1977" s="6" t="s">
        <v>63</v>
      </c>
      <c r="K1977" s="6" t="s">
        <v>57</v>
      </c>
      <c r="L1977" s="6" t="s">
        <v>64</v>
      </c>
      <c r="M1977" s="27" t="s">
        <v>17534</v>
      </c>
      <c r="N1977" s="27" t="s">
        <v>17535</v>
      </c>
      <c r="O1977" s="6" t="s">
        <v>4025</v>
      </c>
      <c r="P1977" s="28"/>
      <c r="Q1977" s="6" t="s">
        <v>67</v>
      </c>
      <c r="R1977" s="6" t="s">
        <v>222</v>
      </c>
      <c r="S1977" s="28"/>
      <c r="T1977" s="6" t="s">
        <v>6138</v>
      </c>
      <c r="U1977" s="7" t="n">
        <v>6</v>
      </c>
      <c r="V1977" s="7" t="n">
        <v>6</v>
      </c>
      <c r="W1977" s="8" t="s">
        <v>17450</v>
      </c>
      <c r="X1977" s="8" t="s">
        <v>17450</v>
      </c>
      <c r="Y1977" s="8" t="s">
        <v>17536</v>
      </c>
      <c r="Z1977" s="8" t="s">
        <v>17536</v>
      </c>
      <c r="AA1977" s="7" t="n">
        <v>420</v>
      </c>
      <c r="AB1977" s="7" t="n">
        <v>277</v>
      </c>
      <c r="AC1977" s="7" t="n">
        <v>379</v>
      </c>
      <c r="AD1977" s="7" t="n">
        <v>3</v>
      </c>
      <c r="AE1977" s="7" t="n">
        <v>3</v>
      </c>
      <c r="AF1977" s="7" t="n">
        <v>26</v>
      </c>
      <c r="AG1977" s="7" t="n">
        <v>32</v>
      </c>
      <c r="AH1977" s="7" t="n">
        <v>10</v>
      </c>
      <c r="AI1977" s="7" t="n">
        <v>11</v>
      </c>
      <c r="AJ1977" s="7" t="n">
        <v>6</v>
      </c>
      <c r="AK1977" s="7" t="n">
        <v>9</v>
      </c>
      <c r="AL1977" s="7" t="n">
        <v>15</v>
      </c>
      <c r="AM1977" s="7" t="n">
        <v>18</v>
      </c>
      <c r="AN1977" s="7" t="n">
        <v>2</v>
      </c>
      <c r="AO1977" s="7" t="n">
        <v>2</v>
      </c>
      <c r="AP1977" s="7" t="n">
        <v>0</v>
      </c>
      <c r="AQ1977" s="7" t="n">
        <v>0</v>
      </c>
      <c r="AR1977" s="6" t="s">
        <v>63</v>
      </c>
      <c r="AS1977" s="6" t="s">
        <v>63</v>
      </c>
      <c r="AT1977" s="28"/>
      <c r="AU1977" s="9" t="str">
        <f aca="false">HYPERLINK("https://creighton-primo.hosted.exlibrisgroup.com/primo-explore/search?tab=default_tab&amp;search_scope=EVERYTHING&amp;vid=01CRU&amp;lang=en_US&amp;offset=0&amp;query=any,contains,991001727769702656","Catalog Record")</f>
        <v>Catalog Record</v>
      </c>
      <c r="AV1977" s="9" t="str">
        <f aca="false">HYPERLINK("http://www.worldcat.org/oclc/21905235","WorldCat Record")</f>
        <v>WorldCat Record</v>
      </c>
      <c r="AW1977" s="6" t="s">
        <v>17537</v>
      </c>
      <c r="AX1977" s="6" t="s">
        <v>17538</v>
      </c>
      <c r="AY1977" s="6" t="s">
        <v>17539</v>
      </c>
      <c r="AZ1977" s="6" t="s">
        <v>17539</v>
      </c>
      <c r="BA1977" s="6" t="s">
        <v>17540</v>
      </c>
      <c r="BB1977" s="6" t="s">
        <v>17541</v>
      </c>
      <c r="BC1977" s="6" t="s">
        <v>17542</v>
      </c>
      <c r="BE1977" s="15" t="s">
        <v>2145</v>
      </c>
      <c r="BF1977" s="6" t="s">
        <v>17543</v>
      </c>
    </row>
    <row r="1978" customFormat="false" ht="105.5" hidden="false" customHeight="false" outlineLevel="0" collapsed="false">
      <c r="A1978" s="26" t="s">
        <v>63</v>
      </c>
      <c r="B1978" s="27" t="s">
        <v>2129</v>
      </c>
      <c r="C1978" s="27" t="s">
        <v>2130</v>
      </c>
      <c r="D1978" s="27" t="s">
        <v>17544</v>
      </c>
      <c r="E1978" s="27" t="s">
        <v>17545</v>
      </c>
      <c r="F1978" s="27" t="s">
        <v>17546</v>
      </c>
      <c r="G1978" s="28"/>
      <c r="H1978" s="6" t="s">
        <v>63</v>
      </c>
      <c r="I1978" s="6" t="s">
        <v>62</v>
      </c>
      <c r="J1978" s="6" t="s">
        <v>63</v>
      </c>
      <c r="K1978" s="6" t="s">
        <v>63</v>
      </c>
      <c r="L1978" s="6" t="s">
        <v>64</v>
      </c>
      <c r="M1978" s="27" t="s">
        <v>17547</v>
      </c>
      <c r="N1978" s="27" t="s">
        <v>17548</v>
      </c>
      <c r="O1978" s="6" t="s">
        <v>2693</v>
      </c>
      <c r="P1978" s="28"/>
      <c r="Q1978" s="6" t="s">
        <v>67</v>
      </c>
      <c r="R1978" s="6" t="s">
        <v>68</v>
      </c>
      <c r="S1978" s="28"/>
      <c r="T1978" s="6" t="s">
        <v>6138</v>
      </c>
      <c r="U1978" s="7" t="n">
        <v>1</v>
      </c>
      <c r="V1978" s="7" t="n">
        <v>1</v>
      </c>
      <c r="W1978" s="8" t="s">
        <v>16894</v>
      </c>
      <c r="X1978" s="8" t="s">
        <v>16894</v>
      </c>
      <c r="Y1978" s="8" t="s">
        <v>17474</v>
      </c>
      <c r="Z1978" s="8" t="s">
        <v>17474</v>
      </c>
      <c r="AA1978" s="7" t="n">
        <v>209</v>
      </c>
      <c r="AB1978" s="7" t="n">
        <v>180</v>
      </c>
      <c r="AC1978" s="7" t="n">
        <v>603</v>
      </c>
      <c r="AD1978" s="7" t="n">
        <v>3</v>
      </c>
      <c r="AE1978" s="7" t="n">
        <v>7</v>
      </c>
      <c r="AF1978" s="7" t="n">
        <v>9</v>
      </c>
      <c r="AG1978" s="7" t="n">
        <v>23</v>
      </c>
      <c r="AH1978" s="7" t="n">
        <v>1</v>
      </c>
      <c r="AI1978" s="7" t="n">
        <v>3</v>
      </c>
      <c r="AJ1978" s="7" t="n">
        <v>2</v>
      </c>
      <c r="AK1978" s="7" t="n">
        <v>5</v>
      </c>
      <c r="AL1978" s="7" t="n">
        <v>7</v>
      </c>
      <c r="AM1978" s="7" t="n">
        <v>14</v>
      </c>
      <c r="AN1978" s="7" t="n">
        <v>2</v>
      </c>
      <c r="AO1978" s="7" t="n">
        <v>6</v>
      </c>
      <c r="AP1978" s="7" t="n">
        <v>0</v>
      </c>
      <c r="AQ1978" s="7" t="n">
        <v>1</v>
      </c>
      <c r="AR1978" s="6" t="s">
        <v>63</v>
      </c>
      <c r="AS1978" s="6" t="s">
        <v>63</v>
      </c>
      <c r="AT1978" s="28"/>
      <c r="AU1978" s="9" t="str">
        <f aca="false">HYPERLINK("https://creighton-primo.hosted.exlibrisgroup.com/primo-explore/search?tab=default_tab&amp;search_scope=EVERYTHING&amp;vid=01CRU&amp;lang=en_US&amp;offset=0&amp;query=any,contains,991002185079702656","Catalog Record")</f>
        <v>Catalog Record</v>
      </c>
      <c r="AV1978" s="9" t="str">
        <f aca="false">HYPERLINK("http://www.worldcat.org/oclc/279704","WorldCat Record")</f>
        <v>WorldCat Record</v>
      </c>
      <c r="AW1978" s="6" t="s">
        <v>17549</v>
      </c>
      <c r="AX1978" s="6" t="s">
        <v>17550</v>
      </c>
      <c r="AY1978" s="6" t="s">
        <v>17551</v>
      </c>
      <c r="AZ1978" s="6" t="s">
        <v>17551</v>
      </c>
      <c r="BA1978" s="6" t="s">
        <v>17552</v>
      </c>
      <c r="BB1978" s="28"/>
      <c r="BC1978" s="6" t="s">
        <v>17553</v>
      </c>
      <c r="BE1978" s="15" t="s">
        <v>2145</v>
      </c>
      <c r="BF1978" s="6" t="s">
        <v>17554</v>
      </c>
    </row>
    <row r="1979" customFormat="false" ht="220.5" hidden="false" customHeight="false" outlineLevel="0" collapsed="false">
      <c r="A1979" s="26" t="s">
        <v>63</v>
      </c>
      <c r="B1979" s="27" t="s">
        <v>2129</v>
      </c>
      <c r="C1979" s="27" t="s">
        <v>2130</v>
      </c>
      <c r="D1979" s="27" t="s">
        <v>17555</v>
      </c>
      <c r="E1979" s="27" t="s">
        <v>17556</v>
      </c>
      <c r="F1979" s="27" t="s">
        <v>17557</v>
      </c>
      <c r="G1979" s="28"/>
      <c r="H1979" s="6" t="s">
        <v>63</v>
      </c>
      <c r="I1979" s="6" t="s">
        <v>62</v>
      </c>
      <c r="J1979" s="6" t="s">
        <v>63</v>
      </c>
      <c r="K1979" s="6" t="s">
        <v>63</v>
      </c>
      <c r="L1979" s="6" t="s">
        <v>64</v>
      </c>
      <c r="M1979" s="27" t="s">
        <v>17558</v>
      </c>
      <c r="N1979" s="27" t="s">
        <v>17559</v>
      </c>
      <c r="O1979" s="6" t="s">
        <v>3661</v>
      </c>
      <c r="P1979" s="28"/>
      <c r="Q1979" s="6" t="s">
        <v>67</v>
      </c>
      <c r="R1979" s="6" t="s">
        <v>272</v>
      </c>
      <c r="S1979" s="28"/>
      <c r="T1979" s="6" t="s">
        <v>6138</v>
      </c>
      <c r="U1979" s="7" t="n">
        <v>1</v>
      </c>
      <c r="V1979" s="7" t="n">
        <v>1</v>
      </c>
      <c r="W1979" s="8" t="s">
        <v>17560</v>
      </c>
      <c r="X1979" s="8" t="s">
        <v>17560</v>
      </c>
      <c r="Y1979" s="8" t="s">
        <v>17474</v>
      </c>
      <c r="Z1979" s="8" t="s">
        <v>17474</v>
      </c>
      <c r="AA1979" s="7" t="n">
        <v>751</v>
      </c>
      <c r="AB1979" s="7" t="n">
        <v>662</v>
      </c>
      <c r="AC1979" s="7" t="n">
        <v>899</v>
      </c>
      <c r="AD1979" s="7" t="n">
        <v>3</v>
      </c>
      <c r="AE1979" s="7" t="n">
        <v>4</v>
      </c>
      <c r="AF1979" s="7" t="n">
        <v>30</v>
      </c>
      <c r="AG1979" s="7" t="n">
        <v>41</v>
      </c>
      <c r="AH1979" s="7" t="n">
        <v>11</v>
      </c>
      <c r="AI1979" s="7" t="n">
        <v>17</v>
      </c>
      <c r="AJ1979" s="7" t="n">
        <v>8</v>
      </c>
      <c r="AK1979" s="7" t="n">
        <v>8</v>
      </c>
      <c r="AL1979" s="7" t="n">
        <v>21</v>
      </c>
      <c r="AM1979" s="7" t="n">
        <v>26</v>
      </c>
      <c r="AN1979" s="7" t="n">
        <v>1</v>
      </c>
      <c r="AO1979" s="7" t="n">
        <v>2</v>
      </c>
      <c r="AP1979" s="7" t="n">
        <v>0</v>
      </c>
      <c r="AQ1979" s="7" t="n">
        <v>0</v>
      </c>
      <c r="AR1979" s="6" t="s">
        <v>63</v>
      </c>
      <c r="AS1979" s="6" t="s">
        <v>63</v>
      </c>
      <c r="AT1979" s="9" t="str">
        <f aca="false">HYPERLINK("http://catalog.hathitrust.org/Record/001382155","HathiTrust Record")</f>
        <v>HathiTrust Record</v>
      </c>
      <c r="AU1979" s="9" t="str">
        <f aca="false">HYPERLINK("https://creighton-primo.hosted.exlibrisgroup.com/primo-explore/search?tab=default_tab&amp;search_scope=EVERYTHING&amp;vid=01CRU&amp;lang=en_US&amp;offset=0&amp;query=any,contains,991002554469702656","Catalog Record")</f>
        <v>Catalog Record</v>
      </c>
      <c r="AV1979" s="9" t="str">
        <f aca="false">HYPERLINK("http://www.worldcat.org/oclc/370906","WorldCat Record")</f>
        <v>WorldCat Record</v>
      </c>
      <c r="AW1979" s="6" t="s">
        <v>17561</v>
      </c>
      <c r="AX1979" s="6" t="s">
        <v>17562</v>
      </c>
      <c r="AY1979" s="6" t="s">
        <v>17563</v>
      </c>
      <c r="AZ1979" s="6" t="s">
        <v>17563</v>
      </c>
      <c r="BA1979" s="6" t="s">
        <v>17564</v>
      </c>
      <c r="BB1979" s="28"/>
      <c r="BC1979" s="6" t="s">
        <v>17565</v>
      </c>
      <c r="BE1979" s="15" t="s">
        <v>2145</v>
      </c>
      <c r="BF1979" s="6" t="s">
        <v>17566</v>
      </c>
    </row>
    <row r="1980" customFormat="false" ht="105.5" hidden="false" customHeight="false" outlineLevel="0" collapsed="false">
      <c r="A1980" s="26" t="s">
        <v>63</v>
      </c>
      <c r="B1980" s="27" t="s">
        <v>2129</v>
      </c>
      <c r="C1980" s="27" t="s">
        <v>2130</v>
      </c>
      <c r="D1980" s="27" t="s">
        <v>17567</v>
      </c>
      <c r="E1980" s="27" t="s">
        <v>17568</v>
      </c>
      <c r="F1980" s="27" t="s">
        <v>17569</v>
      </c>
      <c r="G1980" s="28"/>
      <c r="H1980" s="6" t="s">
        <v>63</v>
      </c>
      <c r="I1980" s="6" t="s">
        <v>62</v>
      </c>
      <c r="J1980" s="6" t="s">
        <v>57</v>
      </c>
      <c r="K1980" s="6" t="s">
        <v>63</v>
      </c>
      <c r="L1980" s="6" t="s">
        <v>64</v>
      </c>
      <c r="M1980" s="28"/>
      <c r="N1980" s="27" t="s">
        <v>17570</v>
      </c>
      <c r="O1980" s="6" t="s">
        <v>2693</v>
      </c>
      <c r="P1980" s="28"/>
      <c r="Q1980" s="6" t="s">
        <v>67</v>
      </c>
      <c r="R1980" s="6" t="s">
        <v>1086</v>
      </c>
      <c r="S1980" s="28"/>
      <c r="T1980" s="6" t="s">
        <v>6138</v>
      </c>
      <c r="U1980" s="7" t="n">
        <v>0</v>
      </c>
      <c r="V1980" s="7" t="n">
        <v>0</v>
      </c>
      <c r="W1980" s="8" t="s">
        <v>17571</v>
      </c>
      <c r="X1980" s="8" t="s">
        <v>17571</v>
      </c>
      <c r="Y1980" s="8" t="s">
        <v>17474</v>
      </c>
      <c r="Z1980" s="8" t="s">
        <v>17474</v>
      </c>
      <c r="AA1980" s="7" t="n">
        <v>347</v>
      </c>
      <c r="AB1980" s="7" t="n">
        <v>245</v>
      </c>
      <c r="AC1980" s="7" t="n">
        <v>247</v>
      </c>
      <c r="AD1980" s="7" t="n">
        <v>2</v>
      </c>
      <c r="AE1980" s="7" t="n">
        <v>2</v>
      </c>
      <c r="AF1980" s="7" t="n">
        <v>19</v>
      </c>
      <c r="AG1980" s="7" t="n">
        <v>19</v>
      </c>
      <c r="AH1980" s="7" t="n">
        <v>4</v>
      </c>
      <c r="AI1980" s="7" t="n">
        <v>4</v>
      </c>
      <c r="AJ1980" s="7" t="n">
        <v>5</v>
      </c>
      <c r="AK1980" s="7" t="n">
        <v>5</v>
      </c>
      <c r="AL1980" s="7" t="n">
        <v>14</v>
      </c>
      <c r="AM1980" s="7" t="n">
        <v>14</v>
      </c>
      <c r="AN1980" s="7" t="n">
        <v>1</v>
      </c>
      <c r="AO1980" s="7" t="n">
        <v>1</v>
      </c>
      <c r="AP1980" s="7" t="n">
        <v>0</v>
      </c>
      <c r="AQ1980" s="7" t="n">
        <v>0</v>
      </c>
      <c r="AR1980" s="6" t="s">
        <v>63</v>
      </c>
      <c r="AS1980" s="6" t="s">
        <v>57</v>
      </c>
      <c r="AT1980" s="9" t="str">
        <f aca="false">HYPERLINK("http://catalog.hathitrust.org/Record/010086462","HathiTrust Record")</f>
        <v>HathiTrust Record</v>
      </c>
      <c r="AU1980" s="9" t="str">
        <f aca="false">HYPERLINK("https://creighton-primo.hosted.exlibrisgroup.com/primo-explore/search?tab=default_tab&amp;search_scope=EVERYTHING&amp;vid=01CRU&amp;lang=en_US&amp;offset=0&amp;query=any,contains,991002297929702656","Catalog Record")</f>
        <v>Catalog Record</v>
      </c>
      <c r="AV1980" s="9" t="str">
        <f aca="false">HYPERLINK("http://www.worldcat.org/oclc/316543","WorldCat Record")</f>
        <v>WorldCat Record</v>
      </c>
      <c r="AW1980" s="6" t="s">
        <v>17572</v>
      </c>
      <c r="AX1980" s="6" t="s">
        <v>17573</v>
      </c>
      <c r="AY1980" s="6" t="s">
        <v>17574</v>
      </c>
      <c r="AZ1980" s="6" t="s">
        <v>17574</v>
      </c>
      <c r="BA1980" s="6" t="s">
        <v>17575</v>
      </c>
      <c r="BB1980" s="28"/>
      <c r="BC1980" s="6" t="s">
        <v>17576</v>
      </c>
      <c r="BE1980" s="15" t="s">
        <v>2145</v>
      </c>
      <c r="BF1980" s="6" t="s">
        <v>17577</v>
      </c>
    </row>
    <row r="1981" customFormat="false" ht="105.5" hidden="false" customHeight="false" outlineLevel="0" collapsed="false">
      <c r="A1981" s="26" t="s">
        <v>63</v>
      </c>
      <c r="B1981" s="27" t="s">
        <v>2129</v>
      </c>
      <c r="C1981" s="27" t="s">
        <v>2130</v>
      </c>
      <c r="D1981" s="27" t="s">
        <v>17578</v>
      </c>
      <c r="E1981" s="27" t="s">
        <v>17579</v>
      </c>
      <c r="F1981" s="27" t="s">
        <v>17569</v>
      </c>
      <c r="G1981" s="28"/>
      <c r="H1981" s="6" t="s">
        <v>63</v>
      </c>
      <c r="I1981" s="6" t="s">
        <v>62</v>
      </c>
      <c r="J1981" s="6" t="s">
        <v>57</v>
      </c>
      <c r="K1981" s="6" t="s">
        <v>63</v>
      </c>
      <c r="L1981" s="6" t="s">
        <v>64</v>
      </c>
      <c r="M1981" s="28"/>
      <c r="N1981" s="27" t="s">
        <v>17570</v>
      </c>
      <c r="O1981" s="6" t="s">
        <v>2693</v>
      </c>
      <c r="P1981" s="28"/>
      <c r="Q1981" s="6" t="s">
        <v>67</v>
      </c>
      <c r="R1981" s="6" t="s">
        <v>1086</v>
      </c>
      <c r="S1981" s="28"/>
      <c r="T1981" s="6" t="s">
        <v>6138</v>
      </c>
      <c r="U1981" s="7" t="n">
        <v>0</v>
      </c>
      <c r="V1981" s="7" t="n">
        <v>0</v>
      </c>
      <c r="W1981" s="28"/>
      <c r="X1981" s="8" t="s">
        <v>17571</v>
      </c>
      <c r="Y1981" s="8" t="s">
        <v>17474</v>
      </c>
      <c r="Z1981" s="8" t="s">
        <v>17474</v>
      </c>
      <c r="AA1981" s="7" t="n">
        <v>347</v>
      </c>
      <c r="AB1981" s="7" t="n">
        <v>245</v>
      </c>
      <c r="AC1981" s="7" t="n">
        <v>247</v>
      </c>
      <c r="AD1981" s="7" t="n">
        <v>2</v>
      </c>
      <c r="AE1981" s="7" t="n">
        <v>2</v>
      </c>
      <c r="AF1981" s="7" t="n">
        <v>19</v>
      </c>
      <c r="AG1981" s="7" t="n">
        <v>19</v>
      </c>
      <c r="AH1981" s="7" t="n">
        <v>4</v>
      </c>
      <c r="AI1981" s="7" t="n">
        <v>4</v>
      </c>
      <c r="AJ1981" s="7" t="n">
        <v>5</v>
      </c>
      <c r="AK1981" s="7" t="n">
        <v>5</v>
      </c>
      <c r="AL1981" s="7" t="n">
        <v>14</v>
      </c>
      <c r="AM1981" s="7" t="n">
        <v>14</v>
      </c>
      <c r="AN1981" s="7" t="n">
        <v>1</v>
      </c>
      <c r="AO1981" s="7" t="n">
        <v>1</v>
      </c>
      <c r="AP1981" s="7" t="n">
        <v>0</v>
      </c>
      <c r="AQ1981" s="7" t="n">
        <v>0</v>
      </c>
      <c r="AR1981" s="6" t="s">
        <v>63</v>
      </c>
      <c r="AS1981" s="6" t="s">
        <v>57</v>
      </c>
      <c r="AT1981" s="9" t="str">
        <f aca="false">HYPERLINK("http://catalog.hathitrust.org/Record/010086462","HathiTrust Record")</f>
        <v>HathiTrust Record</v>
      </c>
      <c r="AU1981" s="9" t="str">
        <f aca="false">HYPERLINK("https://creighton-primo.hosted.exlibrisgroup.com/primo-explore/search?tab=default_tab&amp;search_scope=EVERYTHING&amp;vid=01CRU&amp;lang=en_US&amp;offset=0&amp;query=any,contains,991002297929702656","Catalog Record")</f>
        <v>Catalog Record</v>
      </c>
      <c r="AV1981" s="9" t="str">
        <f aca="false">HYPERLINK("http://www.worldcat.org/oclc/316543","WorldCat Record")</f>
        <v>WorldCat Record</v>
      </c>
      <c r="AW1981" s="6" t="s">
        <v>17572</v>
      </c>
      <c r="AX1981" s="6" t="s">
        <v>17573</v>
      </c>
      <c r="AY1981" s="6" t="s">
        <v>17574</v>
      </c>
      <c r="AZ1981" s="6" t="s">
        <v>17574</v>
      </c>
      <c r="BA1981" s="6" t="s">
        <v>17575</v>
      </c>
      <c r="BB1981" s="28"/>
      <c r="BC1981" s="6" t="s">
        <v>17580</v>
      </c>
      <c r="BE1981" s="15" t="s">
        <v>2145</v>
      </c>
      <c r="BF1981" s="6" t="s">
        <v>17581</v>
      </c>
    </row>
    <row r="1982" customFormat="false" ht="105.5" hidden="false" customHeight="false" outlineLevel="0" collapsed="false">
      <c r="A1982" s="26" t="s">
        <v>63</v>
      </c>
      <c r="B1982" s="27" t="s">
        <v>2129</v>
      </c>
      <c r="C1982" s="27" t="s">
        <v>2130</v>
      </c>
      <c r="D1982" s="27" t="s">
        <v>17582</v>
      </c>
      <c r="E1982" s="27" t="s">
        <v>17583</v>
      </c>
      <c r="F1982" s="27" t="s">
        <v>17569</v>
      </c>
      <c r="G1982" s="28"/>
      <c r="H1982" s="6" t="s">
        <v>63</v>
      </c>
      <c r="I1982" s="6" t="s">
        <v>62</v>
      </c>
      <c r="J1982" s="6" t="s">
        <v>57</v>
      </c>
      <c r="K1982" s="6" t="s">
        <v>63</v>
      </c>
      <c r="L1982" s="6" t="s">
        <v>64</v>
      </c>
      <c r="M1982" s="28"/>
      <c r="N1982" s="27" t="s">
        <v>17570</v>
      </c>
      <c r="O1982" s="6" t="s">
        <v>2693</v>
      </c>
      <c r="P1982" s="28"/>
      <c r="Q1982" s="6" t="s">
        <v>67</v>
      </c>
      <c r="R1982" s="6" t="s">
        <v>1086</v>
      </c>
      <c r="S1982" s="28"/>
      <c r="T1982" s="6" t="s">
        <v>6138</v>
      </c>
      <c r="U1982" s="7" t="n">
        <v>0</v>
      </c>
      <c r="V1982" s="7" t="n">
        <v>0</v>
      </c>
      <c r="W1982" s="28"/>
      <c r="X1982" s="8" t="s">
        <v>17571</v>
      </c>
      <c r="Y1982" s="8" t="s">
        <v>17474</v>
      </c>
      <c r="Z1982" s="8" t="s">
        <v>17474</v>
      </c>
      <c r="AA1982" s="7" t="n">
        <v>347</v>
      </c>
      <c r="AB1982" s="7" t="n">
        <v>245</v>
      </c>
      <c r="AC1982" s="7" t="n">
        <v>247</v>
      </c>
      <c r="AD1982" s="7" t="n">
        <v>2</v>
      </c>
      <c r="AE1982" s="7" t="n">
        <v>2</v>
      </c>
      <c r="AF1982" s="7" t="n">
        <v>19</v>
      </c>
      <c r="AG1982" s="7" t="n">
        <v>19</v>
      </c>
      <c r="AH1982" s="7" t="n">
        <v>4</v>
      </c>
      <c r="AI1982" s="7" t="n">
        <v>4</v>
      </c>
      <c r="AJ1982" s="7" t="n">
        <v>5</v>
      </c>
      <c r="AK1982" s="7" t="n">
        <v>5</v>
      </c>
      <c r="AL1982" s="7" t="n">
        <v>14</v>
      </c>
      <c r="AM1982" s="7" t="n">
        <v>14</v>
      </c>
      <c r="AN1982" s="7" t="n">
        <v>1</v>
      </c>
      <c r="AO1982" s="7" t="n">
        <v>1</v>
      </c>
      <c r="AP1982" s="7" t="n">
        <v>0</v>
      </c>
      <c r="AQ1982" s="7" t="n">
        <v>0</v>
      </c>
      <c r="AR1982" s="6" t="s">
        <v>63</v>
      </c>
      <c r="AS1982" s="6" t="s">
        <v>57</v>
      </c>
      <c r="AT1982" s="9" t="str">
        <f aca="false">HYPERLINK("http://catalog.hathitrust.org/Record/010086462","HathiTrust Record")</f>
        <v>HathiTrust Record</v>
      </c>
      <c r="AU1982" s="9" t="str">
        <f aca="false">HYPERLINK("https://creighton-primo.hosted.exlibrisgroup.com/primo-explore/search?tab=default_tab&amp;search_scope=EVERYTHING&amp;vid=01CRU&amp;lang=en_US&amp;offset=0&amp;query=any,contains,991002297929702656","Catalog Record")</f>
        <v>Catalog Record</v>
      </c>
      <c r="AV1982" s="9" t="str">
        <f aca="false">HYPERLINK("http://www.worldcat.org/oclc/316543","WorldCat Record")</f>
        <v>WorldCat Record</v>
      </c>
      <c r="AW1982" s="6" t="s">
        <v>17572</v>
      </c>
      <c r="AX1982" s="6" t="s">
        <v>17573</v>
      </c>
      <c r="AY1982" s="6" t="s">
        <v>17574</v>
      </c>
      <c r="AZ1982" s="6" t="s">
        <v>17574</v>
      </c>
      <c r="BA1982" s="6" t="s">
        <v>17575</v>
      </c>
      <c r="BB1982" s="28"/>
      <c r="BC1982" s="6" t="s">
        <v>17584</v>
      </c>
      <c r="BE1982" s="15" t="s">
        <v>2145</v>
      </c>
      <c r="BF1982" s="6" t="s">
        <v>17585</v>
      </c>
    </row>
    <row r="1983" customFormat="false" ht="105.5" hidden="false" customHeight="false" outlineLevel="0" collapsed="false">
      <c r="A1983" s="26" t="s">
        <v>63</v>
      </c>
      <c r="B1983" s="27" t="s">
        <v>2129</v>
      </c>
      <c r="C1983" s="27" t="s">
        <v>2130</v>
      </c>
      <c r="D1983" s="27" t="s">
        <v>17586</v>
      </c>
      <c r="E1983" s="27" t="s">
        <v>17587</v>
      </c>
      <c r="F1983" s="27" t="s">
        <v>17569</v>
      </c>
      <c r="G1983" s="28"/>
      <c r="H1983" s="6" t="s">
        <v>63</v>
      </c>
      <c r="I1983" s="6" t="s">
        <v>62</v>
      </c>
      <c r="J1983" s="6" t="s">
        <v>57</v>
      </c>
      <c r="K1983" s="6" t="s">
        <v>63</v>
      </c>
      <c r="L1983" s="6" t="s">
        <v>64</v>
      </c>
      <c r="M1983" s="28"/>
      <c r="N1983" s="27" t="s">
        <v>17570</v>
      </c>
      <c r="O1983" s="6" t="s">
        <v>2693</v>
      </c>
      <c r="P1983" s="28"/>
      <c r="Q1983" s="6" t="s">
        <v>67</v>
      </c>
      <c r="R1983" s="6" t="s">
        <v>1086</v>
      </c>
      <c r="S1983" s="28"/>
      <c r="T1983" s="6" t="s">
        <v>6138</v>
      </c>
      <c r="U1983" s="7" t="n">
        <v>0</v>
      </c>
      <c r="V1983" s="7" t="n">
        <v>0</v>
      </c>
      <c r="W1983" s="28"/>
      <c r="X1983" s="8" t="s">
        <v>17571</v>
      </c>
      <c r="Y1983" s="8" t="s">
        <v>17474</v>
      </c>
      <c r="Z1983" s="8" t="s">
        <v>17474</v>
      </c>
      <c r="AA1983" s="7" t="n">
        <v>347</v>
      </c>
      <c r="AB1983" s="7" t="n">
        <v>245</v>
      </c>
      <c r="AC1983" s="7" t="n">
        <v>247</v>
      </c>
      <c r="AD1983" s="7" t="n">
        <v>2</v>
      </c>
      <c r="AE1983" s="7" t="n">
        <v>2</v>
      </c>
      <c r="AF1983" s="7" t="n">
        <v>19</v>
      </c>
      <c r="AG1983" s="7" t="n">
        <v>19</v>
      </c>
      <c r="AH1983" s="7" t="n">
        <v>4</v>
      </c>
      <c r="AI1983" s="7" t="n">
        <v>4</v>
      </c>
      <c r="AJ1983" s="7" t="n">
        <v>5</v>
      </c>
      <c r="AK1983" s="7" t="n">
        <v>5</v>
      </c>
      <c r="AL1983" s="7" t="n">
        <v>14</v>
      </c>
      <c r="AM1983" s="7" t="n">
        <v>14</v>
      </c>
      <c r="AN1983" s="7" t="n">
        <v>1</v>
      </c>
      <c r="AO1983" s="7" t="n">
        <v>1</v>
      </c>
      <c r="AP1983" s="7" t="n">
        <v>0</v>
      </c>
      <c r="AQ1983" s="7" t="n">
        <v>0</v>
      </c>
      <c r="AR1983" s="6" t="s">
        <v>63</v>
      </c>
      <c r="AS1983" s="6" t="s">
        <v>57</v>
      </c>
      <c r="AT1983" s="9" t="str">
        <f aca="false">HYPERLINK("http://catalog.hathitrust.org/Record/010086462","HathiTrust Record")</f>
        <v>HathiTrust Record</v>
      </c>
      <c r="AU1983" s="9" t="str">
        <f aca="false">HYPERLINK("https://creighton-primo.hosted.exlibrisgroup.com/primo-explore/search?tab=default_tab&amp;search_scope=EVERYTHING&amp;vid=01CRU&amp;lang=en_US&amp;offset=0&amp;query=any,contains,991002297929702656","Catalog Record")</f>
        <v>Catalog Record</v>
      </c>
      <c r="AV1983" s="9" t="str">
        <f aca="false">HYPERLINK("http://www.worldcat.org/oclc/316543","WorldCat Record")</f>
        <v>WorldCat Record</v>
      </c>
      <c r="AW1983" s="6" t="s">
        <v>17572</v>
      </c>
      <c r="AX1983" s="6" t="s">
        <v>17573</v>
      </c>
      <c r="AY1983" s="6" t="s">
        <v>17574</v>
      </c>
      <c r="AZ1983" s="6" t="s">
        <v>17574</v>
      </c>
      <c r="BA1983" s="6" t="s">
        <v>17575</v>
      </c>
      <c r="BB1983" s="28"/>
      <c r="BC1983" s="6" t="s">
        <v>17588</v>
      </c>
      <c r="BE1983" s="15" t="s">
        <v>2145</v>
      </c>
      <c r="BF1983" s="6" t="s">
        <v>17589</v>
      </c>
    </row>
    <row r="1984" customFormat="false" ht="140" hidden="false" customHeight="false" outlineLevel="0" collapsed="false">
      <c r="A1984" s="26" t="s">
        <v>63</v>
      </c>
      <c r="B1984" s="27" t="s">
        <v>2129</v>
      </c>
      <c r="C1984" s="27" t="s">
        <v>2130</v>
      </c>
      <c r="D1984" s="27" t="s">
        <v>17590</v>
      </c>
      <c r="E1984" s="27" t="s">
        <v>17591</v>
      </c>
      <c r="F1984" s="27" t="s">
        <v>17592</v>
      </c>
      <c r="G1984" s="28"/>
      <c r="H1984" s="6" t="s">
        <v>63</v>
      </c>
      <c r="I1984" s="6" t="s">
        <v>62</v>
      </c>
      <c r="J1984" s="6" t="s">
        <v>63</v>
      </c>
      <c r="K1984" s="6" t="s">
        <v>63</v>
      </c>
      <c r="L1984" s="6" t="s">
        <v>64</v>
      </c>
      <c r="M1984" s="28"/>
      <c r="N1984" s="27" t="s">
        <v>632</v>
      </c>
      <c r="O1984" s="6" t="s">
        <v>3248</v>
      </c>
      <c r="P1984" s="28"/>
      <c r="Q1984" s="6" t="s">
        <v>67</v>
      </c>
      <c r="R1984" s="6" t="s">
        <v>384</v>
      </c>
      <c r="S1984" s="28"/>
      <c r="T1984" s="6" t="s">
        <v>6138</v>
      </c>
      <c r="U1984" s="7" t="n">
        <v>3</v>
      </c>
      <c r="V1984" s="7" t="n">
        <v>3</v>
      </c>
      <c r="W1984" s="8" t="s">
        <v>14690</v>
      </c>
      <c r="X1984" s="8" t="s">
        <v>14690</v>
      </c>
      <c r="Y1984" s="8" t="s">
        <v>17593</v>
      </c>
      <c r="Z1984" s="8" t="s">
        <v>17593</v>
      </c>
      <c r="AA1984" s="7" t="n">
        <v>405</v>
      </c>
      <c r="AB1984" s="7" t="n">
        <v>243</v>
      </c>
      <c r="AC1984" s="7" t="n">
        <v>246</v>
      </c>
      <c r="AD1984" s="7" t="n">
        <v>2</v>
      </c>
      <c r="AE1984" s="7" t="n">
        <v>2</v>
      </c>
      <c r="AF1984" s="7" t="n">
        <v>14</v>
      </c>
      <c r="AG1984" s="7" t="n">
        <v>14</v>
      </c>
      <c r="AH1984" s="7" t="n">
        <v>6</v>
      </c>
      <c r="AI1984" s="7" t="n">
        <v>6</v>
      </c>
      <c r="AJ1984" s="7" t="n">
        <v>3</v>
      </c>
      <c r="AK1984" s="7" t="n">
        <v>3</v>
      </c>
      <c r="AL1984" s="7" t="n">
        <v>9</v>
      </c>
      <c r="AM1984" s="7" t="n">
        <v>9</v>
      </c>
      <c r="AN1984" s="7" t="n">
        <v>1</v>
      </c>
      <c r="AO1984" s="7" t="n">
        <v>1</v>
      </c>
      <c r="AP1984" s="7" t="n">
        <v>0</v>
      </c>
      <c r="AQ1984" s="7" t="n">
        <v>0</v>
      </c>
      <c r="AR1984" s="6" t="s">
        <v>63</v>
      </c>
      <c r="AS1984" s="6" t="s">
        <v>63</v>
      </c>
      <c r="AT1984" s="28"/>
      <c r="AU1984" s="9" t="str">
        <f aca="false">HYPERLINK("https://creighton-primo.hosted.exlibrisgroup.com/primo-explore/search?tab=default_tab&amp;search_scope=EVERYTHING&amp;vid=01CRU&amp;lang=en_US&amp;offset=0&amp;query=any,contains,991002481889702656","Catalog Record")</f>
        <v>Catalog Record</v>
      </c>
      <c r="AV1984" s="9" t="str">
        <f aca="false">HYPERLINK("http://www.worldcat.org/oclc/32311382","WorldCat Record")</f>
        <v>WorldCat Record</v>
      </c>
      <c r="AW1984" s="6" t="s">
        <v>17594</v>
      </c>
      <c r="AX1984" s="6" t="s">
        <v>17595</v>
      </c>
      <c r="AY1984" s="6" t="s">
        <v>17596</v>
      </c>
      <c r="AZ1984" s="6" t="s">
        <v>17596</v>
      </c>
      <c r="BA1984" s="6" t="s">
        <v>17597</v>
      </c>
      <c r="BB1984" s="6" t="s">
        <v>17598</v>
      </c>
      <c r="BC1984" s="6" t="s">
        <v>17599</v>
      </c>
      <c r="BE1984" s="15" t="s">
        <v>2145</v>
      </c>
      <c r="BF1984" s="6" t="s">
        <v>17600</v>
      </c>
    </row>
    <row r="1985" customFormat="false" ht="186" hidden="false" customHeight="false" outlineLevel="0" collapsed="false">
      <c r="A1985" s="26" t="s">
        <v>63</v>
      </c>
      <c r="B1985" s="27" t="s">
        <v>2129</v>
      </c>
      <c r="C1985" s="27" t="s">
        <v>2130</v>
      </c>
      <c r="D1985" s="27" t="s">
        <v>17601</v>
      </c>
      <c r="E1985" s="27" t="s">
        <v>17602</v>
      </c>
      <c r="F1985" s="27" t="s">
        <v>17603</v>
      </c>
      <c r="G1985" s="28"/>
      <c r="H1985" s="6" t="s">
        <v>63</v>
      </c>
      <c r="I1985" s="6" t="s">
        <v>62</v>
      </c>
      <c r="J1985" s="6" t="s">
        <v>63</v>
      </c>
      <c r="K1985" s="6" t="s">
        <v>63</v>
      </c>
      <c r="L1985" s="6" t="s">
        <v>64</v>
      </c>
      <c r="M1985" s="27" t="s">
        <v>17604</v>
      </c>
      <c r="N1985" s="27" t="s">
        <v>17605</v>
      </c>
      <c r="O1985" s="6" t="s">
        <v>2811</v>
      </c>
      <c r="P1985" s="28"/>
      <c r="Q1985" s="6" t="s">
        <v>67</v>
      </c>
      <c r="R1985" s="6" t="s">
        <v>409</v>
      </c>
      <c r="S1985" s="27" t="s">
        <v>17606</v>
      </c>
      <c r="T1985" s="6" t="s">
        <v>6138</v>
      </c>
      <c r="U1985" s="7" t="n">
        <v>4</v>
      </c>
      <c r="V1985" s="7" t="n">
        <v>4</v>
      </c>
      <c r="W1985" s="8" t="s">
        <v>17473</v>
      </c>
      <c r="X1985" s="8" t="s">
        <v>17473</v>
      </c>
      <c r="Y1985" s="8" t="s">
        <v>17474</v>
      </c>
      <c r="Z1985" s="8" t="s">
        <v>17474</v>
      </c>
      <c r="AA1985" s="7" t="n">
        <v>404</v>
      </c>
      <c r="AB1985" s="7" t="n">
        <v>345</v>
      </c>
      <c r="AC1985" s="7" t="n">
        <v>346</v>
      </c>
      <c r="AD1985" s="7" t="n">
        <v>4</v>
      </c>
      <c r="AE1985" s="7" t="n">
        <v>4</v>
      </c>
      <c r="AF1985" s="7" t="n">
        <v>23</v>
      </c>
      <c r="AG1985" s="7" t="n">
        <v>23</v>
      </c>
      <c r="AH1985" s="7" t="n">
        <v>7</v>
      </c>
      <c r="AI1985" s="7" t="n">
        <v>7</v>
      </c>
      <c r="AJ1985" s="7" t="n">
        <v>6</v>
      </c>
      <c r="AK1985" s="7" t="n">
        <v>6</v>
      </c>
      <c r="AL1985" s="7" t="n">
        <v>14</v>
      </c>
      <c r="AM1985" s="7" t="n">
        <v>14</v>
      </c>
      <c r="AN1985" s="7" t="n">
        <v>2</v>
      </c>
      <c r="AO1985" s="7" t="n">
        <v>2</v>
      </c>
      <c r="AP1985" s="7" t="n">
        <v>0</v>
      </c>
      <c r="AQ1985" s="7" t="n">
        <v>0</v>
      </c>
      <c r="AR1985" s="6" t="s">
        <v>63</v>
      </c>
      <c r="AS1985" s="6" t="s">
        <v>57</v>
      </c>
      <c r="AT1985" s="9" t="str">
        <f aca="false">HYPERLINK("http://catalog.hathitrust.org/Record/001380562","HathiTrust Record")</f>
        <v>HathiTrust Record</v>
      </c>
      <c r="AU1985" s="9" t="str">
        <f aca="false">HYPERLINK("https://creighton-primo.hosted.exlibrisgroup.com/primo-explore/search?tab=default_tab&amp;search_scope=EVERYTHING&amp;vid=01CRU&amp;lang=en_US&amp;offset=0&amp;query=any,contains,991001067019702656","Catalog Record")</f>
        <v>Catalog Record</v>
      </c>
      <c r="AV1985" s="9" t="str">
        <f aca="false">HYPERLINK("http://www.worldcat.org/oclc/178275","WorldCat Record")</f>
        <v>WorldCat Record</v>
      </c>
      <c r="AW1985" s="6" t="s">
        <v>17607</v>
      </c>
      <c r="AX1985" s="6" t="s">
        <v>17608</v>
      </c>
      <c r="AY1985" s="6" t="s">
        <v>17609</v>
      </c>
      <c r="AZ1985" s="6" t="s">
        <v>17609</v>
      </c>
      <c r="BA1985" s="6" t="s">
        <v>17610</v>
      </c>
      <c r="BB1985" s="28"/>
      <c r="BC1985" s="6" t="s">
        <v>17611</v>
      </c>
      <c r="BE1985" s="15" t="s">
        <v>2145</v>
      </c>
      <c r="BF1985" s="6" t="s">
        <v>17612</v>
      </c>
    </row>
    <row r="1986" customFormat="false" ht="82.5" hidden="false" customHeight="false" outlineLevel="0" collapsed="false">
      <c r="A1986" s="26" t="s">
        <v>63</v>
      </c>
      <c r="B1986" s="27" t="s">
        <v>2129</v>
      </c>
      <c r="C1986" s="27" t="s">
        <v>2130</v>
      </c>
      <c r="D1986" s="27" t="s">
        <v>17613</v>
      </c>
      <c r="E1986" s="27" t="s">
        <v>17614</v>
      </c>
      <c r="F1986" s="27" t="s">
        <v>17615</v>
      </c>
      <c r="G1986" s="28"/>
      <c r="H1986" s="6" t="s">
        <v>63</v>
      </c>
      <c r="I1986" s="6" t="s">
        <v>62</v>
      </c>
      <c r="J1986" s="6" t="s">
        <v>63</v>
      </c>
      <c r="K1986" s="6" t="s">
        <v>63</v>
      </c>
      <c r="L1986" s="6" t="s">
        <v>64</v>
      </c>
      <c r="M1986" s="27" t="s">
        <v>17616</v>
      </c>
      <c r="N1986" s="27" t="s">
        <v>17617</v>
      </c>
      <c r="O1986" s="6" t="s">
        <v>2797</v>
      </c>
      <c r="P1986" s="28"/>
      <c r="Q1986" s="6" t="s">
        <v>67</v>
      </c>
      <c r="R1986" s="6" t="s">
        <v>123</v>
      </c>
      <c r="S1986" s="27" t="s">
        <v>17618</v>
      </c>
      <c r="T1986" s="6" t="s">
        <v>6138</v>
      </c>
      <c r="U1986" s="7" t="n">
        <v>3</v>
      </c>
      <c r="V1986" s="7" t="n">
        <v>3</v>
      </c>
      <c r="W1986" s="8" t="s">
        <v>17619</v>
      </c>
      <c r="X1986" s="8" t="s">
        <v>17619</v>
      </c>
      <c r="Y1986" s="8" t="s">
        <v>17474</v>
      </c>
      <c r="Z1986" s="8" t="s">
        <v>17474</v>
      </c>
      <c r="AA1986" s="7" t="n">
        <v>355</v>
      </c>
      <c r="AB1986" s="7" t="n">
        <v>303</v>
      </c>
      <c r="AC1986" s="7" t="n">
        <v>460</v>
      </c>
      <c r="AD1986" s="7" t="n">
        <v>5</v>
      </c>
      <c r="AE1986" s="7" t="n">
        <v>6</v>
      </c>
      <c r="AF1986" s="7" t="n">
        <v>29</v>
      </c>
      <c r="AG1986" s="7" t="n">
        <v>38</v>
      </c>
      <c r="AH1986" s="7" t="n">
        <v>11</v>
      </c>
      <c r="AI1986" s="7" t="n">
        <v>16</v>
      </c>
      <c r="AJ1986" s="7" t="n">
        <v>6</v>
      </c>
      <c r="AK1986" s="7" t="n">
        <v>7</v>
      </c>
      <c r="AL1986" s="7" t="n">
        <v>19</v>
      </c>
      <c r="AM1986" s="7" t="n">
        <v>22</v>
      </c>
      <c r="AN1986" s="7" t="n">
        <v>2</v>
      </c>
      <c r="AO1986" s="7" t="n">
        <v>3</v>
      </c>
      <c r="AP1986" s="7" t="n">
        <v>0</v>
      </c>
      <c r="AQ1986" s="7" t="n">
        <v>0</v>
      </c>
      <c r="AR1986" s="6" t="s">
        <v>63</v>
      </c>
      <c r="AS1986" s="6" t="s">
        <v>63</v>
      </c>
      <c r="AT1986" s="9" t="str">
        <f aca="false">HYPERLINK("http://catalog.hathitrust.org/Record/001647417","HathiTrust Record")</f>
        <v>HathiTrust Record</v>
      </c>
      <c r="AU1986" s="9" t="str">
        <f aca="false">HYPERLINK("https://creighton-primo.hosted.exlibrisgroup.com/primo-explore/search?tab=default_tab&amp;search_scope=EVERYTHING&amp;vid=01CRU&amp;lang=en_US&amp;offset=0&amp;query=any,contains,991001485979702656","Catalog Record")</f>
        <v>Catalog Record</v>
      </c>
      <c r="AV1986" s="9" t="str">
        <f aca="false">HYPERLINK("http://www.worldcat.org/oclc/231640","WorldCat Record")</f>
        <v>WorldCat Record</v>
      </c>
      <c r="AW1986" s="6" t="s">
        <v>17620</v>
      </c>
      <c r="AX1986" s="6" t="s">
        <v>17621</v>
      </c>
      <c r="AY1986" s="6" t="s">
        <v>17622</v>
      </c>
      <c r="AZ1986" s="6" t="s">
        <v>17622</v>
      </c>
      <c r="BA1986" s="6" t="s">
        <v>17623</v>
      </c>
      <c r="BB1986" s="28"/>
      <c r="BC1986" s="6" t="s">
        <v>17624</v>
      </c>
      <c r="BE1986" s="15" t="s">
        <v>2145</v>
      </c>
      <c r="BF1986" s="6" t="s">
        <v>17625</v>
      </c>
    </row>
    <row r="1987" customFormat="false" ht="186" hidden="false" customHeight="false" outlineLevel="0" collapsed="false">
      <c r="A1987" s="26" t="s">
        <v>63</v>
      </c>
      <c r="B1987" s="27" t="s">
        <v>2129</v>
      </c>
      <c r="C1987" s="27" t="s">
        <v>2130</v>
      </c>
      <c r="D1987" s="27" t="s">
        <v>17626</v>
      </c>
      <c r="E1987" s="27" t="s">
        <v>17627</v>
      </c>
      <c r="F1987" s="27" t="s">
        <v>17628</v>
      </c>
      <c r="G1987" s="28"/>
      <c r="H1987" s="6" t="s">
        <v>63</v>
      </c>
      <c r="I1987" s="6" t="s">
        <v>62</v>
      </c>
      <c r="J1987" s="6" t="s">
        <v>63</v>
      </c>
      <c r="K1987" s="6" t="s">
        <v>63</v>
      </c>
      <c r="L1987" s="6" t="s">
        <v>64</v>
      </c>
      <c r="M1987" s="28"/>
      <c r="N1987" s="27" t="s">
        <v>17629</v>
      </c>
      <c r="O1987" s="6" t="s">
        <v>2221</v>
      </c>
      <c r="P1987" s="28"/>
      <c r="Q1987" s="6" t="s">
        <v>67</v>
      </c>
      <c r="R1987" s="6" t="s">
        <v>68</v>
      </c>
      <c r="S1987" s="28"/>
      <c r="T1987" s="6" t="s">
        <v>6138</v>
      </c>
      <c r="U1987" s="7" t="n">
        <v>4</v>
      </c>
      <c r="V1987" s="7" t="n">
        <v>4</v>
      </c>
      <c r="W1987" s="8" t="s">
        <v>17630</v>
      </c>
      <c r="X1987" s="8" t="s">
        <v>17630</v>
      </c>
      <c r="Y1987" s="8" t="s">
        <v>16765</v>
      </c>
      <c r="Z1987" s="8" t="s">
        <v>16765</v>
      </c>
      <c r="AA1987" s="7" t="n">
        <v>996</v>
      </c>
      <c r="AB1987" s="7" t="n">
        <v>920</v>
      </c>
      <c r="AC1987" s="7" t="n">
        <v>934</v>
      </c>
      <c r="AD1987" s="7" t="n">
        <v>6</v>
      </c>
      <c r="AE1987" s="7" t="n">
        <v>6</v>
      </c>
      <c r="AF1987" s="7" t="n">
        <v>36</v>
      </c>
      <c r="AG1987" s="7" t="n">
        <v>36</v>
      </c>
      <c r="AH1987" s="7" t="n">
        <v>13</v>
      </c>
      <c r="AI1987" s="7" t="n">
        <v>13</v>
      </c>
      <c r="AJ1987" s="7" t="n">
        <v>7</v>
      </c>
      <c r="AK1987" s="7" t="n">
        <v>7</v>
      </c>
      <c r="AL1987" s="7" t="n">
        <v>21</v>
      </c>
      <c r="AM1987" s="7" t="n">
        <v>21</v>
      </c>
      <c r="AN1987" s="7" t="n">
        <v>4</v>
      </c>
      <c r="AO1987" s="7" t="n">
        <v>4</v>
      </c>
      <c r="AP1987" s="7" t="n">
        <v>0</v>
      </c>
      <c r="AQ1987" s="7" t="n">
        <v>0</v>
      </c>
      <c r="AR1987" s="6" t="s">
        <v>63</v>
      </c>
      <c r="AS1987" s="6" t="s">
        <v>57</v>
      </c>
      <c r="AT1987" s="9" t="str">
        <f aca="false">HYPERLINK("http://catalog.hathitrust.org/Record/000912364","HathiTrust Record")</f>
        <v>HathiTrust Record</v>
      </c>
      <c r="AU1987" s="9" t="str">
        <f aca="false">HYPERLINK("https://creighton-primo.hosted.exlibrisgroup.com/primo-explore/search?tab=default_tab&amp;search_scope=EVERYTHING&amp;vid=01CRU&amp;lang=en_US&amp;offset=0&amp;query=any,contains,991001210819702656","Catalog Record")</f>
        <v>Catalog Record</v>
      </c>
      <c r="AV1987" s="9" t="str">
        <f aca="false">HYPERLINK("http://www.worldcat.org/oclc/17385145","WorldCat Record")</f>
        <v>WorldCat Record</v>
      </c>
      <c r="AW1987" s="6" t="s">
        <v>17631</v>
      </c>
      <c r="AX1987" s="6" t="s">
        <v>17632</v>
      </c>
      <c r="AY1987" s="6" t="s">
        <v>17633</v>
      </c>
      <c r="AZ1987" s="6" t="s">
        <v>17633</v>
      </c>
      <c r="BA1987" s="6" t="s">
        <v>17634</v>
      </c>
      <c r="BB1987" s="6" t="s">
        <v>17635</v>
      </c>
      <c r="BC1987" s="6" t="s">
        <v>17636</v>
      </c>
      <c r="BE1987" s="15" t="s">
        <v>2145</v>
      </c>
      <c r="BF1987" s="6" t="s">
        <v>17637</v>
      </c>
    </row>
    <row r="1988" customFormat="false" ht="151.5" hidden="false" customHeight="false" outlineLevel="0" collapsed="false">
      <c r="A1988" s="26" t="s">
        <v>57</v>
      </c>
      <c r="B1988" s="27" t="s">
        <v>2129</v>
      </c>
      <c r="C1988" s="27" t="s">
        <v>2130</v>
      </c>
      <c r="D1988" s="27" t="s">
        <v>17638</v>
      </c>
      <c r="E1988" s="27" t="s">
        <v>17639</v>
      </c>
      <c r="F1988" s="27" t="s">
        <v>17640</v>
      </c>
      <c r="G1988" s="28"/>
      <c r="H1988" s="6" t="s">
        <v>63</v>
      </c>
      <c r="I1988" s="6" t="s">
        <v>62</v>
      </c>
      <c r="J1988" s="6" t="s">
        <v>63</v>
      </c>
      <c r="K1988" s="6" t="s">
        <v>63</v>
      </c>
      <c r="L1988" s="6" t="s">
        <v>64</v>
      </c>
      <c r="M1988" s="27" t="s">
        <v>10017</v>
      </c>
      <c r="N1988" s="27" t="s">
        <v>17641</v>
      </c>
      <c r="O1988" s="6" t="s">
        <v>2693</v>
      </c>
      <c r="P1988" s="28"/>
      <c r="Q1988" s="6" t="s">
        <v>67</v>
      </c>
      <c r="R1988" s="6" t="s">
        <v>68</v>
      </c>
      <c r="S1988" s="28"/>
      <c r="T1988" s="6" t="s">
        <v>6138</v>
      </c>
      <c r="U1988" s="7" t="n">
        <v>3</v>
      </c>
      <c r="V1988" s="7" t="n">
        <v>3</v>
      </c>
      <c r="W1988" s="8" t="s">
        <v>17630</v>
      </c>
      <c r="X1988" s="8" t="s">
        <v>17630</v>
      </c>
      <c r="Y1988" s="8" t="s">
        <v>16765</v>
      </c>
      <c r="Z1988" s="8" t="s">
        <v>16765</v>
      </c>
      <c r="AA1988" s="7" t="n">
        <v>790</v>
      </c>
      <c r="AB1988" s="7" t="n">
        <v>688</v>
      </c>
      <c r="AC1988" s="7" t="n">
        <v>731</v>
      </c>
      <c r="AD1988" s="7" t="n">
        <v>5</v>
      </c>
      <c r="AE1988" s="7" t="n">
        <v>5</v>
      </c>
      <c r="AF1988" s="7" t="n">
        <v>33</v>
      </c>
      <c r="AG1988" s="7" t="n">
        <v>34</v>
      </c>
      <c r="AH1988" s="7" t="n">
        <v>12</v>
      </c>
      <c r="AI1988" s="7" t="n">
        <v>13</v>
      </c>
      <c r="AJ1988" s="7" t="n">
        <v>9</v>
      </c>
      <c r="AK1988" s="7" t="n">
        <v>9</v>
      </c>
      <c r="AL1988" s="7" t="n">
        <v>19</v>
      </c>
      <c r="AM1988" s="7" t="n">
        <v>19</v>
      </c>
      <c r="AN1988" s="7" t="n">
        <v>3</v>
      </c>
      <c r="AO1988" s="7" t="n">
        <v>3</v>
      </c>
      <c r="AP1988" s="7" t="n">
        <v>0</v>
      </c>
      <c r="AQ1988" s="7" t="n">
        <v>0</v>
      </c>
      <c r="AR1988" s="6" t="s">
        <v>63</v>
      </c>
      <c r="AS1988" s="6" t="s">
        <v>63</v>
      </c>
      <c r="AT1988" s="28"/>
      <c r="AU1988" s="9" t="str">
        <f aca="false">HYPERLINK("https://creighton-primo.hosted.exlibrisgroup.com/primo-explore/search?tab=default_tab&amp;search_scope=EVERYTHING&amp;vid=01CRU&amp;lang=en_US&amp;offset=0&amp;query=any,contains,991003185929702656","Catalog Record")</f>
        <v>Catalog Record</v>
      </c>
      <c r="AV1988" s="9" t="str">
        <f aca="false">HYPERLINK("http://www.worldcat.org/oclc/261084","WorldCat Record")</f>
        <v>WorldCat Record</v>
      </c>
      <c r="AW1988" s="6" t="s">
        <v>17642</v>
      </c>
      <c r="AX1988" s="6" t="s">
        <v>17643</v>
      </c>
      <c r="AY1988" s="6" t="s">
        <v>17644</v>
      </c>
      <c r="AZ1988" s="6" t="s">
        <v>17644</v>
      </c>
      <c r="BA1988" s="6" t="s">
        <v>17645</v>
      </c>
      <c r="BB1988" s="28"/>
      <c r="BC1988" s="6" t="s">
        <v>17646</v>
      </c>
      <c r="BE1988" s="15" t="s">
        <v>2145</v>
      </c>
      <c r="BF1988" s="6" t="s">
        <v>17647</v>
      </c>
    </row>
    <row r="1989" customFormat="false" ht="163" hidden="false" customHeight="false" outlineLevel="0" collapsed="false">
      <c r="A1989" s="26" t="s">
        <v>63</v>
      </c>
      <c r="B1989" s="27" t="s">
        <v>2129</v>
      </c>
      <c r="C1989" s="27" t="s">
        <v>2130</v>
      </c>
      <c r="D1989" s="27" t="s">
        <v>17648</v>
      </c>
      <c r="E1989" s="27" t="s">
        <v>17649</v>
      </c>
      <c r="F1989" s="27" t="s">
        <v>17650</v>
      </c>
      <c r="G1989" s="28"/>
      <c r="H1989" s="6" t="s">
        <v>63</v>
      </c>
      <c r="I1989" s="6" t="s">
        <v>62</v>
      </c>
      <c r="J1989" s="6" t="s">
        <v>63</v>
      </c>
      <c r="K1989" s="6" t="s">
        <v>63</v>
      </c>
      <c r="L1989" s="6" t="s">
        <v>64</v>
      </c>
      <c r="M1989" s="27" t="s">
        <v>17651</v>
      </c>
      <c r="N1989" s="27" t="s">
        <v>17652</v>
      </c>
      <c r="O1989" s="6" t="s">
        <v>2315</v>
      </c>
      <c r="P1989" s="28"/>
      <c r="Q1989" s="6" t="s">
        <v>67</v>
      </c>
      <c r="R1989" s="6" t="s">
        <v>1108</v>
      </c>
      <c r="S1989" s="27" t="s">
        <v>13187</v>
      </c>
      <c r="T1989" s="6" t="s">
        <v>6138</v>
      </c>
      <c r="U1989" s="7" t="n">
        <v>4</v>
      </c>
      <c r="V1989" s="7" t="n">
        <v>4</v>
      </c>
      <c r="W1989" s="8" t="s">
        <v>17653</v>
      </c>
      <c r="X1989" s="8" t="s">
        <v>17653</v>
      </c>
      <c r="Y1989" s="8" t="s">
        <v>16765</v>
      </c>
      <c r="Z1989" s="8" t="s">
        <v>16765</v>
      </c>
      <c r="AA1989" s="7" t="n">
        <v>338</v>
      </c>
      <c r="AB1989" s="7" t="n">
        <v>244</v>
      </c>
      <c r="AC1989" s="7" t="n">
        <v>273</v>
      </c>
      <c r="AD1989" s="7" t="n">
        <v>2</v>
      </c>
      <c r="AE1989" s="7" t="n">
        <v>2</v>
      </c>
      <c r="AF1989" s="7" t="n">
        <v>20</v>
      </c>
      <c r="AG1989" s="7" t="n">
        <v>21</v>
      </c>
      <c r="AH1989" s="7" t="n">
        <v>6</v>
      </c>
      <c r="AI1989" s="7" t="n">
        <v>6</v>
      </c>
      <c r="AJ1989" s="7" t="n">
        <v>7</v>
      </c>
      <c r="AK1989" s="7" t="n">
        <v>8</v>
      </c>
      <c r="AL1989" s="7" t="n">
        <v>14</v>
      </c>
      <c r="AM1989" s="7" t="n">
        <v>14</v>
      </c>
      <c r="AN1989" s="7" t="n">
        <v>1</v>
      </c>
      <c r="AO1989" s="7" t="n">
        <v>1</v>
      </c>
      <c r="AP1989" s="7" t="n">
        <v>0</v>
      </c>
      <c r="AQ1989" s="7" t="n">
        <v>0</v>
      </c>
      <c r="AR1989" s="6" t="s">
        <v>63</v>
      </c>
      <c r="AS1989" s="6" t="s">
        <v>57</v>
      </c>
      <c r="AT1989" s="9" t="str">
        <f aca="false">HYPERLINK("http://catalog.hathitrust.org/Record/000421265","HathiTrust Record")</f>
        <v>HathiTrust Record</v>
      </c>
      <c r="AU1989" s="9" t="str">
        <f aca="false">HYPERLINK("https://creighton-primo.hosted.exlibrisgroup.com/primo-explore/search?tab=default_tab&amp;search_scope=EVERYTHING&amp;vid=01CRU&amp;lang=en_US&amp;offset=0&amp;query=any,contains,991000392159702656","Catalog Record")</f>
        <v>Catalog Record</v>
      </c>
      <c r="AV1989" s="9" t="str">
        <f aca="false">HYPERLINK("http://www.worldcat.org/oclc/10558200","WorldCat Record")</f>
        <v>WorldCat Record</v>
      </c>
      <c r="AW1989" s="6" t="s">
        <v>17654</v>
      </c>
      <c r="AX1989" s="6" t="s">
        <v>17655</v>
      </c>
      <c r="AY1989" s="6" t="s">
        <v>17656</v>
      </c>
      <c r="AZ1989" s="6" t="s">
        <v>17656</v>
      </c>
      <c r="BA1989" s="6" t="s">
        <v>17657</v>
      </c>
      <c r="BB1989" s="6" t="s">
        <v>17658</v>
      </c>
      <c r="BC1989" s="6" t="s">
        <v>17659</v>
      </c>
      <c r="BE1989" s="15" t="s">
        <v>2145</v>
      </c>
      <c r="BF1989" s="6" t="s">
        <v>17660</v>
      </c>
    </row>
    <row r="1990" customFormat="false" ht="255" hidden="false" customHeight="false" outlineLevel="0" collapsed="false">
      <c r="A1990" s="26" t="s">
        <v>63</v>
      </c>
      <c r="B1990" s="27" t="s">
        <v>2129</v>
      </c>
      <c r="C1990" s="27" t="s">
        <v>2130</v>
      </c>
      <c r="D1990" s="27" t="s">
        <v>17661</v>
      </c>
      <c r="E1990" s="27" t="s">
        <v>17662</v>
      </c>
      <c r="F1990" s="27" t="s">
        <v>17663</v>
      </c>
      <c r="G1990" s="28"/>
      <c r="H1990" s="6" t="s">
        <v>63</v>
      </c>
      <c r="I1990" s="6" t="s">
        <v>62</v>
      </c>
      <c r="J1990" s="6" t="s">
        <v>63</v>
      </c>
      <c r="K1990" s="6" t="s">
        <v>63</v>
      </c>
      <c r="L1990" s="6" t="s">
        <v>64</v>
      </c>
      <c r="M1990" s="27" t="s">
        <v>17664</v>
      </c>
      <c r="N1990" s="27" t="s">
        <v>17665</v>
      </c>
      <c r="O1990" s="6" t="s">
        <v>3697</v>
      </c>
      <c r="P1990" s="28"/>
      <c r="Q1990" s="6" t="s">
        <v>67</v>
      </c>
      <c r="R1990" s="6" t="s">
        <v>4707</v>
      </c>
      <c r="S1990" s="27" t="s">
        <v>17666</v>
      </c>
      <c r="T1990" s="6" t="s">
        <v>6138</v>
      </c>
      <c r="U1990" s="7" t="n">
        <v>6</v>
      </c>
      <c r="V1990" s="7" t="n">
        <v>6</v>
      </c>
      <c r="W1990" s="8" t="s">
        <v>17667</v>
      </c>
      <c r="X1990" s="8" t="s">
        <v>17667</v>
      </c>
      <c r="Y1990" s="8" t="s">
        <v>2442</v>
      </c>
      <c r="Z1990" s="8" t="s">
        <v>2442</v>
      </c>
      <c r="AA1990" s="7" t="n">
        <v>312</v>
      </c>
      <c r="AB1990" s="7" t="n">
        <v>258</v>
      </c>
      <c r="AC1990" s="7" t="n">
        <v>726</v>
      </c>
      <c r="AD1990" s="7" t="n">
        <v>2</v>
      </c>
      <c r="AE1990" s="7" t="n">
        <v>4</v>
      </c>
      <c r="AF1990" s="7" t="n">
        <v>27</v>
      </c>
      <c r="AG1990" s="7" t="n">
        <v>35</v>
      </c>
      <c r="AH1990" s="7" t="n">
        <v>7</v>
      </c>
      <c r="AI1990" s="7" t="n">
        <v>11</v>
      </c>
      <c r="AJ1990" s="7" t="n">
        <v>7</v>
      </c>
      <c r="AK1990" s="7" t="n">
        <v>9</v>
      </c>
      <c r="AL1990" s="7" t="n">
        <v>20</v>
      </c>
      <c r="AM1990" s="7" t="n">
        <v>23</v>
      </c>
      <c r="AN1990" s="7" t="n">
        <v>1</v>
      </c>
      <c r="AO1990" s="7" t="n">
        <v>3</v>
      </c>
      <c r="AP1990" s="7" t="n">
        <v>0</v>
      </c>
      <c r="AQ1990" s="7" t="n">
        <v>0</v>
      </c>
      <c r="AR1990" s="6" t="s">
        <v>63</v>
      </c>
      <c r="AS1990" s="6" t="s">
        <v>63</v>
      </c>
      <c r="AT1990" s="28"/>
      <c r="AU1990" s="9" t="str">
        <f aca="false">HYPERLINK("https://creighton-primo.hosted.exlibrisgroup.com/primo-explore/search?tab=default_tab&amp;search_scope=EVERYTHING&amp;vid=01CRU&amp;lang=en_US&amp;offset=0&amp;query=any,contains,991001688959702656","Catalog Record")</f>
        <v>Catalog Record</v>
      </c>
      <c r="AV1990" s="9" t="str">
        <f aca="false">HYPERLINK("http://www.worldcat.org/oclc/21413254","WorldCat Record")</f>
        <v>WorldCat Record</v>
      </c>
      <c r="AW1990" s="6" t="s">
        <v>17668</v>
      </c>
      <c r="AX1990" s="6" t="s">
        <v>17669</v>
      </c>
      <c r="AY1990" s="6" t="s">
        <v>17670</v>
      </c>
      <c r="AZ1990" s="6" t="s">
        <v>17670</v>
      </c>
      <c r="BA1990" s="6" t="s">
        <v>17671</v>
      </c>
      <c r="BB1990" s="6" t="s">
        <v>17672</v>
      </c>
      <c r="BC1990" s="6" t="s">
        <v>17673</v>
      </c>
      <c r="BE1990" s="15" t="s">
        <v>2145</v>
      </c>
      <c r="BF1990" s="6" t="s">
        <v>17674</v>
      </c>
    </row>
    <row r="1991" customFormat="false" ht="128.5" hidden="false" customHeight="false" outlineLevel="0" collapsed="false">
      <c r="A1991" s="26" t="s">
        <v>63</v>
      </c>
      <c r="B1991" s="27" t="s">
        <v>2129</v>
      </c>
      <c r="C1991" s="27" t="s">
        <v>2130</v>
      </c>
      <c r="D1991" s="27" t="s">
        <v>17675</v>
      </c>
      <c r="E1991" s="27" t="s">
        <v>17676</v>
      </c>
      <c r="F1991" s="27" t="s">
        <v>17677</v>
      </c>
      <c r="G1991" s="28"/>
      <c r="H1991" s="6" t="s">
        <v>63</v>
      </c>
      <c r="I1991" s="6" t="s">
        <v>62</v>
      </c>
      <c r="J1991" s="6" t="s">
        <v>63</v>
      </c>
      <c r="K1991" s="6" t="s">
        <v>63</v>
      </c>
      <c r="L1991" s="6" t="s">
        <v>64</v>
      </c>
      <c r="M1991" s="28"/>
      <c r="N1991" s="27" t="s">
        <v>14613</v>
      </c>
      <c r="O1991" s="6" t="s">
        <v>2221</v>
      </c>
      <c r="P1991" s="28"/>
      <c r="Q1991" s="6" t="s">
        <v>67</v>
      </c>
      <c r="R1991" s="6" t="s">
        <v>68</v>
      </c>
      <c r="S1991" s="27" t="s">
        <v>17678</v>
      </c>
      <c r="T1991" s="6" t="s">
        <v>6138</v>
      </c>
      <c r="U1991" s="7" t="n">
        <v>3</v>
      </c>
      <c r="V1991" s="7" t="n">
        <v>3</v>
      </c>
      <c r="W1991" s="8" t="s">
        <v>17679</v>
      </c>
      <c r="X1991" s="8" t="s">
        <v>17679</v>
      </c>
      <c r="Y1991" s="8" t="s">
        <v>17680</v>
      </c>
      <c r="Z1991" s="8" t="s">
        <v>17680</v>
      </c>
      <c r="AA1991" s="7" t="n">
        <v>355</v>
      </c>
      <c r="AB1991" s="7" t="n">
        <v>250</v>
      </c>
      <c r="AC1991" s="7" t="n">
        <v>279</v>
      </c>
      <c r="AD1991" s="7" t="n">
        <v>3</v>
      </c>
      <c r="AE1991" s="7" t="n">
        <v>3</v>
      </c>
      <c r="AF1991" s="7" t="n">
        <v>16</v>
      </c>
      <c r="AG1991" s="7" t="n">
        <v>17</v>
      </c>
      <c r="AH1991" s="7" t="n">
        <v>5</v>
      </c>
      <c r="AI1991" s="7" t="n">
        <v>5</v>
      </c>
      <c r="AJ1991" s="7" t="n">
        <v>4</v>
      </c>
      <c r="AK1991" s="7" t="n">
        <v>4</v>
      </c>
      <c r="AL1991" s="7" t="n">
        <v>10</v>
      </c>
      <c r="AM1991" s="7" t="n">
        <v>11</v>
      </c>
      <c r="AN1991" s="7" t="n">
        <v>1</v>
      </c>
      <c r="AO1991" s="7" t="n">
        <v>1</v>
      </c>
      <c r="AP1991" s="7" t="n">
        <v>0</v>
      </c>
      <c r="AQ1991" s="7" t="n">
        <v>0</v>
      </c>
      <c r="AR1991" s="6" t="s">
        <v>63</v>
      </c>
      <c r="AS1991" s="6" t="s">
        <v>57</v>
      </c>
      <c r="AT1991" s="9" t="str">
        <f aca="false">HYPERLINK("http://catalog.hathitrust.org/Record/000923202","HathiTrust Record")</f>
        <v>HathiTrust Record</v>
      </c>
      <c r="AU1991" s="9" t="str">
        <f aca="false">HYPERLINK("https://creighton-primo.hosted.exlibrisgroup.com/primo-explore/search?tab=default_tab&amp;search_scope=EVERYTHING&amp;vid=01CRU&amp;lang=en_US&amp;offset=0&amp;query=any,contains,991001158299702656","Catalog Record")</f>
        <v>Catalog Record</v>
      </c>
      <c r="AV1991" s="9" t="str">
        <f aca="false">HYPERLINK("http://www.worldcat.org/oclc/16870813","WorldCat Record")</f>
        <v>WorldCat Record</v>
      </c>
      <c r="AW1991" s="6" t="s">
        <v>17681</v>
      </c>
      <c r="AX1991" s="6" t="s">
        <v>17682</v>
      </c>
      <c r="AY1991" s="6" t="s">
        <v>17683</v>
      </c>
      <c r="AZ1991" s="6" t="s">
        <v>17683</v>
      </c>
      <c r="BA1991" s="6" t="s">
        <v>17684</v>
      </c>
      <c r="BB1991" s="6" t="s">
        <v>17685</v>
      </c>
      <c r="BC1991" s="6" t="s">
        <v>17686</v>
      </c>
      <c r="BE1991" s="15" t="s">
        <v>2145</v>
      </c>
      <c r="BF1991" s="6" t="s">
        <v>17687</v>
      </c>
    </row>
    <row r="1992" customFormat="false" ht="117" hidden="false" customHeight="false" outlineLevel="0" collapsed="false">
      <c r="A1992" s="26" t="s">
        <v>57</v>
      </c>
      <c r="B1992" s="27" t="s">
        <v>2129</v>
      </c>
      <c r="C1992" s="27" t="s">
        <v>2130</v>
      </c>
      <c r="D1992" s="27" t="s">
        <v>17688</v>
      </c>
      <c r="E1992" s="27" t="s">
        <v>17689</v>
      </c>
      <c r="F1992" s="27" t="s">
        <v>17690</v>
      </c>
      <c r="G1992" s="28"/>
      <c r="H1992" s="6" t="s">
        <v>63</v>
      </c>
      <c r="I1992" s="6" t="s">
        <v>62</v>
      </c>
      <c r="J1992" s="6" t="s">
        <v>63</v>
      </c>
      <c r="K1992" s="6" t="s">
        <v>63</v>
      </c>
      <c r="L1992" s="6" t="s">
        <v>64</v>
      </c>
      <c r="M1992" s="27" t="s">
        <v>7651</v>
      </c>
      <c r="N1992" s="27" t="s">
        <v>17691</v>
      </c>
      <c r="O1992" s="6" t="s">
        <v>3661</v>
      </c>
      <c r="P1992" s="28"/>
      <c r="Q1992" s="6" t="s">
        <v>67</v>
      </c>
      <c r="R1992" s="6" t="s">
        <v>384</v>
      </c>
      <c r="S1992" s="28"/>
      <c r="T1992" s="6" t="s">
        <v>6138</v>
      </c>
      <c r="U1992" s="7" t="n">
        <v>2</v>
      </c>
      <c r="V1992" s="7" t="n">
        <v>2</v>
      </c>
      <c r="W1992" s="8" t="s">
        <v>16252</v>
      </c>
      <c r="X1992" s="8" t="s">
        <v>16252</v>
      </c>
      <c r="Y1992" s="8" t="s">
        <v>16765</v>
      </c>
      <c r="Z1992" s="8" t="s">
        <v>16765</v>
      </c>
      <c r="AA1992" s="7" t="n">
        <v>810</v>
      </c>
      <c r="AB1992" s="7" t="n">
        <v>653</v>
      </c>
      <c r="AC1992" s="7" t="n">
        <v>927</v>
      </c>
      <c r="AD1992" s="7" t="n">
        <v>5</v>
      </c>
      <c r="AE1992" s="7" t="n">
        <v>9</v>
      </c>
      <c r="AF1992" s="7" t="n">
        <v>41</v>
      </c>
      <c r="AG1992" s="7" t="n">
        <v>50</v>
      </c>
      <c r="AH1992" s="7" t="n">
        <v>17</v>
      </c>
      <c r="AI1992" s="7" t="n">
        <v>19</v>
      </c>
      <c r="AJ1992" s="7" t="n">
        <v>8</v>
      </c>
      <c r="AK1992" s="7" t="n">
        <v>10</v>
      </c>
      <c r="AL1992" s="7" t="n">
        <v>23</v>
      </c>
      <c r="AM1992" s="7" t="n">
        <v>25</v>
      </c>
      <c r="AN1992" s="7" t="n">
        <v>4</v>
      </c>
      <c r="AO1992" s="7" t="n">
        <v>7</v>
      </c>
      <c r="AP1992" s="7" t="n">
        <v>0</v>
      </c>
      <c r="AQ1992" s="7" t="n">
        <v>1</v>
      </c>
      <c r="AR1992" s="6" t="s">
        <v>63</v>
      </c>
      <c r="AS1992" s="6" t="s">
        <v>57</v>
      </c>
      <c r="AT1992" s="9" t="str">
        <f aca="false">HYPERLINK("http://catalog.hathitrust.org/Record/001382227","HathiTrust Record")</f>
        <v>HathiTrust Record</v>
      </c>
      <c r="AU1992" s="9" t="str">
        <f aca="false">HYPERLINK("https://creighton-primo.hosted.exlibrisgroup.com/primo-explore/search?tab=default_tab&amp;search_scope=EVERYTHING&amp;vid=01CRU&amp;lang=en_US&amp;offset=0&amp;query=any,contains,991004143919702656","Catalog Record")</f>
        <v>Catalog Record</v>
      </c>
      <c r="AV1992" s="9" t="str">
        <f aca="false">HYPERLINK("http://www.worldcat.org/oclc/2506223","WorldCat Record")</f>
        <v>WorldCat Record</v>
      </c>
      <c r="AW1992" s="6" t="s">
        <v>17692</v>
      </c>
      <c r="AX1992" s="6" t="s">
        <v>17693</v>
      </c>
      <c r="AY1992" s="6" t="s">
        <v>17694</v>
      </c>
      <c r="AZ1992" s="6" t="s">
        <v>17694</v>
      </c>
      <c r="BA1992" s="6" t="s">
        <v>17695</v>
      </c>
      <c r="BB1992" s="28"/>
      <c r="BC1992" s="6" t="s">
        <v>17696</v>
      </c>
      <c r="BE1992" s="15" t="s">
        <v>2145</v>
      </c>
      <c r="BF1992" s="6" t="s">
        <v>17697</v>
      </c>
    </row>
    <row r="1993" customFormat="false" ht="151.5" hidden="false" customHeight="false" outlineLevel="0" collapsed="false">
      <c r="A1993" s="26" t="s">
        <v>63</v>
      </c>
      <c r="B1993" s="27" t="s">
        <v>2129</v>
      </c>
      <c r="C1993" s="27" t="s">
        <v>2130</v>
      </c>
      <c r="D1993" s="27" t="s">
        <v>17698</v>
      </c>
      <c r="E1993" s="27" t="s">
        <v>17699</v>
      </c>
      <c r="F1993" s="27" t="s">
        <v>17700</v>
      </c>
      <c r="G1993" s="28"/>
      <c r="H1993" s="6" t="s">
        <v>63</v>
      </c>
      <c r="I1993" s="6" t="s">
        <v>62</v>
      </c>
      <c r="J1993" s="6" t="s">
        <v>63</v>
      </c>
      <c r="K1993" s="6" t="s">
        <v>63</v>
      </c>
      <c r="L1993" s="6" t="s">
        <v>64</v>
      </c>
      <c r="M1993" s="27" t="s">
        <v>17701</v>
      </c>
      <c r="N1993" s="27" t="s">
        <v>17702</v>
      </c>
      <c r="O1993" s="6" t="s">
        <v>3029</v>
      </c>
      <c r="P1993" s="28"/>
      <c r="Q1993" s="6" t="s">
        <v>67</v>
      </c>
      <c r="R1993" s="6" t="s">
        <v>68</v>
      </c>
      <c r="S1993" s="28"/>
      <c r="T1993" s="6" t="s">
        <v>6138</v>
      </c>
      <c r="U1993" s="7" t="n">
        <v>2</v>
      </c>
      <c r="V1993" s="7" t="n">
        <v>2</v>
      </c>
      <c r="W1993" s="8" t="s">
        <v>16063</v>
      </c>
      <c r="X1993" s="8" t="s">
        <v>16063</v>
      </c>
      <c r="Y1993" s="8" t="s">
        <v>17474</v>
      </c>
      <c r="Z1993" s="8" t="s">
        <v>17474</v>
      </c>
      <c r="AA1993" s="7" t="n">
        <v>693</v>
      </c>
      <c r="AB1993" s="7" t="n">
        <v>588</v>
      </c>
      <c r="AC1993" s="7" t="n">
        <v>614</v>
      </c>
      <c r="AD1993" s="7" t="n">
        <v>4</v>
      </c>
      <c r="AE1993" s="7" t="n">
        <v>4</v>
      </c>
      <c r="AF1993" s="7" t="n">
        <v>26</v>
      </c>
      <c r="AG1993" s="7" t="n">
        <v>27</v>
      </c>
      <c r="AH1993" s="7" t="n">
        <v>9</v>
      </c>
      <c r="AI1993" s="7" t="n">
        <v>9</v>
      </c>
      <c r="AJ1993" s="7" t="n">
        <v>7</v>
      </c>
      <c r="AK1993" s="7" t="n">
        <v>7</v>
      </c>
      <c r="AL1993" s="7" t="n">
        <v>17</v>
      </c>
      <c r="AM1993" s="7" t="n">
        <v>18</v>
      </c>
      <c r="AN1993" s="7" t="n">
        <v>2</v>
      </c>
      <c r="AO1993" s="7" t="n">
        <v>2</v>
      </c>
      <c r="AP1993" s="7" t="n">
        <v>1</v>
      </c>
      <c r="AQ1993" s="7" t="n">
        <v>1</v>
      </c>
      <c r="AR1993" s="6" t="s">
        <v>63</v>
      </c>
      <c r="AS1993" s="6" t="s">
        <v>63</v>
      </c>
      <c r="AT1993" s="9" t="str">
        <f aca="false">HYPERLINK("http://catalog.hathitrust.org/Record/001382139","HathiTrust Record")</f>
        <v>HathiTrust Record</v>
      </c>
      <c r="AU1993" s="9" t="str">
        <f aca="false">HYPERLINK("https://creighton-primo.hosted.exlibrisgroup.com/primo-explore/search?tab=default_tab&amp;search_scope=EVERYTHING&amp;vid=01CRU&amp;lang=en_US&amp;offset=0&amp;query=any,contains,991002287499702656","Catalog Record")</f>
        <v>Catalog Record</v>
      </c>
      <c r="AV1993" s="9" t="str">
        <f aca="false">HYPERLINK("http://www.worldcat.org/oclc/311967","WorldCat Record")</f>
        <v>WorldCat Record</v>
      </c>
      <c r="AW1993" s="6" t="s">
        <v>17703</v>
      </c>
      <c r="AX1993" s="6" t="s">
        <v>17704</v>
      </c>
      <c r="AY1993" s="6" t="s">
        <v>17705</v>
      </c>
      <c r="AZ1993" s="6" t="s">
        <v>17705</v>
      </c>
      <c r="BA1993" s="6" t="s">
        <v>17706</v>
      </c>
      <c r="BB1993" s="28"/>
      <c r="BC1993" s="6" t="s">
        <v>17707</v>
      </c>
      <c r="BE1993" s="15" t="s">
        <v>2145</v>
      </c>
      <c r="BF1993" s="6" t="s">
        <v>17708</v>
      </c>
    </row>
    <row r="1994" customFormat="false" ht="59.5" hidden="false" customHeight="false" outlineLevel="0" collapsed="false">
      <c r="A1994" s="26" t="s">
        <v>63</v>
      </c>
      <c r="B1994" s="27" t="s">
        <v>2129</v>
      </c>
      <c r="C1994" s="27" t="s">
        <v>2130</v>
      </c>
      <c r="D1994" s="27" t="s">
        <v>17709</v>
      </c>
      <c r="E1994" s="27" t="s">
        <v>17710</v>
      </c>
      <c r="F1994" s="27" t="s">
        <v>17711</v>
      </c>
      <c r="G1994" s="28"/>
      <c r="H1994" s="6" t="s">
        <v>63</v>
      </c>
      <c r="I1994" s="6" t="s">
        <v>62</v>
      </c>
      <c r="J1994" s="6" t="s">
        <v>63</v>
      </c>
      <c r="K1994" s="6" t="s">
        <v>63</v>
      </c>
      <c r="L1994" s="6" t="s">
        <v>64</v>
      </c>
      <c r="M1994" s="27" t="s">
        <v>17712</v>
      </c>
      <c r="N1994" s="27" t="s">
        <v>17713</v>
      </c>
      <c r="O1994" s="6" t="s">
        <v>2975</v>
      </c>
      <c r="P1994" s="28"/>
      <c r="Q1994" s="6" t="s">
        <v>67</v>
      </c>
      <c r="R1994" s="6" t="s">
        <v>68</v>
      </c>
      <c r="S1994" s="27" t="s">
        <v>17714</v>
      </c>
      <c r="T1994" s="6" t="s">
        <v>6138</v>
      </c>
      <c r="U1994" s="7" t="n">
        <v>3</v>
      </c>
      <c r="V1994" s="7" t="n">
        <v>3</v>
      </c>
      <c r="W1994" s="8" t="s">
        <v>17715</v>
      </c>
      <c r="X1994" s="8" t="s">
        <v>17715</v>
      </c>
      <c r="Y1994" s="8" t="s">
        <v>17474</v>
      </c>
      <c r="Z1994" s="8" t="s">
        <v>17474</v>
      </c>
      <c r="AA1994" s="7" t="n">
        <v>174</v>
      </c>
      <c r="AB1994" s="7" t="n">
        <v>162</v>
      </c>
      <c r="AC1994" s="7" t="n">
        <v>208</v>
      </c>
      <c r="AD1994" s="7" t="n">
        <v>2</v>
      </c>
      <c r="AE1994" s="7" t="n">
        <v>3</v>
      </c>
      <c r="AF1994" s="7" t="n">
        <v>10</v>
      </c>
      <c r="AG1994" s="7" t="n">
        <v>13</v>
      </c>
      <c r="AH1994" s="7" t="n">
        <v>3</v>
      </c>
      <c r="AI1994" s="7" t="n">
        <v>3</v>
      </c>
      <c r="AJ1994" s="7" t="n">
        <v>3</v>
      </c>
      <c r="AK1994" s="7" t="n">
        <v>5</v>
      </c>
      <c r="AL1994" s="7" t="n">
        <v>6</v>
      </c>
      <c r="AM1994" s="7" t="n">
        <v>6</v>
      </c>
      <c r="AN1994" s="7" t="n">
        <v>1</v>
      </c>
      <c r="AO1994" s="7" t="n">
        <v>2</v>
      </c>
      <c r="AP1994" s="7" t="n">
        <v>0</v>
      </c>
      <c r="AQ1994" s="7" t="n">
        <v>0</v>
      </c>
      <c r="AR1994" s="6" t="s">
        <v>63</v>
      </c>
      <c r="AS1994" s="6" t="s">
        <v>57</v>
      </c>
      <c r="AT1994" s="9" t="str">
        <f aca="false">HYPERLINK("http://catalog.hathitrust.org/Record/004456654","HathiTrust Record")</f>
        <v>HathiTrust Record</v>
      </c>
      <c r="AU1994" s="9" t="str">
        <f aca="false">HYPERLINK("https://creighton-primo.hosted.exlibrisgroup.com/primo-explore/search?tab=default_tab&amp;search_scope=EVERYTHING&amp;vid=01CRU&amp;lang=en_US&amp;offset=0&amp;query=any,contains,991000020819702656","Catalog Record")</f>
        <v>Catalog Record</v>
      </c>
      <c r="AV1994" s="9" t="str">
        <f aca="false">HYPERLINK("http://www.worldcat.org/oclc/17923","WorldCat Record")</f>
        <v>WorldCat Record</v>
      </c>
      <c r="AW1994" s="6" t="s">
        <v>17716</v>
      </c>
      <c r="AX1994" s="6" t="s">
        <v>17717</v>
      </c>
      <c r="AY1994" s="6" t="s">
        <v>17718</v>
      </c>
      <c r="AZ1994" s="6" t="s">
        <v>17718</v>
      </c>
      <c r="BA1994" s="6" t="s">
        <v>17719</v>
      </c>
      <c r="BB1994" s="28"/>
      <c r="BC1994" s="6" t="s">
        <v>17720</v>
      </c>
      <c r="BE1994" s="15" t="s">
        <v>2145</v>
      </c>
      <c r="BF1994" s="6" t="s">
        <v>17721</v>
      </c>
    </row>
    <row r="1995" customFormat="false" ht="163" hidden="false" customHeight="false" outlineLevel="0" collapsed="false">
      <c r="A1995" s="26" t="s">
        <v>63</v>
      </c>
      <c r="B1995" s="27" t="s">
        <v>2129</v>
      </c>
      <c r="C1995" s="27" t="s">
        <v>2130</v>
      </c>
      <c r="D1995" s="27" t="s">
        <v>17722</v>
      </c>
      <c r="E1995" s="27" t="s">
        <v>17723</v>
      </c>
      <c r="F1995" s="27" t="s">
        <v>17724</v>
      </c>
      <c r="G1995" s="28"/>
      <c r="H1995" s="6" t="s">
        <v>63</v>
      </c>
      <c r="I1995" s="6" t="s">
        <v>62</v>
      </c>
      <c r="J1995" s="6" t="s">
        <v>63</v>
      </c>
      <c r="K1995" s="6" t="s">
        <v>63</v>
      </c>
      <c r="L1995" s="6" t="s">
        <v>64</v>
      </c>
      <c r="M1995" s="27" t="s">
        <v>17725</v>
      </c>
      <c r="N1995" s="27" t="s">
        <v>17726</v>
      </c>
      <c r="O1995" s="6" t="s">
        <v>2665</v>
      </c>
      <c r="P1995" s="28"/>
      <c r="Q1995" s="6" t="s">
        <v>67</v>
      </c>
      <c r="R1995" s="6" t="s">
        <v>68</v>
      </c>
      <c r="S1995" s="28"/>
      <c r="T1995" s="6" t="s">
        <v>6138</v>
      </c>
      <c r="U1995" s="7" t="n">
        <v>7</v>
      </c>
      <c r="V1995" s="7" t="n">
        <v>7</v>
      </c>
      <c r="W1995" s="8" t="s">
        <v>17727</v>
      </c>
      <c r="X1995" s="8" t="s">
        <v>17727</v>
      </c>
      <c r="Y1995" s="8" t="s">
        <v>17474</v>
      </c>
      <c r="Z1995" s="8" t="s">
        <v>17474</v>
      </c>
      <c r="AA1995" s="7" t="n">
        <v>315</v>
      </c>
      <c r="AB1995" s="7" t="n">
        <v>217</v>
      </c>
      <c r="AC1995" s="7" t="n">
        <v>219</v>
      </c>
      <c r="AD1995" s="7" t="n">
        <v>3</v>
      </c>
      <c r="AE1995" s="7" t="n">
        <v>3</v>
      </c>
      <c r="AF1995" s="7" t="n">
        <v>13</v>
      </c>
      <c r="AG1995" s="7" t="n">
        <v>13</v>
      </c>
      <c r="AH1995" s="7" t="n">
        <v>5</v>
      </c>
      <c r="AI1995" s="7" t="n">
        <v>5</v>
      </c>
      <c r="AJ1995" s="7" t="n">
        <v>6</v>
      </c>
      <c r="AK1995" s="7" t="n">
        <v>6</v>
      </c>
      <c r="AL1995" s="7" t="n">
        <v>6</v>
      </c>
      <c r="AM1995" s="7" t="n">
        <v>6</v>
      </c>
      <c r="AN1995" s="7" t="n">
        <v>1</v>
      </c>
      <c r="AO1995" s="7" t="n">
        <v>1</v>
      </c>
      <c r="AP1995" s="7" t="n">
        <v>0</v>
      </c>
      <c r="AQ1995" s="7" t="n">
        <v>0</v>
      </c>
      <c r="AR1995" s="6" t="s">
        <v>63</v>
      </c>
      <c r="AS1995" s="6" t="s">
        <v>57</v>
      </c>
      <c r="AT1995" s="9" t="str">
        <f aca="false">HYPERLINK("http://catalog.hathitrust.org/Record/009906475","HathiTrust Record")</f>
        <v>HathiTrust Record</v>
      </c>
      <c r="AU1995" s="9" t="str">
        <f aca="false">HYPERLINK("https://creighton-primo.hosted.exlibrisgroup.com/primo-explore/search?tab=default_tab&amp;search_scope=EVERYTHING&amp;vid=01CRU&amp;lang=en_US&amp;offset=0&amp;query=any,contains,991002344479702656","Catalog Record")</f>
        <v>Catalog Record</v>
      </c>
      <c r="AV1995" s="9" t="str">
        <f aca="false">HYPERLINK("http://www.worldcat.org/oclc/324360","WorldCat Record")</f>
        <v>WorldCat Record</v>
      </c>
      <c r="AW1995" s="6" t="s">
        <v>17728</v>
      </c>
      <c r="AX1995" s="6" t="s">
        <v>17729</v>
      </c>
      <c r="AY1995" s="6" t="s">
        <v>17730</v>
      </c>
      <c r="AZ1995" s="6" t="s">
        <v>17730</v>
      </c>
      <c r="BA1995" s="6" t="s">
        <v>17731</v>
      </c>
      <c r="BB1995" s="6" t="s">
        <v>17732</v>
      </c>
      <c r="BC1995" s="6" t="s">
        <v>17733</v>
      </c>
      <c r="BE1995" s="15" t="s">
        <v>2145</v>
      </c>
      <c r="BF1995" s="6" t="s">
        <v>17734</v>
      </c>
    </row>
    <row r="1996" customFormat="false" ht="82.5" hidden="false" customHeight="false" outlineLevel="0" collapsed="false">
      <c r="A1996" s="26" t="s">
        <v>63</v>
      </c>
      <c r="B1996" s="27" t="s">
        <v>2129</v>
      </c>
      <c r="C1996" s="27" t="s">
        <v>2130</v>
      </c>
      <c r="D1996" s="27" t="s">
        <v>17735</v>
      </c>
      <c r="E1996" s="27" t="s">
        <v>17736</v>
      </c>
      <c r="F1996" s="27" t="s">
        <v>17737</v>
      </c>
      <c r="G1996" s="28"/>
      <c r="H1996" s="6" t="s">
        <v>63</v>
      </c>
      <c r="I1996" s="6" t="s">
        <v>62</v>
      </c>
      <c r="J1996" s="6" t="s">
        <v>63</v>
      </c>
      <c r="K1996" s="6" t="s">
        <v>63</v>
      </c>
      <c r="L1996" s="6" t="s">
        <v>64</v>
      </c>
      <c r="M1996" s="27" t="s">
        <v>4341</v>
      </c>
      <c r="N1996" s="27" t="s">
        <v>15810</v>
      </c>
      <c r="O1996" s="6" t="s">
        <v>7428</v>
      </c>
      <c r="P1996" s="28"/>
      <c r="Q1996" s="6" t="s">
        <v>67</v>
      </c>
      <c r="R1996" s="6" t="s">
        <v>68</v>
      </c>
      <c r="S1996" s="28"/>
      <c r="T1996" s="6" t="s">
        <v>6138</v>
      </c>
      <c r="U1996" s="7" t="n">
        <v>2</v>
      </c>
      <c r="V1996" s="7" t="n">
        <v>2</v>
      </c>
      <c r="W1996" s="8" t="s">
        <v>4892</v>
      </c>
      <c r="X1996" s="8" t="s">
        <v>4892</v>
      </c>
      <c r="Y1996" s="8" t="s">
        <v>16765</v>
      </c>
      <c r="Z1996" s="8" t="s">
        <v>16765</v>
      </c>
      <c r="AA1996" s="7" t="n">
        <v>501</v>
      </c>
      <c r="AB1996" s="7" t="n">
        <v>380</v>
      </c>
      <c r="AC1996" s="7" t="n">
        <v>388</v>
      </c>
      <c r="AD1996" s="7" t="n">
        <v>3</v>
      </c>
      <c r="AE1996" s="7" t="n">
        <v>3</v>
      </c>
      <c r="AF1996" s="7" t="n">
        <v>19</v>
      </c>
      <c r="AG1996" s="7" t="n">
        <v>19</v>
      </c>
      <c r="AH1996" s="7" t="n">
        <v>5</v>
      </c>
      <c r="AI1996" s="7" t="n">
        <v>5</v>
      </c>
      <c r="AJ1996" s="7" t="n">
        <v>5</v>
      </c>
      <c r="AK1996" s="7" t="n">
        <v>5</v>
      </c>
      <c r="AL1996" s="7" t="n">
        <v>11</v>
      </c>
      <c r="AM1996" s="7" t="n">
        <v>11</v>
      </c>
      <c r="AN1996" s="7" t="n">
        <v>2</v>
      </c>
      <c r="AO1996" s="7" t="n">
        <v>2</v>
      </c>
      <c r="AP1996" s="7" t="n">
        <v>1</v>
      </c>
      <c r="AQ1996" s="7" t="n">
        <v>1</v>
      </c>
      <c r="AR1996" s="6" t="s">
        <v>63</v>
      </c>
      <c r="AS1996" s="6" t="s">
        <v>57</v>
      </c>
      <c r="AT1996" s="9" t="str">
        <f aca="false">HYPERLINK("http://catalog.hathitrust.org/Record/000725194","HathiTrust Record")</f>
        <v>HathiTrust Record</v>
      </c>
      <c r="AU1996" s="9" t="str">
        <f aca="false">HYPERLINK("https://creighton-primo.hosted.exlibrisgroup.com/primo-explore/search?tab=default_tab&amp;search_scope=EVERYTHING&amp;vid=01CRU&amp;lang=en_US&amp;offset=0&amp;query=any,contains,991004091719702656","Catalog Record")</f>
        <v>Catalog Record</v>
      </c>
      <c r="AV1996" s="9" t="str">
        <f aca="false">HYPERLINK("http://www.worldcat.org/oclc/2346034","WorldCat Record")</f>
        <v>WorldCat Record</v>
      </c>
      <c r="AW1996" s="6" t="s">
        <v>17738</v>
      </c>
      <c r="AX1996" s="6" t="s">
        <v>17739</v>
      </c>
      <c r="AY1996" s="6" t="s">
        <v>17740</v>
      </c>
      <c r="AZ1996" s="6" t="s">
        <v>17740</v>
      </c>
      <c r="BA1996" s="6" t="s">
        <v>17741</v>
      </c>
      <c r="BB1996" s="6" t="s">
        <v>17742</v>
      </c>
      <c r="BC1996" s="6" t="s">
        <v>17743</v>
      </c>
      <c r="BE1996" s="15" t="s">
        <v>2145</v>
      </c>
      <c r="BF1996" s="6" t="s">
        <v>17744</v>
      </c>
    </row>
    <row r="1997" customFormat="false" ht="133.65" hidden="false" customHeight="false" outlineLevel="0" collapsed="false">
      <c r="A1997" s="26" t="s">
        <v>63</v>
      </c>
      <c r="B1997" s="27" t="s">
        <v>2129</v>
      </c>
      <c r="C1997" s="27" t="s">
        <v>2130</v>
      </c>
      <c r="D1997" s="27" t="s">
        <v>17745</v>
      </c>
      <c r="E1997" s="27" t="s">
        <v>17746</v>
      </c>
      <c r="F1997" s="27" t="s">
        <v>17747</v>
      </c>
      <c r="G1997" s="28"/>
      <c r="H1997" s="6" t="s">
        <v>63</v>
      </c>
      <c r="I1997" s="6" t="s">
        <v>62</v>
      </c>
      <c r="J1997" s="6" t="s">
        <v>63</v>
      </c>
      <c r="K1997" s="6" t="s">
        <v>63</v>
      </c>
      <c r="L1997" s="6" t="s">
        <v>64</v>
      </c>
      <c r="M1997" s="27" t="s">
        <v>6123</v>
      </c>
      <c r="N1997" s="27" t="s">
        <v>17748</v>
      </c>
      <c r="O1997" s="6" t="s">
        <v>2262</v>
      </c>
      <c r="P1997" s="28"/>
      <c r="Q1997" s="6" t="s">
        <v>67</v>
      </c>
      <c r="R1997" s="6" t="s">
        <v>384</v>
      </c>
      <c r="S1997" s="28"/>
      <c r="T1997" s="6" t="s">
        <v>6138</v>
      </c>
      <c r="U1997" s="7" t="n">
        <v>2</v>
      </c>
      <c r="V1997" s="7" t="n">
        <v>2</v>
      </c>
      <c r="W1997" s="8" t="s">
        <v>7133</v>
      </c>
      <c r="X1997" s="8" t="s">
        <v>7133</v>
      </c>
      <c r="Y1997" s="8" t="s">
        <v>6974</v>
      </c>
      <c r="Z1997" s="8" t="s">
        <v>6974</v>
      </c>
      <c r="AA1997" s="7" t="n">
        <v>547</v>
      </c>
      <c r="AB1997" s="7" t="n">
        <v>422</v>
      </c>
      <c r="AC1997" s="7" t="n">
        <v>441</v>
      </c>
      <c r="AD1997" s="7" t="n">
        <v>2</v>
      </c>
      <c r="AE1997" s="7" t="n">
        <v>2</v>
      </c>
      <c r="AF1997" s="7" t="n">
        <v>23</v>
      </c>
      <c r="AG1997" s="7" t="n">
        <v>24</v>
      </c>
      <c r="AH1997" s="7" t="n">
        <v>8</v>
      </c>
      <c r="AI1997" s="7" t="n">
        <v>8</v>
      </c>
      <c r="AJ1997" s="7" t="n">
        <v>6</v>
      </c>
      <c r="AK1997" s="7" t="n">
        <v>6</v>
      </c>
      <c r="AL1997" s="7" t="n">
        <v>14</v>
      </c>
      <c r="AM1997" s="7" t="n">
        <v>15</v>
      </c>
      <c r="AN1997" s="7" t="n">
        <v>1</v>
      </c>
      <c r="AO1997" s="7" t="n">
        <v>1</v>
      </c>
      <c r="AP1997" s="7" t="n">
        <v>1</v>
      </c>
      <c r="AQ1997" s="7" t="n">
        <v>1</v>
      </c>
      <c r="AR1997" s="6" t="s">
        <v>63</v>
      </c>
      <c r="AS1997" s="6" t="s">
        <v>57</v>
      </c>
      <c r="AT1997" s="9" t="str">
        <f aca="false">HYPERLINK("http://catalog.hathitrust.org/Record/000485576","HathiTrust Record")</f>
        <v>HathiTrust Record</v>
      </c>
      <c r="AU1997" s="9" t="str">
        <f aca="false">HYPERLINK("https://creighton-primo.hosted.exlibrisgroup.com/primo-explore/search?tab=default_tab&amp;search_scope=EVERYTHING&amp;vid=01CRU&amp;lang=en_US&amp;offset=0&amp;query=any,contains,991000785669702656","Catalog Record")</f>
        <v>Catalog Record</v>
      </c>
      <c r="AV1997" s="9" t="str">
        <f aca="false">HYPERLINK("http://www.worldcat.org/oclc/13124364","WorldCat Record")</f>
        <v>WorldCat Record</v>
      </c>
      <c r="AW1997" s="6" t="s">
        <v>17749</v>
      </c>
      <c r="AX1997" s="6" t="s">
        <v>17750</v>
      </c>
      <c r="AY1997" s="6" t="s">
        <v>17751</v>
      </c>
      <c r="AZ1997" s="6" t="s">
        <v>17751</v>
      </c>
      <c r="BA1997" s="6" t="s">
        <v>17752</v>
      </c>
      <c r="BB1997" s="6" t="s">
        <v>17753</v>
      </c>
      <c r="BC1997" s="6" t="s">
        <v>17754</v>
      </c>
      <c r="BE1997" s="15" t="s">
        <v>2145</v>
      </c>
      <c r="BF1997" s="6" t="s">
        <v>17755</v>
      </c>
    </row>
    <row r="1998" customFormat="false" ht="117" hidden="false" customHeight="false" outlineLevel="0" collapsed="false">
      <c r="A1998" s="26" t="s">
        <v>63</v>
      </c>
      <c r="B1998" s="27" t="s">
        <v>2129</v>
      </c>
      <c r="C1998" s="27" t="s">
        <v>2130</v>
      </c>
      <c r="D1998" s="27" t="s">
        <v>17756</v>
      </c>
      <c r="E1998" s="27" t="s">
        <v>17757</v>
      </c>
      <c r="F1998" s="27" t="s">
        <v>17758</v>
      </c>
      <c r="G1998" s="28"/>
      <c r="H1998" s="6" t="s">
        <v>63</v>
      </c>
      <c r="I1998" s="6" t="s">
        <v>62</v>
      </c>
      <c r="J1998" s="6" t="s">
        <v>63</v>
      </c>
      <c r="K1998" s="6" t="s">
        <v>63</v>
      </c>
      <c r="L1998" s="6" t="s">
        <v>64</v>
      </c>
      <c r="M1998" s="28"/>
      <c r="N1998" s="27" t="s">
        <v>17759</v>
      </c>
      <c r="O1998" s="6" t="s">
        <v>221</v>
      </c>
      <c r="P1998" s="28"/>
      <c r="Q1998" s="6" t="s">
        <v>67</v>
      </c>
      <c r="R1998" s="6" t="s">
        <v>68</v>
      </c>
      <c r="S1998" s="28"/>
      <c r="T1998" s="6" t="s">
        <v>6138</v>
      </c>
      <c r="U1998" s="7" t="n">
        <v>3</v>
      </c>
      <c r="V1998" s="7" t="n">
        <v>3</v>
      </c>
      <c r="W1998" s="8" t="s">
        <v>6548</v>
      </c>
      <c r="X1998" s="8" t="s">
        <v>6548</v>
      </c>
      <c r="Y1998" s="8" t="s">
        <v>17760</v>
      </c>
      <c r="Z1998" s="8" t="s">
        <v>17760</v>
      </c>
      <c r="AA1998" s="7" t="n">
        <v>333</v>
      </c>
      <c r="AB1998" s="7" t="n">
        <v>266</v>
      </c>
      <c r="AC1998" s="7" t="n">
        <v>307</v>
      </c>
      <c r="AD1998" s="7" t="n">
        <v>3</v>
      </c>
      <c r="AE1998" s="7" t="n">
        <v>3</v>
      </c>
      <c r="AF1998" s="7" t="n">
        <v>17</v>
      </c>
      <c r="AG1998" s="7" t="n">
        <v>19</v>
      </c>
      <c r="AH1998" s="7" t="n">
        <v>4</v>
      </c>
      <c r="AI1998" s="7" t="n">
        <v>5</v>
      </c>
      <c r="AJ1998" s="7" t="n">
        <v>5</v>
      </c>
      <c r="AK1998" s="7" t="n">
        <v>6</v>
      </c>
      <c r="AL1998" s="7" t="n">
        <v>11</v>
      </c>
      <c r="AM1998" s="7" t="n">
        <v>11</v>
      </c>
      <c r="AN1998" s="7" t="n">
        <v>2</v>
      </c>
      <c r="AO1998" s="7" t="n">
        <v>2</v>
      </c>
      <c r="AP1998" s="7" t="n">
        <v>0</v>
      </c>
      <c r="AQ1998" s="7" t="n">
        <v>0</v>
      </c>
      <c r="AR1998" s="6" t="s">
        <v>63</v>
      </c>
      <c r="AS1998" s="6" t="s">
        <v>57</v>
      </c>
      <c r="AT1998" s="9" t="str">
        <f aca="false">HYPERLINK("http://catalog.hathitrust.org/Record/000318798","HathiTrust Record")</f>
        <v>HathiTrust Record</v>
      </c>
      <c r="AU1998" s="9" t="str">
        <f aca="false">HYPERLINK("https://creighton-primo.hosted.exlibrisgroup.com/primo-explore/search?tab=default_tab&amp;search_scope=EVERYTHING&amp;vid=01CRU&amp;lang=en_US&amp;offset=0&amp;query=any,contains,991000189259702656","Catalog Record")</f>
        <v>Catalog Record</v>
      </c>
      <c r="AV1998" s="9" t="str">
        <f aca="false">HYPERLINK("http://www.worldcat.org/oclc/9406425","WorldCat Record")</f>
        <v>WorldCat Record</v>
      </c>
      <c r="AW1998" s="6" t="s">
        <v>17761</v>
      </c>
      <c r="AX1998" s="6" t="s">
        <v>17762</v>
      </c>
      <c r="AY1998" s="6" t="s">
        <v>17763</v>
      </c>
      <c r="AZ1998" s="6" t="s">
        <v>17763</v>
      </c>
      <c r="BA1998" s="6" t="s">
        <v>17764</v>
      </c>
      <c r="BB1998" s="6" t="s">
        <v>17765</v>
      </c>
      <c r="BC1998" s="6" t="s">
        <v>17766</v>
      </c>
      <c r="BE1998" s="15" t="s">
        <v>2145</v>
      </c>
      <c r="BF1998" s="6" t="s">
        <v>17767</v>
      </c>
    </row>
    <row r="1999" customFormat="false" ht="220.5" hidden="false" customHeight="false" outlineLevel="0" collapsed="false">
      <c r="A1999" s="26" t="s">
        <v>57</v>
      </c>
      <c r="B1999" s="27" t="s">
        <v>2129</v>
      </c>
      <c r="C1999" s="27" t="s">
        <v>2130</v>
      </c>
      <c r="D1999" s="27" t="s">
        <v>17768</v>
      </c>
      <c r="E1999" s="27" t="s">
        <v>17769</v>
      </c>
      <c r="F1999" s="27" t="s">
        <v>17770</v>
      </c>
      <c r="G1999" s="28"/>
      <c r="H1999" s="6" t="s">
        <v>63</v>
      </c>
      <c r="I1999" s="6" t="s">
        <v>62</v>
      </c>
      <c r="J1999" s="6" t="s">
        <v>63</v>
      </c>
      <c r="K1999" s="6" t="s">
        <v>63</v>
      </c>
      <c r="L1999" s="6" t="s">
        <v>64</v>
      </c>
      <c r="M1999" s="27" t="s">
        <v>17771</v>
      </c>
      <c r="N1999" s="27" t="s">
        <v>17772</v>
      </c>
      <c r="O1999" s="6" t="s">
        <v>2262</v>
      </c>
      <c r="P1999" s="28"/>
      <c r="Q1999" s="6" t="s">
        <v>67</v>
      </c>
      <c r="R1999" s="6" t="s">
        <v>68</v>
      </c>
      <c r="S1999" s="28"/>
      <c r="T1999" s="6" t="s">
        <v>6138</v>
      </c>
      <c r="U1999" s="7" t="n">
        <v>3</v>
      </c>
      <c r="V1999" s="7" t="n">
        <v>3</v>
      </c>
      <c r="W1999" s="8" t="s">
        <v>17773</v>
      </c>
      <c r="X1999" s="8" t="s">
        <v>17773</v>
      </c>
      <c r="Y1999" s="8" t="s">
        <v>16765</v>
      </c>
      <c r="Z1999" s="8" t="s">
        <v>16765</v>
      </c>
      <c r="AA1999" s="7" t="n">
        <v>428</v>
      </c>
      <c r="AB1999" s="7" t="n">
        <v>320</v>
      </c>
      <c r="AC1999" s="7" t="n">
        <v>1002</v>
      </c>
      <c r="AD1999" s="7" t="n">
        <v>2</v>
      </c>
      <c r="AE1999" s="7" t="n">
        <v>15</v>
      </c>
      <c r="AF1999" s="7" t="n">
        <v>22</v>
      </c>
      <c r="AG1999" s="7" t="n">
        <v>47</v>
      </c>
      <c r="AH1999" s="7" t="n">
        <v>7</v>
      </c>
      <c r="AI1999" s="7" t="n">
        <v>15</v>
      </c>
      <c r="AJ1999" s="7" t="n">
        <v>7</v>
      </c>
      <c r="AK1999" s="7" t="n">
        <v>9</v>
      </c>
      <c r="AL1999" s="7" t="n">
        <v>17</v>
      </c>
      <c r="AM1999" s="7" t="n">
        <v>20</v>
      </c>
      <c r="AN1999" s="7" t="n">
        <v>1</v>
      </c>
      <c r="AO1999" s="7" t="n">
        <v>13</v>
      </c>
      <c r="AP1999" s="7" t="n">
        <v>0</v>
      </c>
      <c r="AQ1999" s="7" t="n">
        <v>1</v>
      </c>
      <c r="AR1999" s="6" t="s">
        <v>63</v>
      </c>
      <c r="AS1999" s="6" t="s">
        <v>57</v>
      </c>
      <c r="AT1999" s="9" t="str">
        <f aca="false">HYPERLINK("http://catalog.hathitrust.org/Record/000393718","HathiTrust Record")</f>
        <v>HathiTrust Record</v>
      </c>
      <c r="AU1999" s="9" t="str">
        <f aca="false">HYPERLINK("https://creighton-primo.hosted.exlibrisgroup.com/primo-explore/search?tab=default_tab&amp;search_scope=EVERYTHING&amp;vid=01CRU&amp;lang=en_US&amp;offset=0&amp;query=any,contains,991000744889702656","Catalog Record")</f>
        <v>Catalog Record</v>
      </c>
      <c r="AV1999" s="9" t="str">
        <f aca="false">HYPERLINK("http://www.worldcat.org/oclc/12837058","WorldCat Record")</f>
        <v>WorldCat Record</v>
      </c>
      <c r="AW1999" s="6" t="s">
        <v>17774</v>
      </c>
      <c r="AX1999" s="6" t="s">
        <v>17775</v>
      </c>
      <c r="AY1999" s="6" t="s">
        <v>17776</v>
      </c>
      <c r="AZ1999" s="6" t="s">
        <v>17776</v>
      </c>
      <c r="BA1999" s="6" t="s">
        <v>17777</v>
      </c>
      <c r="BB1999" s="6" t="s">
        <v>17778</v>
      </c>
      <c r="BC1999" s="6" t="s">
        <v>17779</v>
      </c>
      <c r="BE1999" s="15" t="s">
        <v>2145</v>
      </c>
      <c r="BF1999" s="6" t="s">
        <v>17780</v>
      </c>
    </row>
    <row r="2000" customFormat="false" ht="82.5" hidden="false" customHeight="false" outlineLevel="0" collapsed="false">
      <c r="A2000" s="26" t="s">
        <v>63</v>
      </c>
      <c r="B2000" s="27" t="s">
        <v>2129</v>
      </c>
      <c r="C2000" s="27" t="s">
        <v>2130</v>
      </c>
      <c r="D2000" s="27" t="s">
        <v>17781</v>
      </c>
      <c r="E2000" s="27" t="s">
        <v>17782</v>
      </c>
      <c r="F2000" s="27" t="s">
        <v>17783</v>
      </c>
      <c r="G2000" s="28"/>
      <c r="H2000" s="6" t="s">
        <v>63</v>
      </c>
      <c r="I2000" s="6" t="s">
        <v>62</v>
      </c>
      <c r="J2000" s="6" t="s">
        <v>63</v>
      </c>
      <c r="K2000" s="6" t="s">
        <v>63</v>
      </c>
      <c r="L2000" s="6" t="s">
        <v>64</v>
      </c>
      <c r="M2000" s="27" t="s">
        <v>4677</v>
      </c>
      <c r="N2000" s="27" t="s">
        <v>17784</v>
      </c>
      <c r="O2000" s="6" t="s">
        <v>2343</v>
      </c>
      <c r="P2000" s="28"/>
      <c r="Q2000" s="6" t="s">
        <v>67</v>
      </c>
      <c r="R2000" s="6" t="s">
        <v>68</v>
      </c>
      <c r="S2000" s="28"/>
      <c r="T2000" s="6" t="s">
        <v>6138</v>
      </c>
      <c r="U2000" s="7" t="n">
        <v>1</v>
      </c>
      <c r="V2000" s="7" t="n">
        <v>1</v>
      </c>
      <c r="W2000" s="8" t="s">
        <v>17785</v>
      </c>
      <c r="X2000" s="8" t="s">
        <v>17785</v>
      </c>
      <c r="Y2000" s="8" t="s">
        <v>16765</v>
      </c>
      <c r="Z2000" s="8" t="s">
        <v>16765</v>
      </c>
      <c r="AA2000" s="7" t="n">
        <v>310</v>
      </c>
      <c r="AB2000" s="7" t="n">
        <v>193</v>
      </c>
      <c r="AC2000" s="7" t="n">
        <v>195</v>
      </c>
      <c r="AD2000" s="7" t="n">
        <v>4</v>
      </c>
      <c r="AE2000" s="7" t="n">
        <v>4</v>
      </c>
      <c r="AF2000" s="7" t="n">
        <v>11</v>
      </c>
      <c r="AG2000" s="7" t="n">
        <v>11</v>
      </c>
      <c r="AH2000" s="7" t="n">
        <v>1</v>
      </c>
      <c r="AI2000" s="7" t="n">
        <v>1</v>
      </c>
      <c r="AJ2000" s="7" t="n">
        <v>2</v>
      </c>
      <c r="AK2000" s="7" t="n">
        <v>2</v>
      </c>
      <c r="AL2000" s="7" t="n">
        <v>8</v>
      </c>
      <c r="AM2000" s="7" t="n">
        <v>8</v>
      </c>
      <c r="AN2000" s="7" t="n">
        <v>2</v>
      </c>
      <c r="AO2000" s="7" t="n">
        <v>2</v>
      </c>
      <c r="AP2000" s="7" t="n">
        <v>0</v>
      </c>
      <c r="AQ2000" s="7" t="n">
        <v>0</v>
      </c>
      <c r="AR2000" s="6" t="s">
        <v>63</v>
      </c>
      <c r="AS2000" s="6" t="s">
        <v>57</v>
      </c>
      <c r="AT2000" s="9" t="str">
        <f aca="false">HYPERLINK("http://catalog.hathitrust.org/Record/000098042","HathiTrust Record")</f>
        <v>HathiTrust Record</v>
      </c>
      <c r="AU2000" s="9" t="str">
        <f aca="false">HYPERLINK("https://creighton-primo.hosted.exlibrisgroup.com/primo-explore/search?tab=default_tab&amp;search_scope=EVERYTHING&amp;vid=01CRU&amp;lang=en_US&amp;offset=0&amp;query=any,contains,991004980729702656","Catalog Record")</f>
        <v>Catalog Record</v>
      </c>
      <c r="AV2000" s="9" t="str">
        <f aca="false">HYPERLINK("http://www.worldcat.org/oclc/6421882","WorldCat Record")</f>
        <v>WorldCat Record</v>
      </c>
      <c r="AW2000" s="6" t="s">
        <v>17786</v>
      </c>
      <c r="AX2000" s="6" t="s">
        <v>17787</v>
      </c>
      <c r="AY2000" s="6" t="s">
        <v>17788</v>
      </c>
      <c r="AZ2000" s="6" t="s">
        <v>17788</v>
      </c>
      <c r="BA2000" s="6" t="s">
        <v>17789</v>
      </c>
      <c r="BB2000" s="6" t="s">
        <v>17790</v>
      </c>
      <c r="BC2000" s="6" t="s">
        <v>17791</v>
      </c>
      <c r="BE2000" s="15" t="s">
        <v>2145</v>
      </c>
      <c r="BF2000" s="6" t="s">
        <v>17792</v>
      </c>
    </row>
    <row r="2001" customFormat="false" ht="105.5" hidden="false" customHeight="false" outlineLevel="0" collapsed="false">
      <c r="A2001" s="26" t="s">
        <v>57</v>
      </c>
      <c r="B2001" s="27" t="s">
        <v>2129</v>
      </c>
      <c r="C2001" s="27" t="s">
        <v>2130</v>
      </c>
      <c r="D2001" s="27" t="s">
        <v>17793</v>
      </c>
      <c r="E2001" s="27" t="s">
        <v>17794</v>
      </c>
      <c r="F2001" s="27" t="s">
        <v>17795</v>
      </c>
      <c r="G2001" s="28"/>
      <c r="H2001" s="6" t="s">
        <v>63</v>
      </c>
      <c r="I2001" s="6" t="s">
        <v>62</v>
      </c>
      <c r="J2001" s="6" t="s">
        <v>63</v>
      </c>
      <c r="K2001" s="6" t="s">
        <v>63</v>
      </c>
      <c r="L2001" s="6" t="s">
        <v>64</v>
      </c>
      <c r="M2001" s="27" t="s">
        <v>17796</v>
      </c>
      <c r="N2001" s="27" t="s">
        <v>220</v>
      </c>
      <c r="O2001" s="6" t="s">
        <v>221</v>
      </c>
      <c r="P2001" s="28"/>
      <c r="Q2001" s="6" t="s">
        <v>67</v>
      </c>
      <c r="R2001" s="6" t="s">
        <v>222</v>
      </c>
      <c r="S2001" s="28"/>
      <c r="T2001" s="6" t="s">
        <v>6138</v>
      </c>
      <c r="U2001" s="7" t="n">
        <v>3</v>
      </c>
      <c r="V2001" s="7" t="n">
        <v>3</v>
      </c>
      <c r="W2001" s="8" t="s">
        <v>17797</v>
      </c>
      <c r="X2001" s="8" t="s">
        <v>17797</v>
      </c>
      <c r="Y2001" s="8" t="s">
        <v>16765</v>
      </c>
      <c r="Z2001" s="8" t="s">
        <v>16765</v>
      </c>
      <c r="AA2001" s="7" t="n">
        <v>518</v>
      </c>
      <c r="AB2001" s="7" t="n">
        <v>389</v>
      </c>
      <c r="AC2001" s="7" t="n">
        <v>389</v>
      </c>
      <c r="AD2001" s="7" t="n">
        <v>3</v>
      </c>
      <c r="AE2001" s="7" t="n">
        <v>3</v>
      </c>
      <c r="AF2001" s="7" t="n">
        <v>22</v>
      </c>
      <c r="AG2001" s="7" t="n">
        <v>22</v>
      </c>
      <c r="AH2001" s="7" t="n">
        <v>7</v>
      </c>
      <c r="AI2001" s="7" t="n">
        <v>7</v>
      </c>
      <c r="AJ2001" s="7" t="n">
        <v>7</v>
      </c>
      <c r="AK2001" s="7" t="n">
        <v>7</v>
      </c>
      <c r="AL2001" s="7" t="n">
        <v>15</v>
      </c>
      <c r="AM2001" s="7" t="n">
        <v>15</v>
      </c>
      <c r="AN2001" s="7" t="n">
        <v>2</v>
      </c>
      <c r="AO2001" s="7" t="n">
        <v>2</v>
      </c>
      <c r="AP2001" s="7" t="n">
        <v>0</v>
      </c>
      <c r="AQ2001" s="7" t="n">
        <v>0</v>
      </c>
      <c r="AR2001" s="6" t="s">
        <v>63</v>
      </c>
      <c r="AS2001" s="6" t="s">
        <v>63</v>
      </c>
      <c r="AT2001" s="28"/>
      <c r="AU2001" s="9" t="str">
        <f aca="false">HYPERLINK("https://creighton-primo.hosted.exlibrisgroup.com/primo-explore/search?tab=default_tab&amp;search_scope=EVERYTHING&amp;vid=01CRU&amp;lang=en_US&amp;offset=0&amp;query=any,contains,991000140379702656","Catalog Record")</f>
        <v>Catalog Record</v>
      </c>
      <c r="AV2001" s="9" t="str">
        <f aca="false">HYPERLINK("http://www.worldcat.org/oclc/9154503","WorldCat Record")</f>
        <v>WorldCat Record</v>
      </c>
      <c r="AW2001" s="6" t="s">
        <v>17798</v>
      </c>
      <c r="AX2001" s="6" t="s">
        <v>17799</v>
      </c>
      <c r="AY2001" s="6" t="s">
        <v>17800</v>
      </c>
      <c r="AZ2001" s="6" t="s">
        <v>17800</v>
      </c>
      <c r="BA2001" s="6" t="s">
        <v>17801</v>
      </c>
      <c r="BB2001" s="6" t="s">
        <v>17802</v>
      </c>
      <c r="BC2001" s="6" t="s">
        <v>17803</v>
      </c>
      <c r="BE2001" s="15" t="s">
        <v>2145</v>
      </c>
      <c r="BF2001" s="6" t="s">
        <v>17804</v>
      </c>
    </row>
    <row r="2002" customFormat="false" ht="94" hidden="false" customHeight="false" outlineLevel="0" collapsed="false">
      <c r="A2002" s="26" t="s">
        <v>63</v>
      </c>
      <c r="B2002" s="27" t="s">
        <v>2129</v>
      </c>
      <c r="C2002" s="27" t="s">
        <v>2130</v>
      </c>
      <c r="D2002" s="27" t="s">
        <v>17805</v>
      </c>
      <c r="E2002" s="27" t="s">
        <v>17806</v>
      </c>
      <c r="F2002" s="27" t="s">
        <v>17807</v>
      </c>
      <c r="G2002" s="28"/>
      <c r="H2002" s="6" t="s">
        <v>63</v>
      </c>
      <c r="I2002" s="6" t="s">
        <v>62</v>
      </c>
      <c r="J2002" s="6" t="s">
        <v>63</v>
      </c>
      <c r="K2002" s="6" t="s">
        <v>63</v>
      </c>
      <c r="L2002" s="6" t="s">
        <v>64</v>
      </c>
      <c r="M2002" s="27" t="s">
        <v>17808</v>
      </c>
      <c r="N2002" s="27" t="s">
        <v>17809</v>
      </c>
      <c r="O2002" s="6" t="s">
        <v>167</v>
      </c>
      <c r="P2002" s="28"/>
      <c r="Q2002" s="6" t="s">
        <v>67</v>
      </c>
      <c r="R2002" s="6" t="s">
        <v>384</v>
      </c>
      <c r="S2002" s="28"/>
      <c r="T2002" s="6" t="s">
        <v>6138</v>
      </c>
      <c r="U2002" s="7" t="n">
        <v>2</v>
      </c>
      <c r="V2002" s="7" t="n">
        <v>2</v>
      </c>
      <c r="W2002" s="8" t="s">
        <v>4720</v>
      </c>
      <c r="X2002" s="8" t="s">
        <v>4720</v>
      </c>
      <c r="Y2002" s="8" t="s">
        <v>16765</v>
      </c>
      <c r="Z2002" s="8" t="s">
        <v>16765</v>
      </c>
      <c r="AA2002" s="7" t="n">
        <v>791</v>
      </c>
      <c r="AB2002" s="7" t="n">
        <v>598</v>
      </c>
      <c r="AC2002" s="7" t="n">
        <v>614</v>
      </c>
      <c r="AD2002" s="7" t="n">
        <v>5</v>
      </c>
      <c r="AE2002" s="7" t="n">
        <v>5</v>
      </c>
      <c r="AF2002" s="7" t="n">
        <v>34</v>
      </c>
      <c r="AG2002" s="7" t="n">
        <v>34</v>
      </c>
      <c r="AH2002" s="7" t="n">
        <v>12</v>
      </c>
      <c r="AI2002" s="7" t="n">
        <v>12</v>
      </c>
      <c r="AJ2002" s="7" t="n">
        <v>8</v>
      </c>
      <c r="AK2002" s="7" t="n">
        <v>8</v>
      </c>
      <c r="AL2002" s="7" t="n">
        <v>21</v>
      </c>
      <c r="AM2002" s="7" t="n">
        <v>21</v>
      </c>
      <c r="AN2002" s="7" t="n">
        <v>3</v>
      </c>
      <c r="AO2002" s="7" t="n">
        <v>3</v>
      </c>
      <c r="AP2002" s="7" t="n">
        <v>0</v>
      </c>
      <c r="AQ2002" s="7" t="n">
        <v>0</v>
      </c>
      <c r="AR2002" s="6" t="s">
        <v>63</v>
      </c>
      <c r="AS2002" s="6" t="s">
        <v>57</v>
      </c>
      <c r="AT2002" s="9" t="str">
        <f aca="false">HYPERLINK("http://catalog.hathitrust.org/Record/001382252","HathiTrust Record")</f>
        <v>HathiTrust Record</v>
      </c>
      <c r="AU2002" s="9" t="str">
        <f aca="false">HYPERLINK("https://creighton-primo.hosted.exlibrisgroup.com/primo-explore/search?tab=default_tab&amp;search_scope=EVERYTHING&amp;vid=01CRU&amp;lang=en_US&amp;offset=0&amp;query=any,contains,991002565129702656","Catalog Record")</f>
        <v>Catalog Record</v>
      </c>
      <c r="AV2002" s="9" t="str">
        <f aca="false">HYPERLINK("http://www.worldcat.org/oclc/372399","WorldCat Record")</f>
        <v>WorldCat Record</v>
      </c>
      <c r="AW2002" s="6" t="s">
        <v>17810</v>
      </c>
      <c r="AX2002" s="6" t="s">
        <v>17811</v>
      </c>
      <c r="AY2002" s="6" t="s">
        <v>17812</v>
      </c>
      <c r="AZ2002" s="6" t="s">
        <v>17812</v>
      </c>
      <c r="BA2002" s="6" t="s">
        <v>17813</v>
      </c>
      <c r="BB2002" s="28"/>
      <c r="BC2002" s="6" t="s">
        <v>17814</v>
      </c>
      <c r="BE2002" s="15" t="s">
        <v>2145</v>
      </c>
      <c r="BF2002" s="6" t="s">
        <v>17815</v>
      </c>
    </row>
    <row r="2003" customFormat="false" ht="163" hidden="false" customHeight="false" outlineLevel="0" collapsed="false">
      <c r="A2003" s="26" t="s">
        <v>63</v>
      </c>
      <c r="B2003" s="27" t="s">
        <v>2129</v>
      </c>
      <c r="C2003" s="27" t="s">
        <v>2130</v>
      </c>
      <c r="D2003" s="27" t="s">
        <v>17816</v>
      </c>
      <c r="E2003" s="27" t="s">
        <v>17817</v>
      </c>
      <c r="F2003" s="27" t="s">
        <v>17818</v>
      </c>
      <c r="G2003" s="28"/>
      <c r="H2003" s="6" t="s">
        <v>63</v>
      </c>
      <c r="I2003" s="6" t="s">
        <v>62</v>
      </c>
      <c r="J2003" s="6" t="s">
        <v>63</v>
      </c>
      <c r="K2003" s="6" t="s">
        <v>63</v>
      </c>
      <c r="L2003" s="6" t="s">
        <v>64</v>
      </c>
      <c r="M2003" s="27" t="s">
        <v>17819</v>
      </c>
      <c r="N2003" s="27" t="s">
        <v>17820</v>
      </c>
      <c r="O2003" s="6" t="s">
        <v>2411</v>
      </c>
      <c r="P2003" s="28"/>
      <c r="Q2003" s="6" t="s">
        <v>67</v>
      </c>
      <c r="R2003" s="6" t="s">
        <v>5017</v>
      </c>
      <c r="S2003" s="28"/>
      <c r="T2003" s="6" t="s">
        <v>6138</v>
      </c>
      <c r="U2003" s="7" t="n">
        <v>1</v>
      </c>
      <c r="V2003" s="7" t="n">
        <v>1</v>
      </c>
      <c r="W2003" s="8" t="s">
        <v>4720</v>
      </c>
      <c r="X2003" s="8" t="s">
        <v>4720</v>
      </c>
      <c r="Y2003" s="8" t="s">
        <v>17821</v>
      </c>
      <c r="Z2003" s="8" t="s">
        <v>17821</v>
      </c>
      <c r="AA2003" s="7" t="n">
        <v>348</v>
      </c>
      <c r="AB2003" s="7" t="n">
        <v>249</v>
      </c>
      <c r="AC2003" s="7" t="n">
        <v>251</v>
      </c>
      <c r="AD2003" s="7" t="n">
        <v>2</v>
      </c>
      <c r="AE2003" s="7" t="n">
        <v>2</v>
      </c>
      <c r="AF2003" s="7" t="n">
        <v>14</v>
      </c>
      <c r="AG2003" s="7" t="n">
        <v>14</v>
      </c>
      <c r="AH2003" s="7" t="n">
        <v>2</v>
      </c>
      <c r="AI2003" s="7" t="n">
        <v>2</v>
      </c>
      <c r="AJ2003" s="7" t="n">
        <v>4</v>
      </c>
      <c r="AK2003" s="7" t="n">
        <v>4</v>
      </c>
      <c r="AL2003" s="7" t="n">
        <v>10</v>
      </c>
      <c r="AM2003" s="7" t="n">
        <v>10</v>
      </c>
      <c r="AN2003" s="7" t="n">
        <v>1</v>
      </c>
      <c r="AO2003" s="7" t="n">
        <v>1</v>
      </c>
      <c r="AP2003" s="7" t="n">
        <v>0</v>
      </c>
      <c r="AQ2003" s="7" t="n">
        <v>0</v>
      </c>
      <c r="AR2003" s="6" t="s">
        <v>63</v>
      </c>
      <c r="AS2003" s="6" t="s">
        <v>57</v>
      </c>
      <c r="AT2003" s="9" t="str">
        <f aca="false">HYPERLINK("http://catalog.hathitrust.org/Record/001104965","HathiTrust Record")</f>
        <v>HathiTrust Record</v>
      </c>
      <c r="AU2003" s="9" t="str">
        <f aca="false">HYPERLINK("https://creighton-primo.hosted.exlibrisgroup.com/primo-explore/search?tab=default_tab&amp;search_scope=EVERYTHING&amp;vid=01CRU&amp;lang=en_US&amp;offset=0&amp;query=any,contains,991002083599702656","Catalog Record")</f>
        <v>Catalog Record</v>
      </c>
      <c r="AV2003" s="9" t="str">
        <f aca="false">HYPERLINK("http://www.worldcat.org/oclc/26723188","WorldCat Record")</f>
        <v>WorldCat Record</v>
      </c>
      <c r="AW2003" s="6" t="s">
        <v>17822</v>
      </c>
      <c r="AX2003" s="6" t="s">
        <v>17823</v>
      </c>
      <c r="AY2003" s="6" t="s">
        <v>17824</v>
      </c>
      <c r="AZ2003" s="6" t="s">
        <v>17824</v>
      </c>
      <c r="BA2003" s="6" t="s">
        <v>17825</v>
      </c>
      <c r="BB2003" s="6" t="s">
        <v>17826</v>
      </c>
      <c r="BC2003" s="6" t="s">
        <v>17827</v>
      </c>
      <c r="BE2003" s="15" t="s">
        <v>2145</v>
      </c>
      <c r="BF2003" s="6" t="s">
        <v>17828</v>
      </c>
    </row>
    <row r="2004" customFormat="false" ht="174.5" hidden="false" customHeight="false" outlineLevel="0" collapsed="false">
      <c r="A2004" s="26" t="s">
        <v>63</v>
      </c>
      <c r="B2004" s="27" t="s">
        <v>2129</v>
      </c>
      <c r="C2004" s="27" t="s">
        <v>2130</v>
      </c>
      <c r="D2004" s="27" t="s">
        <v>17829</v>
      </c>
      <c r="E2004" s="27" t="s">
        <v>17830</v>
      </c>
      <c r="F2004" s="27" t="s">
        <v>17831</v>
      </c>
      <c r="G2004" s="28"/>
      <c r="H2004" s="6" t="s">
        <v>63</v>
      </c>
      <c r="I2004" s="6" t="s">
        <v>62</v>
      </c>
      <c r="J2004" s="6" t="s">
        <v>63</v>
      </c>
      <c r="K2004" s="6" t="s">
        <v>63</v>
      </c>
      <c r="L2004" s="6" t="s">
        <v>64</v>
      </c>
      <c r="M2004" s="27" t="s">
        <v>12961</v>
      </c>
      <c r="N2004" s="27" t="s">
        <v>17832</v>
      </c>
      <c r="O2004" s="6" t="s">
        <v>4025</v>
      </c>
      <c r="P2004" s="28"/>
      <c r="Q2004" s="6" t="s">
        <v>67</v>
      </c>
      <c r="R2004" s="6" t="s">
        <v>222</v>
      </c>
      <c r="S2004" s="28"/>
      <c r="T2004" s="6" t="s">
        <v>6138</v>
      </c>
      <c r="U2004" s="7" t="n">
        <v>1</v>
      </c>
      <c r="V2004" s="7" t="n">
        <v>1</v>
      </c>
      <c r="W2004" s="8" t="s">
        <v>17833</v>
      </c>
      <c r="X2004" s="8" t="s">
        <v>17833</v>
      </c>
      <c r="Y2004" s="8" t="s">
        <v>17834</v>
      </c>
      <c r="Z2004" s="8" t="s">
        <v>17834</v>
      </c>
      <c r="AA2004" s="7" t="n">
        <v>536</v>
      </c>
      <c r="AB2004" s="7" t="n">
        <v>379</v>
      </c>
      <c r="AC2004" s="7" t="n">
        <v>1133</v>
      </c>
      <c r="AD2004" s="7" t="n">
        <v>5</v>
      </c>
      <c r="AE2004" s="7" t="n">
        <v>16</v>
      </c>
      <c r="AF2004" s="7" t="n">
        <v>31</v>
      </c>
      <c r="AG2004" s="7" t="n">
        <v>50</v>
      </c>
      <c r="AH2004" s="7" t="n">
        <v>9</v>
      </c>
      <c r="AI2004" s="7" t="n">
        <v>15</v>
      </c>
      <c r="AJ2004" s="7" t="n">
        <v>7</v>
      </c>
      <c r="AK2004" s="7" t="n">
        <v>8</v>
      </c>
      <c r="AL2004" s="7" t="n">
        <v>18</v>
      </c>
      <c r="AM2004" s="7" t="n">
        <v>19</v>
      </c>
      <c r="AN2004" s="7" t="n">
        <v>3</v>
      </c>
      <c r="AO2004" s="7" t="n">
        <v>13</v>
      </c>
      <c r="AP2004" s="7" t="n">
        <v>1</v>
      </c>
      <c r="AQ2004" s="7" t="n">
        <v>2</v>
      </c>
      <c r="AR2004" s="6" t="s">
        <v>63</v>
      </c>
      <c r="AS2004" s="6" t="s">
        <v>63</v>
      </c>
      <c r="AT2004" s="28"/>
      <c r="AU2004" s="9" t="str">
        <f aca="false">HYPERLINK("https://creighton-primo.hosted.exlibrisgroup.com/primo-explore/search?tab=default_tab&amp;search_scope=EVERYTHING&amp;vid=01CRU&amp;lang=en_US&amp;offset=0&amp;query=any,contains,991001779049702656","Catalog Record")</f>
        <v>Catalog Record</v>
      </c>
      <c r="AV2004" s="9" t="str">
        <f aca="false">HYPERLINK("http://www.worldcat.org/oclc/22451267","WorldCat Record")</f>
        <v>WorldCat Record</v>
      </c>
      <c r="AW2004" s="6" t="s">
        <v>17835</v>
      </c>
      <c r="AX2004" s="6" t="s">
        <v>17836</v>
      </c>
      <c r="AY2004" s="6" t="s">
        <v>17837</v>
      </c>
      <c r="AZ2004" s="6" t="s">
        <v>17837</v>
      </c>
      <c r="BA2004" s="6" t="s">
        <v>17838</v>
      </c>
      <c r="BB2004" s="6" t="s">
        <v>17839</v>
      </c>
      <c r="BC2004" s="6" t="s">
        <v>17840</v>
      </c>
      <c r="BE2004" s="15" t="s">
        <v>2145</v>
      </c>
      <c r="BF2004" s="6" t="s">
        <v>17841</v>
      </c>
    </row>
    <row r="2005" customFormat="false" ht="71" hidden="false" customHeight="false" outlineLevel="0" collapsed="false">
      <c r="A2005" s="26" t="s">
        <v>63</v>
      </c>
      <c r="B2005" s="27" t="s">
        <v>2129</v>
      </c>
      <c r="C2005" s="27" t="s">
        <v>2130</v>
      </c>
      <c r="D2005" s="27" t="s">
        <v>17842</v>
      </c>
      <c r="E2005" s="27" t="s">
        <v>17843</v>
      </c>
      <c r="F2005" s="27" t="s">
        <v>17844</v>
      </c>
      <c r="G2005" s="28"/>
      <c r="H2005" s="6" t="s">
        <v>63</v>
      </c>
      <c r="I2005" s="6" t="s">
        <v>62</v>
      </c>
      <c r="J2005" s="6" t="s">
        <v>63</v>
      </c>
      <c r="K2005" s="6" t="s">
        <v>63</v>
      </c>
      <c r="L2005" s="6" t="s">
        <v>64</v>
      </c>
      <c r="M2005" s="28"/>
      <c r="N2005" s="27" t="s">
        <v>17845</v>
      </c>
      <c r="O2005" s="6" t="s">
        <v>7428</v>
      </c>
      <c r="P2005" s="28"/>
      <c r="Q2005" s="6" t="s">
        <v>67</v>
      </c>
      <c r="R2005" s="6" t="s">
        <v>68</v>
      </c>
      <c r="S2005" s="27" t="s">
        <v>17846</v>
      </c>
      <c r="T2005" s="6" t="s">
        <v>6138</v>
      </c>
      <c r="U2005" s="7" t="n">
        <v>1</v>
      </c>
      <c r="V2005" s="7" t="n">
        <v>1</v>
      </c>
      <c r="W2005" s="8" t="s">
        <v>17847</v>
      </c>
      <c r="X2005" s="8" t="s">
        <v>17847</v>
      </c>
      <c r="Y2005" s="8" t="s">
        <v>17053</v>
      </c>
      <c r="Z2005" s="8" t="s">
        <v>17053</v>
      </c>
      <c r="AA2005" s="7" t="n">
        <v>540</v>
      </c>
      <c r="AB2005" s="7" t="n">
        <v>463</v>
      </c>
      <c r="AC2005" s="7" t="n">
        <v>493</v>
      </c>
      <c r="AD2005" s="7" t="n">
        <v>6</v>
      </c>
      <c r="AE2005" s="7" t="n">
        <v>6</v>
      </c>
      <c r="AF2005" s="7" t="n">
        <v>25</v>
      </c>
      <c r="AG2005" s="7" t="n">
        <v>25</v>
      </c>
      <c r="AH2005" s="7" t="n">
        <v>8</v>
      </c>
      <c r="AI2005" s="7" t="n">
        <v>8</v>
      </c>
      <c r="AJ2005" s="7" t="n">
        <v>7</v>
      </c>
      <c r="AK2005" s="7" t="n">
        <v>7</v>
      </c>
      <c r="AL2005" s="7" t="n">
        <v>13</v>
      </c>
      <c r="AM2005" s="7" t="n">
        <v>13</v>
      </c>
      <c r="AN2005" s="7" t="n">
        <v>4</v>
      </c>
      <c r="AO2005" s="7" t="n">
        <v>4</v>
      </c>
      <c r="AP2005" s="7" t="n">
        <v>0</v>
      </c>
      <c r="AQ2005" s="7" t="n">
        <v>0</v>
      </c>
      <c r="AR2005" s="6" t="s">
        <v>63</v>
      </c>
      <c r="AS2005" s="6" t="s">
        <v>57</v>
      </c>
      <c r="AT2005" s="9" t="str">
        <f aca="false">HYPERLINK("http://catalog.hathitrust.org/Record/000741036","HathiTrust Record")</f>
        <v>HathiTrust Record</v>
      </c>
      <c r="AU2005" s="9" t="str">
        <f aca="false">HYPERLINK("https://creighton-primo.hosted.exlibrisgroup.com/primo-explore/search?tab=default_tab&amp;search_scope=EVERYTHING&amp;vid=01CRU&amp;lang=en_US&amp;offset=0&amp;query=any,contains,991004085389702656","Catalog Record")</f>
        <v>Catalog Record</v>
      </c>
      <c r="AV2005" s="9" t="str">
        <f aca="false">HYPERLINK("http://www.worldcat.org/oclc/2331967","WorldCat Record")</f>
        <v>WorldCat Record</v>
      </c>
      <c r="AW2005" s="6" t="s">
        <v>17848</v>
      </c>
      <c r="AX2005" s="6" t="s">
        <v>17849</v>
      </c>
      <c r="AY2005" s="6" t="s">
        <v>17850</v>
      </c>
      <c r="AZ2005" s="6" t="s">
        <v>17850</v>
      </c>
      <c r="BA2005" s="6" t="s">
        <v>17851</v>
      </c>
      <c r="BB2005" s="6" t="s">
        <v>17852</v>
      </c>
      <c r="BC2005" s="6" t="s">
        <v>17853</v>
      </c>
      <c r="BE2005" s="15" t="s">
        <v>2145</v>
      </c>
      <c r="BF2005" s="6" t="s">
        <v>17854</v>
      </c>
    </row>
    <row r="2006" customFormat="false" ht="117" hidden="false" customHeight="false" outlineLevel="0" collapsed="false">
      <c r="A2006" s="26" t="s">
        <v>63</v>
      </c>
      <c r="B2006" s="27" t="s">
        <v>2129</v>
      </c>
      <c r="C2006" s="27" t="s">
        <v>2130</v>
      </c>
      <c r="D2006" s="27" t="s">
        <v>17855</v>
      </c>
      <c r="E2006" s="27" t="s">
        <v>17856</v>
      </c>
      <c r="F2006" s="27" t="s">
        <v>17857</v>
      </c>
      <c r="G2006" s="28"/>
      <c r="H2006" s="6" t="s">
        <v>63</v>
      </c>
      <c r="I2006" s="6" t="s">
        <v>62</v>
      </c>
      <c r="J2006" s="6" t="s">
        <v>63</v>
      </c>
      <c r="K2006" s="6" t="s">
        <v>63</v>
      </c>
      <c r="L2006" s="6" t="s">
        <v>64</v>
      </c>
      <c r="M2006" s="28"/>
      <c r="N2006" s="27" t="s">
        <v>17858</v>
      </c>
      <c r="O2006" s="6" t="s">
        <v>2893</v>
      </c>
      <c r="P2006" s="28"/>
      <c r="Q2006" s="6" t="s">
        <v>67</v>
      </c>
      <c r="R2006" s="6" t="s">
        <v>68</v>
      </c>
      <c r="S2006" s="27" t="s">
        <v>10523</v>
      </c>
      <c r="T2006" s="6" t="s">
        <v>6138</v>
      </c>
      <c r="U2006" s="7" t="n">
        <v>4</v>
      </c>
      <c r="V2006" s="7" t="n">
        <v>4</v>
      </c>
      <c r="W2006" s="8" t="s">
        <v>17859</v>
      </c>
      <c r="X2006" s="8" t="s">
        <v>17859</v>
      </c>
      <c r="Y2006" s="8" t="s">
        <v>17053</v>
      </c>
      <c r="Z2006" s="8" t="s">
        <v>17053</v>
      </c>
      <c r="AA2006" s="7" t="n">
        <v>383</v>
      </c>
      <c r="AB2006" s="7" t="n">
        <v>305</v>
      </c>
      <c r="AC2006" s="7" t="n">
        <v>314</v>
      </c>
      <c r="AD2006" s="7" t="n">
        <v>2</v>
      </c>
      <c r="AE2006" s="7" t="n">
        <v>2</v>
      </c>
      <c r="AF2006" s="7" t="n">
        <v>15</v>
      </c>
      <c r="AG2006" s="7" t="n">
        <v>15</v>
      </c>
      <c r="AH2006" s="7" t="n">
        <v>4</v>
      </c>
      <c r="AI2006" s="7" t="n">
        <v>4</v>
      </c>
      <c r="AJ2006" s="7" t="n">
        <v>5</v>
      </c>
      <c r="AK2006" s="7" t="n">
        <v>5</v>
      </c>
      <c r="AL2006" s="7" t="n">
        <v>9</v>
      </c>
      <c r="AM2006" s="7" t="n">
        <v>9</v>
      </c>
      <c r="AN2006" s="7" t="n">
        <v>1</v>
      </c>
      <c r="AO2006" s="7" t="n">
        <v>1</v>
      </c>
      <c r="AP2006" s="7" t="n">
        <v>0</v>
      </c>
      <c r="AQ2006" s="7" t="n">
        <v>0</v>
      </c>
      <c r="AR2006" s="6" t="s">
        <v>63</v>
      </c>
      <c r="AS2006" s="6" t="s">
        <v>63</v>
      </c>
      <c r="AT2006" s="28"/>
      <c r="AU2006" s="9" t="str">
        <f aca="false">HYPERLINK("https://creighton-primo.hosted.exlibrisgroup.com/primo-explore/search?tab=default_tab&amp;search_scope=EVERYTHING&amp;vid=01CRU&amp;lang=en_US&amp;offset=0&amp;query=any,contains,991003651999702656","Catalog Record")</f>
        <v>Catalog Record</v>
      </c>
      <c r="AV2006" s="9" t="str">
        <f aca="false">HYPERLINK("http://www.worldcat.org/oclc/1255991","WorldCat Record")</f>
        <v>WorldCat Record</v>
      </c>
      <c r="AW2006" s="6" t="s">
        <v>17860</v>
      </c>
      <c r="AX2006" s="6" t="s">
        <v>17861</v>
      </c>
      <c r="AY2006" s="6" t="s">
        <v>17862</v>
      </c>
      <c r="AZ2006" s="6" t="s">
        <v>17862</v>
      </c>
      <c r="BA2006" s="6" t="s">
        <v>17863</v>
      </c>
      <c r="BB2006" s="6" t="s">
        <v>17864</v>
      </c>
      <c r="BC2006" s="6" t="s">
        <v>17865</v>
      </c>
      <c r="BE2006" s="15" t="s">
        <v>2145</v>
      </c>
      <c r="BF2006" s="6" t="s">
        <v>17866</v>
      </c>
    </row>
    <row r="2007" customFormat="false" ht="128.5" hidden="false" customHeight="false" outlineLevel="0" collapsed="false">
      <c r="A2007" s="26" t="s">
        <v>63</v>
      </c>
      <c r="B2007" s="27" t="s">
        <v>2129</v>
      </c>
      <c r="C2007" s="27" t="s">
        <v>2130</v>
      </c>
      <c r="D2007" s="27" t="s">
        <v>17867</v>
      </c>
      <c r="E2007" s="27" t="s">
        <v>17868</v>
      </c>
      <c r="F2007" s="27" t="s">
        <v>17869</v>
      </c>
      <c r="G2007" s="28"/>
      <c r="H2007" s="6" t="s">
        <v>63</v>
      </c>
      <c r="I2007" s="6" t="s">
        <v>62</v>
      </c>
      <c r="J2007" s="6" t="s">
        <v>57</v>
      </c>
      <c r="K2007" s="6" t="s">
        <v>63</v>
      </c>
      <c r="L2007" s="6" t="s">
        <v>64</v>
      </c>
      <c r="M2007" s="28"/>
      <c r="N2007" s="27" t="s">
        <v>17870</v>
      </c>
      <c r="O2007" s="6" t="s">
        <v>246</v>
      </c>
      <c r="P2007" s="28"/>
      <c r="Q2007" s="6" t="s">
        <v>67</v>
      </c>
      <c r="R2007" s="6" t="s">
        <v>1108</v>
      </c>
      <c r="S2007" s="27" t="s">
        <v>17871</v>
      </c>
      <c r="T2007" s="6" t="s">
        <v>6138</v>
      </c>
      <c r="U2007" s="7" t="n">
        <v>1</v>
      </c>
      <c r="V2007" s="7" t="n">
        <v>1</v>
      </c>
      <c r="W2007" s="8" t="s">
        <v>17872</v>
      </c>
      <c r="X2007" s="8" t="s">
        <v>17872</v>
      </c>
      <c r="Y2007" s="8" t="s">
        <v>17053</v>
      </c>
      <c r="Z2007" s="8" t="s">
        <v>17053</v>
      </c>
      <c r="AA2007" s="7" t="n">
        <v>416</v>
      </c>
      <c r="AB2007" s="7" t="n">
        <v>351</v>
      </c>
      <c r="AC2007" s="7" t="n">
        <v>353</v>
      </c>
      <c r="AD2007" s="7" t="n">
        <v>3</v>
      </c>
      <c r="AE2007" s="7" t="n">
        <v>3</v>
      </c>
      <c r="AF2007" s="7" t="n">
        <v>21</v>
      </c>
      <c r="AG2007" s="7" t="n">
        <v>21</v>
      </c>
      <c r="AH2007" s="7" t="n">
        <v>8</v>
      </c>
      <c r="AI2007" s="7" t="n">
        <v>8</v>
      </c>
      <c r="AJ2007" s="7" t="n">
        <v>8</v>
      </c>
      <c r="AK2007" s="7" t="n">
        <v>8</v>
      </c>
      <c r="AL2007" s="7" t="n">
        <v>11</v>
      </c>
      <c r="AM2007" s="7" t="n">
        <v>11</v>
      </c>
      <c r="AN2007" s="7" t="n">
        <v>2</v>
      </c>
      <c r="AO2007" s="7" t="n">
        <v>2</v>
      </c>
      <c r="AP2007" s="7" t="n">
        <v>0</v>
      </c>
      <c r="AQ2007" s="7" t="n">
        <v>0</v>
      </c>
      <c r="AR2007" s="6" t="s">
        <v>63</v>
      </c>
      <c r="AS2007" s="6" t="s">
        <v>57</v>
      </c>
      <c r="AT2007" s="9" t="str">
        <f aca="false">HYPERLINK("http://catalog.hathitrust.org/Record/000703241","HathiTrust Record")</f>
        <v>HathiTrust Record</v>
      </c>
      <c r="AU2007" s="9" t="str">
        <f aca="false">HYPERLINK("https://creighton-primo.hosted.exlibrisgroup.com/primo-explore/search?tab=default_tab&amp;search_scope=EVERYTHING&amp;vid=01CRU&amp;lang=en_US&amp;offset=0&amp;query=any,contains,991004735609702656","Catalog Record")</f>
        <v>Catalog Record</v>
      </c>
      <c r="AV2007" s="9" t="str">
        <f aca="false">HYPERLINK("http://www.worldcat.org/oclc/4857463","WorldCat Record")</f>
        <v>WorldCat Record</v>
      </c>
      <c r="AW2007" s="6" t="s">
        <v>17873</v>
      </c>
      <c r="AX2007" s="6" t="s">
        <v>17874</v>
      </c>
      <c r="AY2007" s="6" t="s">
        <v>17875</v>
      </c>
      <c r="AZ2007" s="6" t="s">
        <v>17875</v>
      </c>
      <c r="BA2007" s="6" t="s">
        <v>17876</v>
      </c>
      <c r="BB2007" s="6" t="s">
        <v>17877</v>
      </c>
      <c r="BC2007" s="6" t="s">
        <v>17878</v>
      </c>
      <c r="BE2007" s="15" t="s">
        <v>2145</v>
      </c>
      <c r="BF2007" s="6" t="s">
        <v>17879</v>
      </c>
    </row>
    <row r="2008" customFormat="false" ht="128.5" hidden="false" customHeight="false" outlineLevel="0" collapsed="false">
      <c r="A2008" s="26" t="s">
        <v>63</v>
      </c>
      <c r="B2008" s="27" t="s">
        <v>2129</v>
      </c>
      <c r="C2008" s="27" t="s">
        <v>2130</v>
      </c>
      <c r="D2008" s="27" t="s">
        <v>17880</v>
      </c>
      <c r="E2008" s="27" t="s">
        <v>17881</v>
      </c>
      <c r="F2008" s="27" t="s">
        <v>17869</v>
      </c>
      <c r="G2008" s="28"/>
      <c r="H2008" s="6" t="s">
        <v>63</v>
      </c>
      <c r="I2008" s="6" t="s">
        <v>62</v>
      </c>
      <c r="J2008" s="6" t="s">
        <v>57</v>
      </c>
      <c r="K2008" s="6" t="s">
        <v>63</v>
      </c>
      <c r="L2008" s="6" t="s">
        <v>64</v>
      </c>
      <c r="M2008" s="28"/>
      <c r="N2008" s="27" t="s">
        <v>17870</v>
      </c>
      <c r="O2008" s="6" t="s">
        <v>246</v>
      </c>
      <c r="P2008" s="28"/>
      <c r="Q2008" s="6" t="s">
        <v>67</v>
      </c>
      <c r="R2008" s="6" t="s">
        <v>1108</v>
      </c>
      <c r="S2008" s="27" t="s">
        <v>17871</v>
      </c>
      <c r="T2008" s="6" t="s">
        <v>6138</v>
      </c>
      <c r="U2008" s="7" t="n">
        <v>0</v>
      </c>
      <c r="V2008" s="7" t="n">
        <v>1</v>
      </c>
      <c r="W2008" s="28"/>
      <c r="X2008" s="8" t="s">
        <v>17872</v>
      </c>
      <c r="Y2008" s="8" t="s">
        <v>17053</v>
      </c>
      <c r="Z2008" s="8" t="s">
        <v>17053</v>
      </c>
      <c r="AA2008" s="7" t="n">
        <v>416</v>
      </c>
      <c r="AB2008" s="7" t="n">
        <v>351</v>
      </c>
      <c r="AC2008" s="7" t="n">
        <v>353</v>
      </c>
      <c r="AD2008" s="7" t="n">
        <v>3</v>
      </c>
      <c r="AE2008" s="7" t="n">
        <v>3</v>
      </c>
      <c r="AF2008" s="7" t="n">
        <v>21</v>
      </c>
      <c r="AG2008" s="7" t="n">
        <v>21</v>
      </c>
      <c r="AH2008" s="7" t="n">
        <v>8</v>
      </c>
      <c r="AI2008" s="7" t="n">
        <v>8</v>
      </c>
      <c r="AJ2008" s="7" t="n">
        <v>8</v>
      </c>
      <c r="AK2008" s="7" t="n">
        <v>8</v>
      </c>
      <c r="AL2008" s="7" t="n">
        <v>11</v>
      </c>
      <c r="AM2008" s="7" t="n">
        <v>11</v>
      </c>
      <c r="AN2008" s="7" t="n">
        <v>2</v>
      </c>
      <c r="AO2008" s="7" t="n">
        <v>2</v>
      </c>
      <c r="AP2008" s="7" t="n">
        <v>0</v>
      </c>
      <c r="AQ2008" s="7" t="n">
        <v>0</v>
      </c>
      <c r="AR2008" s="6" t="s">
        <v>63</v>
      </c>
      <c r="AS2008" s="6" t="s">
        <v>57</v>
      </c>
      <c r="AT2008" s="9" t="str">
        <f aca="false">HYPERLINK("http://catalog.hathitrust.org/Record/000703241","HathiTrust Record")</f>
        <v>HathiTrust Record</v>
      </c>
      <c r="AU2008" s="9" t="str">
        <f aca="false">HYPERLINK("https://creighton-primo.hosted.exlibrisgroup.com/primo-explore/search?tab=default_tab&amp;search_scope=EVERYTHING&amp;vid=01CRU&amp;lang=en_US&amp;offset=0&amp;query=any,contains,991004735609702656","Catalog Record")</f>
        <v>Catalog Record</v>
      </c>
      <c r="AV2008" s="9" t="str">
        <f aca="false">HYPERLINK("http://www.worldcat.org/oclc/4857463","WorldCat Record")</f>
        <v>WorldCat Record</v>
      </c>
      <c r="AW2008" s="6" t="s">
        <v>17873</v>
      </c>
      <c r="AX2008" s="6" t="s">
        <v>17874</v>
      </c>
      <c r="AY2008" s="6" t="s">
        <v>17875</v>
      </c>
      <c r="AZ2008" s="6" t="s">
        <v>17875</v>
      </c>
      <c r="BA2008" s="6" t="s">
        <v>17876</v>
      </c>
      <c r="BB2008" s="6" t="s">
        <v>17877</v>
      </c>
      <c r="BC2008" s="6" t="s">
        <v>17882</v>
      </c>
      <c r="BE2008" s="15" t="s">
        <v>2145</v>
      </c>
      <c r="BF2008" s="6" t="s">
        <v>17883</v>
      </c>
    </row>
    <row r="2009" customFormat="false" ht="128.5" hidden="false" customHeight="false" outlineLevel="0" collapsed="false">
      <c r="A2009" s="26" t="s">
        <v>63</v>
      </c>
      <c r="B2009" s="27" t="s">
        <v>2129</v>
      </c>
      <c r="C2009" s="27" t="s">
        <v>2130</v>
      </c>
      <c r="D2009" s="27" t="s">
        <v>17884</v>
      </c>
      <c r="E2009" s="27" t="s">
        <v>17885</v>
      </c>
      <c r="F2009" s="27" t="s">
        <v>17869</v>
      </c>
      <c r="G2009" s="28"/>
      <c r="H2009" s="6" t="s">
        <v>63</v>
      </c>
      <c r="I2009" s="6" t="s">
        <v>62</v>
      </c>
      <c r="J2009" s="6" t="s">
        <v>57</v>
      </c>
      <c r="K2009" s="6" t="s">
        <v>63</v>
      </c>
      <c r="L2009" s="6" t="s">
        <v>64</v>
      </c>
      <c r="M2009" s="28"/>
      <c r="N2009" s="27" t="s">
        <v>17870</v>
      </c>
      <c r="O2009" s="6" t="s">
        <v>246</v>
      </c>
      <c r="P2009" s="28"/>
      <c r="Q2009" s="6" t="s">
        <v>67</v>
      </c>
      <c r="R2009" s="6" t="s">
        <v>1108</v>
      </c>
      <c r="S2009" s="27" t="s">
        <v>17871</v>
      </c>
      <c r="T2009" s="6" t="s">
        <v>6138</v>
      </c>
      <c r="U2009" s="7" t="n">
        <v>0</v>
      </c>
      <c r="V2009" s="7" t="n">
        <v>1</v>
      </c>
      <c r="W2009" s="28"/>
      <c r="X2009" s="8" t="s">
        <v>17872</v>
      </c>
      <c r="Y2009" s="8" t="s">
        <v>17053</v>
      </c>
      <c r="Z2009" s="8" t="s">
        <v>17053</v>
      </c>
      <c r="AA2009" s="7" t="n">
        <v>416</v>
      </c>
      <c r="AB2009" s="7" t="n">
        <v>351</v>
      </c>
      <c r="AC2009" s="7" t="n">
        <v>353</v>
      </c>
      <c r="AD2009" s="7" t="n">
        <v>3</v>
      </c>
      <c r="AE2009" s="7" t="n">
        <v>3</v>
      </c>
      <c r="AF2009" s="7" t="n">
        <v>21</v>
      </c>
      <c r="AG2009" s="7" t="n">
        <v>21</v>
      </c>
      <c r="AH2009" s="7" t="n">
        <v>8</v>
      </c>
      <c r="AI2009" s="7" t="n">
        <v>8</v>
      </c>
      <c r="AJ2009" s="7" t="n">
        <v>8</v>
      </c>
      <c r="AK2009" s="7" t="n">
        <v>8</v>
      </c>
      <c r="AL2009" s="7" t="n">
        <v>11</v>
      </c>
      <c r="AM2009" s="7" t="n">
        <v>11</v>
      </c>
      <c r="AN2009" s="7" t="n">
        <v>2</v>
      </c>
      <c r="AO2009" s="7" t="n">
        <v>2</v>
      </c>
      <c r="AP2009" s="7" t="n">
        <v>0</v>
      </c>
      <c r="AQ2009" s="7" t="n">
        <v>0</v>
      </c>
      <c r="AR2009" s="6" t="s">
        <v>63</v>
      </c>
      <c r="AS2009" s="6" t="s">
        <v>57</v>
      </c>
      <c r="AT2009" s="9" t="str">
        <f aca="false">HYPERLINK("http://catalog.hathitrust.org/Record/000703241","HathiTrust Record")</f>
        <v>HathiTrust Record</v>
      </c>
      <c r="AU2009" s="9" t="str">
        <f aca="false">HYPERLINK("https://creighton-primo.hosted.exlibrisgroup.com/primo-explore/search?tab=default_tab&amp;search_scope=EVERYTHING&amp;vid=01CRU&amp;lang=en_US&amp;offset=0&amp;query=any,contains,991004735609702656","Catalog Record")</f>
        <v>Catalog Record</v>
      </c>
      <c r="AV2009" s="9" t="str">
        <f aca="false">HYPERLINK("http://www.worldcat.org/oclc/4857463","WorldCat Record")</f>
        <v>WorldCat Record</v>
      </c>
      <c r="AW2009" s="6" t="s">
        <v>17873</v>
      </c>
      <c r="AX2009" s="6" t="s">
        <v>17874</v>
      </c>
      <c r="AY2009" s="6" t="s">
        <v>17875</v>
      </c>
      <c r="AZ2009" s="6" t="s">
        <v>17875</v>
      </c>
      <c r="BA2009" s="6" t="s">
        <v>17876</v>
      </c>
      <c r="BB2009" s="6" t="s">
        <v>17877</v>
      </c>
      <c r="BC2009" s="6" t="s">
        <v>17886</v>
      </c>
      <c r="BE2009" s="15" t="s">
        <v>2145</v>
      </c>
      <c r="BF2009" s="6" t="s">
        <v>17887</v>
      </c>
    </row>
    <row r="2010" customFormat="false" ht="94" hidden="false" customHeight="false" outlineLevel="0" collapsed="false">
      <c r="A2010" s="26" t="s">
        <v>63</v>
      </c>
      <c r="B2010" s="27" t="s">
        <v>2129</v>
      </c>
      <c r="C2010" s="27" t="s">
        <v>2130</v>
      </c>
      <c r="D2010" s="27" t="s">
        <v>17888</v>
      </c>
      <c r="E2010" s="27" t="s">
        <v>17889</v>
      </c>
      <c r="F2010" s="27" t="s">
        <v>17890</v>
      </c>
      <c r="G2010" s="28"/>
      <c r="H2010" s="6" t="s">
        <v>63</v>
      </c>
      <c r="I2010" s="6" t="s">
        <v>62</v>
      </c>
      <c r="J2010" s="6" t="s">
        <v>63</v>
      </c>
      <c r="K2010" s="6" t="s">
        <v>63</v>
      </c>
      <c r="L2010" s="6" t="s">
        <v>64</v>
      </c>
      <c r="M2010" s="27" t="s">
        <v>17891</v>
      </c>
      <c r="N2010" s="27" t="s">
        <v>14736</v>
      </c>
      <c r="O2010" s="6" t="s">
        <v>2467</v>
      </c>
      <c r="P2010" s="28"/>
      <c r="Q2010" s="6" t="s">
        <v>67</v>
      </c>
      <c r="R2010" s="6" t="s">
        <v>14737</v>
      </c>
      <c r="S2010" s="28"/>
      <c r="T2010" s="6" t="s">
        <v>6138</v>
      </c>
      <c r="U2010" s="7" t="n">
        <v>4</v>
      </c>
      <c r="V2010" s="7" t="n">
        <v>4</v>
      </c>
      <c r="W2010" s="8" t="s">
        <v>17892</v>
      </c>
      <c r="X2010" s="8" t="s">
        <v>17892</v>
      </c>
      <c r="Y2010" s="8" t="s">
        <v>17053</v>
      </c>
      <c r="Z2010" s="8" t="s">
        <v>17053</v>
      </c>
      <c r="AA2010" s="7" t="n">
        <v>445</v>
      </c>
      <c r="AB2010" s="7" t="n">
        <v>340</v>
      </c>
      <c r="AC2010" s="7" t="n">
        <v>342</v>
      </c>
      <c r="AD2010" s="7" t="n">
        <v>3</v>
      </c>
      <c r="AE2010" s="7" t="n">
        <v>3</v>
      </c>
      <c r="AF2010" s="7" t="n">
        <v>19</v>
      </c>
      <c r="AG2010" s="7" t="n">
        <v>19</v>
      </c>
      <c r="AH2010" s="7" t="n">
        <v>6</v>
      </c>
      <c r="AI2010" s="7" t="n">
        <v>6</v>
      </c>
      <c r="AJ2010" s="7" t="n">
        <v>4</v>
      </c>
      <c r="AK2010" s="7" t="n">
        <v>4</v>
      </c>
      <c r="AL2010" s="7" t="n">
        <v>14</v>
      </c>
      <c r="AM2010" s="7" t="n">
        <v>14</v>
      </c>
      <c r="AN2010" s="7" t="n">
        <v>2</v>
      </c>
      <c r="AO2010" s="7" t="n">
        <v>2</v>
      </c>
      <c r="AP2010" s="7" t="n">
        <v>0</v>
      </c>
      <c r="AQ2010" s="7" t="n">
        <v>0</v>
      </c>
      <c r="AR2010" s="6" t="s">
        <v>63</v>
      </c>
      <c r="AS2010" s="6" t="s">
        <v>57</v>
      </c>
      <c r="AT2010" s="9" t="str">
        <f aca="false">HYPERLINK("http://catalog.hathitrust.org/Record/001178530","HathiTrust Record")</f>
        <v>HathiTrust Record</v>
      </c>
      <c r="AU2010" s="9" t="str">
        <f aca="false">HYPERLINK("https://creighton-primo.hosted.exlibrisgroup.com/primo-explore/search?tab=default_tab&amp;search_scope=EVERYTHING&amp;vid=01CRU&amp;lang=en_US&amp;offset=0&amp;query=any,contains,991003440299702656","Catalog Record")</f>
        <v>Catalog Record</v>
      </c>
      <c r="AV2010" s="9" t="str">
        <f aca="false">HYPERLINK("http://www.worldcat.org/oclc/976549","WorldCat Record")</f>
        <v>WorldCat Record</v>
      </c>
      <c r="AW2010" s="6" t="s">
        <v>17893</v>
      </c>
      <c r="AX2010" s="6" t="s">
        <v>17894</v>
      </c>
      <c r="AY2010" s="6" t="s">
        <v>17895</v>
      </c>
      <c r="AZ2010" s="6" t="s">
        <v>17895</v>
      </c>
      <c r="BA2010" s="6" t="s">
        <v>17896</v>
      </c>
      <c r="BB2010" s="28"/>
      <c r="BC2010" s="6" t="s">
        <v>17897</v>
      </c>
      <c r="BE2010" s="15" t="s">
        <v>2145</v>
      </c>
      <c r="BF2010" s="6" t="s">
        <v>17898</v>
      </c>
    </row>
    <row r="2011" customFormat="false" ht="94" hidden="false" customHeight="false" outlineLevel="0" collapsed="false">
      <c r="A2011" s="26" t="s">
        <v>63</v>
      </c>
      <c r="B2011" s="27" t="s">
        <v>2129</v>
      </c>
      <c r="C2011" s="27" t="s">
        <v>2130</v>
      </c>
      <c r="D2011" s="27" t="s">
        <v>17899</v>
      </c>
      <c r="E2011" s="27" t="s">
        <v>17900</v>
      </c>
      <c r="F2011" s="27" t="s">
        <v>17901</v>
      </c>
      <c r="G2011" s="28"/>
      <c r="H2011" s="6" t="s">
        <v>63</v>
      </c>
      <c r="I2011" s="6" t="s">
        <v>62</v>
      </c>
      <c r="J2011" s="6" t="s">
        <v>63</v>
      </c>
      <c r="K2011" s="6" t="s">
        <v>63</v>
      </c>
      <c r="L2011" s="6" t="s">
        <v>64</v>
      </c>
      <c r="M2011" s="27" t="s">
        <v>16762</v>
      </c>
      <c r="N2011" s="27" t="s">
        <v>17902</v>
      </c>
      <c r="O2011" s="6" t="s">
        <v>2975</v>
      </c>
      <c r="P2011" s="27" t="s">
        <v>5054</v>
      </c>
      <c r="Q2011" s="6" t="s">
        <v>67</v>
      </c>
      <c r="R2011" s="6" t="s">
        <v>9799</v>
      </c>
      <c r="S2011" s="28"/>
      <c r="T2011" s="6" t="s">
        <v>6138</v>
      </c>
      <c r="U2011" s="7" t="n">
        <v>2</v>
      </c>
      <c r="V2011" s="7" t="n">
        <v>2</v>
      </c>
      <c r="W2011" s="8" t="s">
        <v>17903</v>
      </c>
      <c r="X2011" s="8" t="s">
        <v>17903</v>
      </c>
      <c r="Y2011" s="8" t="s">
        <v>17053</v>
      </c>
      <c r="Z2011" s="8" t="s">
        <v>17053</v>
      </c>
      <c r="AA2011" s="7" t="n">
        <v>545</v>
      </c>
      <c r="AB2011" s="7" t="n">
        <v>505</v>
      </c>
      <c r="AC2011" s="7" t="n">
        <v>581</v>
      </c>
      <c r="AD2011" s="7" t="n">
        <v>5</v>
      </c>
      <c r="AE2011" s="7" t="n">
        <v>5</v>
      </c>
      <c r="AF2011" s="7" t="n">
        <v>24</v>
      </c>
      <c r="AG2011" s="7" t="n">
        <v>28</v>
      </c>
      <c r="AH2011" s="7" t="n">
        <v>6</v>
      </c>
      <c r="AI2011" s="7" t="n">
        <v>8</v>
      </c>
      <c r="AJ2011" s="7" t="n">
        <v>5</v>
      </c>
      <c r="AK2011" s="7" t="n">
        <v>7</v>
      </c>
      <c r="AL2011" s="7" t="n">
        <v>13</v>
      </c>
      <c r="AM2011" s="7" t="n">
        <v>15</v>
      </c>
      <c r="AN2011" s="7" t="n">
        <v>4</v>
      </c>
      <c r="AO2011" s="7" t="n">
        <v>4</v>
      </c>
      <c r="AP2011" s="7" t="n">
        <v>0</v>
      </c>
      <c r="AQ2011" s="7" t="n">
        <v>0</v>
      </c>
      <c r="AR2011" s="6" t="s">
        <v>63</v>
      </c>
      <c r="AS2011" s="6" t="s">
        <v>57</v>
      </c>
      <c r="AT2011" s="9" t="str">
        <f aca="false">HYPERLINK("http://catalog.hathitrust.org/Record/001914730","HathiTrust Record")</f>
        <v>HathiTrust Record</v>
      </c>
      <c r="AU2011" s="9" t="str">
        <f aca="false">HYPERLINK("https://creighton-primo.hosted.exlibrisgroup.com/primo-explore/search?tab=default_tab&amp;search_scope=EVERYTHING&amp;vid=01CRU&amp;lang=en_US&amp;offset=0&amp;query=any,contains,991000147609702656","Catalog Record")</f>
        <v>Catalog Record</v>
      </c>
      <c r="AV2011" s="9" t="str">
        <f aca="false">HYPERLINK("http://www.worldcat.org/oclc/59277","WorldCat Record")</f>
        <v>WorldCat Record</v>
      </c>
      <c r="AW2011" s="6" t="s">
        <v>17904</v>
      </c>
      <c r="AX2011" s="6" t="s">
        <v>17905</v>
      </c>
      <c r="AY2011" s="6" t="s">
        <v>17906</v>
      </c>
      <c r="AZ2011" s="6" t="s">
        <v>17906</v>
      </c>
      <c r="BA2011" s="6" t="s">
        <v>17907</v>
      </c>
      <c r="BB2011" s="6" t="s">
        <v>17908</v>
      </c>
      <c r="BC2011" s="6" t="s">
        <v>17909</v>
      </c>
      <c r="BE2011" s="15" t="s">
        <v>2145</v>
      </c>
      <c r="BF2011" s="6" t="s">
        <v>17910</v>
      </c>
    </row>
    <row r="2012" customFormat="false" ht="151.5" hidden="false" customHeight="false" outlineLevel="0" collapsed="false">
      <c r="A2012" s="26" t="s">
        <v>57</v>
      </c>
      <c r="B2012" s="27" t="s">
        <v>2129</v>
      </c>
      <c r="C2012" s="27" t="s">
        <v>2130</v>
      </c>
      <c r="D2012" s="27" t="s">
        <v>17911</v>
      </c>
      <c r="E2012" s="27" t="s">
        <v>17912</v>
      </c>
      <c r="F2012" s="27" t="s">
        <v>17913</v>
      </c>
      <c r="G2012" s="28"/>
      <c r="H2012" s="6" t="s">
        <v>63</v>
      </c>
      <c r="I2012" s="6" t="s">
        <v>62</v>
      </c>
      <c r="J2012" s="6" t="s">
        <v>63</v>
      </c>
      <c r="K2012" s="6" t="s">
        <v>63</v>
      </c>
      <c r="L2012" s="6" t="s">
        <v>64</v>
      </c>
      <c r="M2012" s="27" t="s">
        <v>17914</v>
      </c>
      <c r="N2012" s="27" t="s">
        <v>17915</v>
      </c>
      <c r="O2012" s="6" t="s">
        <v>3301</v>
      </c>
      <c r="P2012" s="28"/>
      <c r="Q2012" s="6" t="s">
        <v>67</v>
      </c>
      <c r="R2012" s="6" t="s">
        <v>272</v>
      </c>
      <c r="S2012" s="28"/>
      <c r="T2012" s="6" t="s">
        <v>6138</v>
      </c>
      <c r="U2012" s="7" t="n">
        <v>2</v>
      </c>
      <c r="V2012" s="7" t="n">
        <v>2</v>
      </c>
      <c r="W2012" s="8" t="s">
        <v>17916</v>
      </c>
      <c r="X2012" s="8" t="s">
        <v>17916</v>
      </c>
      <c r="Y2012" s="8" t="s">
        <v>17053</v>
      </c>
      <c r="Z2012" s="8" t="s">
        <v>17053</v>
      </c>
      <c r="AA2012" s="7" t="n">
        <v>696</v>
      </c>
      <c r="AB2012" s="7" t="n">
        <v>551</v>
      </c>
      <c r="AC2012" s="7" t="n">
        <v>587</v>
      </c>
      <c r="AD2012" s="7" t="n">
        <v>4</v>
      </c>
      <c r="AE2012" s="7" t="n">
        <v>4</v>
      </c>
      <c r="AF2012" s="7" t="n">
        <v>34</v>
      </c>
      <c r="AG2012" s="7" t="n">
        <v>34</v>
      </c>
      <c r="AH2012" s="7" t="n">
        <v>15</v>
      </c>
      <c r="AI2012" s="7" t="n">
        <v>15</v>
      </c>
      <c r="AJ2012" s="7" t="n">
        <v>8</v>
      </c>
      <c r="AK2012" s="7" t="n">
        <v>8</v>
      </c>
      <c r="AL2012" s="7" t="n">
        <v>20</v>
      </c>
      <c r="AM2012" s="7" t="n">
        <v>20</v>
      </c>
      <c r="AN2012" s="7" t="n">
        <v>3</v>
      </c>
      <c r="AO2012" s="7" t="n">
        <v>3</v>
      </c>
      <c r="AP2012" s="7" t="n">
        <v>0</v>
      </c>
      <c r="AQ2012" s="7" t="n">
        <v>0</v>
      </c>
      <c r="AR2012" s="6" t="s">
        <v>63</v>
      </c>
      <c r="AS2012" s="6" t="s">
        <v>63</v>
      </c>
      <c r="AT2012" s="28"/>
      <c r="AU2012" s="9" t="str">
        <f aca="false">HYPERLINK("https://creighton-primo.hosted.exlibrisgroup.com/primo-explore/search?tab=default_tab&amp;search_scope=EVERYTHING&amp;vid=01CRU&amp;lang=en_US&amp;offset=0&amp;query=any,contains,991005205639702656","Catalog Record")</f>
        <v>Catalog Record</v>
      </c>
      <c r="AV2012" s="9" t="str">
        <f aca="false">HYPERLINK("http://www.worldcat.org/oclc/8114347","WorldCat Record")</f>
        <v>WorldCat Record</v>
      </c>
      <c r="AW2012" s="6" t="s">
        <v>17917</v>
      </c>
      <c r="AX2012" s="6" t="s">
        <v>17918</v>
      </c>
      <c r="AY2012" s="6" t="s">
        <v>17919</v>
      </c>
      <c r="AZ2012" s="6" t="s">
        <v>17919</v>
      </c>
      <c r="BA2012" s="6" t="s">
        <v>17920</v>
      </c>
      <c r="BB2012" s="6" t="s">
        <v>17921</v>
      </c>
      <c r="BC2012" s="6" t="s">
        <v>17922</v>
      </c>
      <c r="BE2012" s="15" t="s">
        <v>2145</v>
      </c>
      <c r="BF2012" s="6" t="s">
        <v>17923</v>
      </c>
    </row>
    <row r="2013" customFormat="false" ht="266.5" hidden="false" customHeight="false" outlineLevel="0" collapsed="false">
      <c r="A2013" s="26" t="s">
        <v>63</v>
      </c>
      <c r="B2013" s="27" t="s">
        <v>2129</v>
      </c>
      <c r="C2013" s="27" t="s">
        <v>2130</v>
      </c>
      <c r="D2013" s="27" t="s">
        <v>17924</v>
      </c>
      <c r="E2013" s="27" t="s">
        <v>17925</v>
      </c>
      <c r="F2013" s="27" t="s">
        <v>17926</v>
      </c>
      <c r="G2013" s="28"/>
      <c r="H2013" s="6" t="s">
        <v>63</v>
      </c>
      <c r="I2013" s="6" t="s">
        <v>62</v>
      </c>
      <c r="J2013" s="6" t="s">
        <v>63</v>
      </c>
      <c r="K2013" s="6" t="s">
        <v>63</v>
      </c>
      <c r="L2013" s="6" t="s">
        <v>64</v>
      </c>
      <c r="M2013" s="27" t="s">
        <v>17927</v>
      </c>
      <c r="N2013" s="27" t="s">
        <v>17928</v>
      </c>
      <c r="O2013" s="6" t="s">
        <v>3405</v>
      </c>
      <c r="P2013" s="28"/>
      <c r="Q2013" s="6" t="s">
        <v>67</v>
      </c>
      <c r="R2013" s="6" t="s">
        <v>68</v>
      </c>
      <c r="S2013" s="28"/>
      <c r="T2013" s="6" t="s">
        <v>6138</v>
      </c>
      <c r="U2013" s="7" t="n">
        <v>2</v>
      </c>
      <c r="V2013" s="7" t="n">
        <v>2</v>
      </c>
      <c r="W2013" s="8" t="s">
        <v>17929</v>
      </c>
      <c r="X2013" s="8" t="s">
        <v>17929</v>
      </c>
      <c r="Y2013" s="8" t="s">
        <v>17053</v>
      </c>
      <c r="Z2013" s="8" t="s">
        <v>17053</v>
      </c>
      <c r="AA2013" s="7" t="n">
        <v>252</v>
      </c>
      <c r="AB2013" s="7" t="n">
        <v>236</v>
      </c>
      <c r="AC2013" s="7" t="n">
        <v>238</v>
      </c>
      <c r="AD2013" s="7" t="n">
        <v>1</v>
      </c>
      <c r="AE2013" s="7" t="n">
        <v>1</v>
      </c>
      <c r="AF2013" s="7" t="n">
        <v>28</v>
      </c>
      <c r="AG2013" s="7" t="n">
        <v>28</v>
      </c>
      <c r="AH2013" s="7" t="n">
        <v>11</v>
      </c>
      <c r="AI2013" s="7" t="n">
        <v>11</v>
      </c>
      <c r="AJ2013" s="7" t="n">
        <v>7</v>
      </c>
      <c r="AK2013" s="7" t="n">
        <v>7</v>
      </c>
      <c r="AL2013" s="7" t="n">
        <v>21</v>
      </c>
      <c r="AM2013" s="7" t="n">
        <v>21</v>
      </c>
      <c r="AN2013" s="7" t="n">
        <v>0</v>
      </c>
      <c r="AO2013" s="7" t="n">
        <v>0</v>
      </c>
      <c r="AP2013" s="7" t="n">
        <v>0</v>
      </c>
      <c r="AQ2013" s="7" t="n">
        <v>0</v>
      </c>
      <c r="AR2013" s="6" t="s">
        <v>63</v>
      </c>
      <c r="AS2013" s="6" t="s">
        <v>63</v>
      </c>
      <c r="AT2013" s="9" t="str">
        <f aca="false">HYPERLINK("http://catalog.hathitrust.org/Record/001382272","HathiTrust Record")</f>
        <v>HathiTrust Record</v>
      </c>
      <c r="AU2013" s="9" t="str">
        <f aca="false">HYPERLINK("https://creighton-primo.hosted.exlibrisgroup.com/primo-explore/search?tab=default_tab&amp;search_scope=EVERYTHING&amp;vid=01CRU&amp;lang=en_US&amp;offset=0&amp;query=any,contains,991004490219702656","Catalog Record")</f>
        <v>Catalog Record</v>
      </c>
      <c r="AV2013" s="9" t="str">
        <f aca="false">HYPERLINK("http://www.worldcat.org/oclc/3656849","WorldCat Record")</f>
        <v>WorldCat Record</v>
      </c>
      <c r="AW2013" s="6" t="s">
        <v>17930</v>
      </c>
      <c r="AX2013" s="6" t="s">
        <v>17931</v>
      </c>
      <c r="AY2013" s="6" t="s">
        <v>17932</v>
      </c>
      <c r="AZ2013" s="6" t="s">
        <v>17932</v>
      </c>
      <c r="BA2013" s="6" t="s">
        <v>17933</v>
      </c>
      <c r="BB2013" s="28"/>
      <c r="BC2013" s="6" t="s">
        <v>17934</v>
      </c>
      <c r="BE2013" s="15" t="s">
        <v>2145</v>
      </c>
      <c r="BF2013" s="6" t="s">
        <v>17935</v>
      </c>
    </row>
    <row r="2014" customFormat="false" ht="220.5" hidden="false" customHeight="false" outlineLevel="0" collapsed="false">
      <c r="A2014" s="26" t="s">
        <v>63</v>
      </c>
      <c r="B2014" s="27" t="s">
        <v>2129</v>
      </c>
      <c r="C2014" s="27" t="s">
        <v>2130</v>
      </c>
      <c r="D2014" s="27" t="s">
        <v>17936</v>
      </c>
      <c r="E2014" s="27" t="s">
        <v>17937</v>
      </c>
      <c r="F2014" s="27" t="s">
        <v>17938</v>
      </c>
      <c r="G2014" s="28"/>
      <c r="H2014" s="6" t="s">
        <v>63</v>
      </c>
      <c r="I2014" s="6" t="s">
        <v>62</v>
      </c>
      <c r="J2014" s="6" t="s">
        <v>63</v>
      </c>
      <c r="K2014" s="6" t="s">
        <v>63</v>
      </c>
      <c r="L2014" s="6" t="s">
        <v>64</v>
      </c>
      <c r="M2014" s="27" t="s">
        <v>17939</v>
      </c>
      <c r="N2014" s="27" t="s">
        <v>17940</v>
      </c>
      <c r="O2014" s="6" t="s">
        <v>3919</v>
      </c>
      <c r="P2014" s="28"/>
      <c r="Q2014" s="6" t="s">
        <v>67</v>
      </c>
      <c r="R2014" s="6" t="s">
        <v>68</v>
      </c>
      <c r="S2014" s="28"/>
      <c r="T2014" s="6" t="s">
        <v>6138</v>
      </c>
      <c r="U2014" s="7" t="n">
        <v>3</v>
      </c>
      <c r="V2014" s="7" t="n">
        <v>3</v>
      </c>
      <c r="W2014" s="8" t="s">
        <v>15811</v>
      </c>
      <c r="X2014" s="8" t="s">
        <v>15811</v>
      </c>
      <c r="Y2014" s="8" t="s">
        <v>17053</v>
      </c>
      <c r="Z2014" s="8" t="s">
        <v>17053</v>
      </c>
      <c r="AA2014" s="7" t="n">
        <v>385</v>
      </c>
      <c r="AB2014" s="7" t="n">
        <v>361</v>
      </c>
      <c r="AC2014" s="7" t="n">
        <v>671</v>
      </c>
      <c r="AD2014" s="7" t="n">
        <v>4</v>
      </c>
      <c r="AE2014" s="7" t="n">
        <v>7</v>
      </c>
      <c r="AF2014" s="7" t="n">
        <v>21</v>
      </c>
      <c r="AG2014" s="7" t="n">
        <v>36</v>
      </c>
      <c r="AH2014" s="7" t="n">
        <v>7</v>
      </c>
      <c r="AI2014" s="7" t="n">
        <v>11</v>
      </c>
      <c r="AJ2014" s="7" t="n">
        <v>4</v>
      </c>
      <c r="AK2014" s="7" t="n">
        <v>6</v>
      </c>
      <c r="AL2014" s="7" t="n">
        <v>13</v>
      </c>
      <c r="AM2014" s="7" t="n">
        <v>25</v>
      </c>
      <c r="AN2014" s="7" t="n">
        <v>3</v>
      </c>
      <c r="AO2014" s="7" t="n">
        <v>5</v>
      </c>
      <c r="AP2014" s="7" t="n">
        <v>0</v>
      </c>
      <c r="AQ2014" s="7" t="n">
        <v>0</v>
      </c>
      <c r="AR2014" s="6" t="s">
        <v>63</v>
      </c>
      <c r="AS2014" s="6" t="s">
        <v>57</v>
      </c>
      <c r="AT2014" s="9" t="str">
        <f aca="false">HYPERLINK("http://catalog.hathitrust.org/Record/001382429","HathiTrust Record")</f>
        <v>HathiTrust Record</v>
      </c>
      <c r="AU2014" s="9" t="str">
        <f aca="false">HYPERLINK("https://creighton-primo.hosted.exlibrisgroup.com/primo-explore/search?tab=default_tab&amp;search_scope=EVERYTHING&amp;vid=01CRU&amp;lang=en_US&amp;offset=0&amp;query=any,contains,991003816229702656","Catalog Record")</f>
        <v>Catalog Record</v>
      </c>
      <c r="AV2014" s="9" t="str">
        <f aca="false">HYPERLINK("http://www.worldcat.org/oclc/916142","WorldCat Record")</f>
        <v>WorldCat Record</v>
      </c>
      <c r="AW2014" s="6" t="s">
        <v>17941</v>
      </c>
      <c r="AX2014" s="6" t="s">
        <v>17942</v>
      </c>
      <c r="AY2014" s="6" t="s">
        <v>17943</v>
      </c>
      <c r="AZ2014" s="6" t="s">
        <v>17943</v>
      </c>
      <c r="BA2014" s="6" t="s">
        <v>17944</v>
      </c>
      <c r="BB2014" s="28"/>
      <c r="BC2014" s="6" t="s">
        <v>17945</v>
      </c>
      <c r="BE2014" s="15" t="s">
        <v>2145</v>
      </c>
      <c r="BF2014" s="6" t="s">
        <v>17946</v>
      </c>
    </row>
    <row r="2015" customFormat="false" ht="94" hidden="false" customHeight="false" outlineLevel="0" collapsed="false">
      <c r="A2015" s="26" t="s">
        <v>63</v>
      </c>
      <c r="B2015" s="27" t="s">
        <v>2129</v>
      </c>
      <c r="C2015" s="27" t="s">
        <v>2130</v>
      </c>
      <c r="D2015" s="27" t="s">
        <v>17947</v>
      </c>
      <c r="E2015" s="27" t="s">
        <v>17948</v>
      </c>
      <c r="F2015" s="27" t="s">
        <v>17949</v>
      </c>
      <c r="G2015" s="28"/>
      <c r="H2015" s="6" t="s">
        <v>63</v>
      </c>
      <c r="I2015" s="6" t="s">
        <v>62</v>
      </c>
      <c r="J2015" s="6" t="s">
        <v>63</v>
      </c>
      <c r="K2015" s="6" t="s">
        <v>63</v>
      </c>
      <c r="L2015" s="6" t="s">
        <v>64</v>
      </c>
      <c r="M2015" s="27" t="s">
        <v>17950</v>
      </c>
      <c r="N2015" s="27" t="s">
        <v>17951</v>
      </c>
      <c r="O2015" s="6" t="s">
        <v>264</v>
      </c>
      <c r="P2015" s="28"/>
      <c r="Q2015" s="6" t="s">
        <v>67</v>
      </c>
      <c r="R2015" s="6" t="s">
        <v>2503</v>
      </c>
      <c r="S2015" s="28"/>
      <c r="T2015" s="6" t="s">
        <v>6138</v>
      </c>
      <c r="U2015" s="7" t="n">
        <v>1</v>
      </c>
      <c r="V2015" s="7" t="n">
        <v>1</v>
      </c>
      <c r="W2015" s="8" t="s">
        <v>17952</v>
      </c>
      <c r="X2015" s="8" t="s">
        <v>17952</v>
      </c>
      <c r="Y2015" s="8" t="s">
        <v>17053</v>
      </c>
      <c r="Z2015" s="8" t="s">
        <v>17053</v>
      </c>
      <c r="AA2015" s="7" t="n">
        <v>519</v>
      </c>
      <c r="AB2015" s="7" t="n">
        <v>426</v>
      </c>
      <c r="AC2015" s="7" t="n">
        <v>432</v>
      </c>
      <c r="AD2015" s="7" t="n">
        <v>4</v>
      </c>
      <c r="AE2015" s="7" t="n">
        <v>4</v>
      </c>
      <c r="AF2015" s="7" t="n">
        <v>26</v>
      </c>
      <c r="AG2015" s="7" t="n">
        <v>26</v>
      </c>
      <c r="AH2015" s="7" t="n">
        <v>8</v>
      </c>
      <c r="AI2015" s="7" t="n">
        <v>8</v>
      </c>
      <c r="AJ2015" s="7" t="n">
        <v>7</v>
      </c>
      <c r="AK2015" s="7" t="n">
        <v>7</v>
      </c>
      <c r="AL2015" s="7" t="n">
        <v>17</v>
      </c>
      <c r="AM2015" s="7" t="n">
        <v>17</v>
      </c>
      <c r="AN2015" s="7" t="n">
        <v>3</v>
      </c>
      <c r="AO2015" s="7" t="n">
        <v>3</v>
      </c>
      <c r="AP2015" s="7" t="n">
        <v>0</v>
      </c>
      <c r="AQ2015" s="7" t="n">
        <v>0</v>
      </c>
      <c r="AR2015" s="6" t="s">
        <v>63</v>
      </c>
      <c r="AS2015" s="6" t="s">
        <v>57</v>
      </c>
      <c r="AT2015" s="9" t="str">
        <f aca="false">HYPERLINK("http://catalog.hathitrust.org/Record/001382461","HathiTrust Record")</f>
        <v>HathiTrust Record</v>
      </c>
      <c r="AU2015" s="9" t="str">
        <f aca="false">HYPERLINK("https://creighton-primo.hosted.exlibrisgroup.com/primo-explore/search?tab=default_tab&amp;search_scope=EVERYTHING&amp;vid=01CRU&amp;lang=en_US&amp;offset=0&amp;query=any,contains,991000624559702656","Catalog Record")</f>
        <v>Catalog Record</v>
      </c>
      <c r="AV2015" s="9" t="str">
        <f aca="false">HYPERLINK("http://www.worldcat.org/oclc/103620","WorldCat Record")</f>
        <v>WorldCat Record</v>
      </c>
      <c r="AW2015" s="6" t="s">
        <v>17953</v>
      </c>
      <c r="AX2015" s="6" t="s">
        <v>17954</v>
      </c>
      <c r="AY2015" s="6" t="s">
        <v>17955</v>
      </c>
      <c r="AZ2015" s="6" t="s">
        <v>17955</v>
      </c>
      <c r="BA2015" s="6" t="s">
        <v>17956</v>
      </c>
      <c r="BB2015" s="6" t="s">
        <v>17957</v>
      </c>
      <c r="BC2015" s="6" t="s">
        <v>17958</v>
      </c>
      <c r="BE2015" s="15" t="s">
        <v>2145</v>
      </c>
      <c r="BF2015" s="6" t="s">
        <v>17959</v>
      </c>
    </row>
    <row r="2016" customFormat="false" ht="94" hidden="false" customHeight="false" outlineLevel="0" collapsed="false">
      <c r="A2016" s="26" t="s">
        <v>63</v>
      </c>
      <c r="B2016" s="27" t="s">
        <v>2129</v>
      </c>
      <c r="C2016" s="27" t="s">
        <v>2130</v>
      </c>
      <c r="D2016" s="27" t="s">
        <v>17960</v>
      </c>
      <c r="E2016" s="27" t="s">
        <v>17961</v>
      </c>
      <c r="F2016" s="27" t="s">
        <v>17962</v>
      </c>
      <c r="G2016" s="28"/>
      <c r="H2016" s="6" t="s">
        <v>63</v>
      </c>
      <c r="I2016" s="6" t="s">
        <v>62</v>
      </c>
      <c r="J2016" s="6" t="s">
        <v>63</v>
      </c>
      <c r="K2016" s="6" t="s">
        <v>63</v>
      </c>
      <c r="L2016" s="6" t="s">
        <v>64</v>
      </c>
      <c r="M2016" s="27" t="s">
        <v>17963</v>
      </c>
      <c r="N2016" s="27" t="s">
        <v>17964</v>
      </c>
      <c r="O2016" s="6" t="s">
        <v>2693</v>
      </c>
      <c r="P2016" s="28"/>
      <c r="Q2016" s="6" t="s">
        <v>67</v>
      </c>
      <c r="R2016" s="6" t="s">
        <v>384</v>
      </c>
      <c r="S2016" s="28"/>
      <c r="T2016" s="6" t="s">
        <v>6138</v>
      </c>
      <c r="U2016" s="7" t="n">
        <v>2</v>
      </c>
      <c r="V2016" s="7" t="n">
        <v>2</v>
      </c>
      <c r="W2016" s="8" t="s">
        <v>17965</v>
      </c>
      <c r="X2016" s="8" t="s">
        <v>17965</v>
      </c>
      <c r="Y2016" s="8" t="s">
        <v>17053</v>
      </c>
      <c r="Z2016" s="8" t="s">
        <v>17053</v>
      </c>
      <c r="AA2016" s="7" t="n">
        <v>587</v>
      </c>
      <c r="AB2016" s="7" t="n">
        <v>438</v>
      </c>
      <c r="AC2016" s="7" t="n">
        <v>446</v>
      </c>
      <c r="AD2016" s="7" t="n">
        <v>4</v>
      </c>
      <c r="AE2016" s="7" t="n">
        <v>4</v>
      </c>
      <c r="AF2016" s="7" t="n">
        <v>26</v>
      </c>
      <c r="AG2016" s="7" t="n">
        <v>26</v>
      </c>
      <c r="AH2016" s="7" t="n">
        <v>8</v>
      </c>
      <c r="AI2016" s="7" t="n">
        <v>8</v>
      </c>
      <c r="AJ2016" s="7" t="n">
        <v>8</v>
      </c>
      <c r="AK2016" s="7" t="n">
        <v>8</v>
      </c>
      <c r="AL2016" s="7" t="n">
        <v>16</v>
      </c>
      <c r="AM2016" s="7" t="n">
        <v>16</v>
      </c>
      <c r="AN2016" s="7" t="n">
        <v>2</v>
      </c>
      <c r="AO2016" s="7" t="n">
        <v>2</v>
      </c>
      <c r="AP2016" s="7" t="n">
        <v>0</v>
      </c>
      <c r="AQ2016" s="7" t="n">
        <v>0</v>
      </c>
      <c r="AR2016" s="6" t="s">
        <v>63</v>
      </c>
      <c r="AS2016" s="6" t="s">
        <v>63</v>
      </c>
      <c r="AT2016" s="28"/>
      <c r="AU2016" s="9" t="str">
        <f aca="false">HYPERLINK("https://creighton-primo.hosted.exlibrisgroup.com/primo-explore/search?tab=default_tab&amp;search_scope=EVERYTHING&amp;vid=01CRU&amp;lang=en_US&amp;offset=0&amp;query=any,contains,991002550929702656","Catalog Record")</f>
        <v>Catalog Record</v>
      </c>
      <c r="AV2016" s="9" t="str">
        <f aca="false">HYPERLINK("http://www.worldcat.org/oclc/369660","WorldCat Record")</f>
        <v>WorldCat Record</v>
      </c>
      <c r="AW2016" s="6" t="s">
        <v>17966</v>
      </c>
      <c r="AX2016" s="6" t="s">
        <v>17967</v>
      </c>
      <c r="AY2016" s="6" t="s">
        <v>17968</v>
      </c>
      <c r="AZ2016" s="6" t="s">
        <v>17968</v>
      </c>
      <c r="BA2016" s="6" t="s">
        <v>17969</v>
      </c>
      <c r="BB2016" s="28"/>
      <c r="BC2016" s="6" t="s">
        <v>17970</v>
      </c>
      <c r="BE2016" s="15" t="s">
        <v>2145</v>
      </c>
      <c r="BF2016" s="6" t="s">
        <v>17971</v>
      </c>
    </row>
    <row r="2017" customFormat="false" ht="209" hidden="false" customHeight="false" outlineLevel="0" collapsed="false">
      <c r="A2017" s="26" t="s">
        <v>63</v>
      </c>
      <c r="B2017" s="27" t="s">
        <v>2129</v>
      </c>
      <c r="C2017" s="27" t="s">
        <v>2130</v>
      </c>
      <c r="D2017" s="27" t="s">
        <v>17972</v>
      </c>
      <c r="E2017" s="27" t="s">
        <v>17973</v>
      </c>
      <c r="F2017" s="27" t="s">
        <v>17974</v>
      </c>
      <c r="G2017" s="28"/>
      <c r="H2017" s="6" t="s">
        <v>63</v>
      </c>
      <c r="I2017" s="6" t="s">
        <v>62</v>
      </c>
      <c r="J2017" s="6" t="s">
        <v>63</v>
      </c>
      <c r="K2017" s="6" t="s">
        <v>63</v>
      </c>
      <c r="L2017" s="6" t="s">
        <v>64</v>
      </c>
      <c r="M2017" s="27" t="s">
        <v>17975</v>
      </c>
      <c r="N2017" s="27" t="s">
        <v>17976</v>
      </c>
      <c r="O2017" s="6" t="s">
        <v>2665</v>
      </c>
      <c r="P2017" s="28"/>
      <c r="Q2017" s="6" t="s">
        <v>67</v>
      </c>
      <c r="R2017" s="6" t="s">
        <v>68</v>
      </c>
      <c r="S2017" s="27" t="s">
        <v>17977</v>
      </c>
      <c r="T2017" s="6" t="s">
        <v>6138</v>
      </c>
      <c r="U2017" s="7" t="n">
        <v>3</v>
      </c>
      <c r="V2017" s="7" t="n">
        <v>3</v>
      </c>
      <c r="W2017" s="8" t="s">
        <v>7429</v>
      </c>
      <c r="X2017" s="8" t="s">
        <v>7429</v>
      </c>
      <c r="Y2017" s="8" t="s">
        <v>17053</v>
      </c>
      <c r="Z2017" s="8" t="s">
        <v>17053</v>
      </c>
      <c r="AA2017" s="7" t="n">
        <v>533</v>
      </c>
      <c r="AB2017" s="7" t="n">
        <v>459</v>
      </c>
      <c r="AC2017" s="7" t="n">
        <v>461</v>
      </c>
      <c r="AD2017" s="7" t="n">
        <v>3</v>
      </c>
      <c r="AE2017" s="7" t="n">
        <v>3</v>
      </c>
      <c r="AF2017" s="7" t="n">
        <v>30</v>
      </c>
      <c r="AG2017" s="7" t="n">
        <v>30</v>
      </c>
      <c r="AH2017" s="7" t="n">
        <v>11</v>
      </c>
      <c r="AI2017" s="7" t="n">
        <v>11</v>
      </c>
      <c r="AJ2017" s="7" t="n">
        <v>6</v>
      </c>
      <c r="AK2017" s="7" t="n">
        <v>6</v>
      </c>
      <c r="AL2017" s="7" t="n">
        <v>20</v>
      </c>
      <c r="AM2017" s="7" t="n">
        <v>20</v>
      </c>
      <c r="AN2017" s="7" t="n">
        <v>2</v>
      </c>
      <c r="AO2017" s="7" t="n">
        <v>2</v>
      </c>
      <c r="AP2017" s="7" t="n">
        <v>0</v>
      </c>
      <c r="AQ2017" s="7" t="n">
        <v>0</v>
      </c>
      <c r="AR2017" s="6" t="s">
        <v>63</v>
      </c>
      <c r="AS2017" s="6" t="s">
        <v>57</v>
      </c>
      <c r="AT2017" s="9" t="str">
        <f aca="false">HYPERLINK("http://catalog.hathitrust.org/Record/001382474","HathiTrust Record")</f>
        <v>HathiTrust Record</v>
      </c>
      <c r="AU2017" s="9" t="str">
        <f aca="false">HYPERLINK("https://creighton-primo.hosted.exlibrisgroup.com/primo-explore/search?tab=default_tab&amp;search_scope=EVERYTHING&amp;vid=01CRU&amp;lang=en_US&amp;offset=0&amp;query=any,contains,991003012789702656","Catalog Record")</f>
        <v>Catalog Record</v>
      </c>
      <c r="AV2017" s="9" t="str">
        <f aca="false">HYPERLINK("http://www.worldcat.org/oclc/579111","WorldCat Record")</f>
        <v>WorldCat Record</v>
      </c>
      <c r="AW2017" s="6" t="s">
        <v>17978</v>
      </c>
      <c r="AX2017" s="6" t="s">
        <v>17979</v>
      </c>
      <c r="AY2017" s="6" t="s">
        <v>17980</v>
      </c>
      <c r="AZ2017" s="6" t="s">
        <v>17980</v>
      </c>
      <c r="BA2017" s="6" t="s">
        <v>17981</v>
      </c>
      <c r="BB2017" s="6" t="s">
        <v>17982</v>
      </c>
      <c r="BC2017" s="6" t="s">
        <v>17983</v>
      </c>
      <c r="BE2017" s="15" t="s">
        <v>2145</v>
      </c>
      <c r="BF2017" s="6" t="s">
        <v>17984</v>
      </c>
    </row>
    <row r="2018" customFormat="false" ht="197.5" hidden="false" customHeight="false" outlineLevel="0" collapsed="false">
      <c r="A2018" s="26" t="s">
        <v>63</v>
      </c>
      <c r="B2018" s="27" t="s">
        <v>2129</v>
      </c>
      <c r="C2018" s="27" t="s">
        <v>2130</v>
      </c>
      <c r="D2018" s="27" t="s">
        <v>17985</v>
      </c>
      <c r="E2018" s="27" t="s">
        <v>17986</v>
      </c>
      <c r="F2018" s="27" t="s">
        <v>17987</v>
      </c>
      <c r="G2018" s="28"/>
      <c r="H2018" s="6" t="s">
        <v>63</v>
      </c>
      <c r="I2018" s="6" t="s">
        <v>62</v>
      </c>
      <c r="J2018" s="6" t="s">
        <v>63</v>
      </c>
      <c r="K2018" s="6" t="s">
        <v>63</v>
      </c>
      <c r="L2018" s="6" t="s">
        <v>64</v>
      </c>
      <c r="M2018" s="27" t="s">
        <v>17988</v>
      </c>
      <c r="N2018" s="27" t="s">
        <v>17989</v>
      </c>
      <c r="O2018" s="6" t="s">
        <v>2262</v>
      </c>
      <c r="P2018" s="28"/>
      <c r="Q2018" s="6" t="s">
        <v>67</v>
      </c>
      <c r="R2018" s="6" t="s">
        <v>272</v>
      </c>
      <c r="S2018" s="28"/>
      <c r="T2018" s="6" t="s">
        <v>6138</v>
      </c>
      <c r="U2018" s="7" t="n">
        <v>7</v>
      </c>
      <c r="V2018" s="7" t="n">
        <v>7</v>
      </c>
      <c r="W2018" s="8" t="s">
        <v>17990</v>
      </c>
      <c r="X2018" s="8" t="s">
        <v>17990</v>
      </c>
      <c r="Y2018" s="8" t="s">
        <v>17053</v>
      </c>
      <c r="Z2018" s="8" t="s">
        <v>17053</v>
      </c>
      <c r="AA2018" s="7" t="n">
        <v>674</v>
      </c>
      <c r="AB2018" s="7" t="n">
        <v>562</v>
      </c>
      <c r="AC2018" s="7" t="n">
        <v>567</v>
      </c>
      <c r="AD2018" s="7" t="n">
        <v>3</v>
      </c>
      <c r="AE2018" s="7" t="n">
        <v>3</v>
      </c>
      <c r="AF2018" s="7" t="n">
        <v>23</v>
      </c>
      <c r="AG2018" s="7" t="n">
        <v>23</v>
      </c>
      <c r="AH2018" s="7" t="n">
        <v>4</v>
      </c>
      <c r="AI2018" s="7" t="n">
        <v>4</v>
      </c>
      <c r="AJ2018" s="7" t="n">
        <v>7</v>
      </c>
      <c r="AK2018" s="7" t="n">
        <v>7</v>
      </c>
      <c r="AL2018" s="7" t="n">
        <v>15</v>
      </c>
      <c r="AM2018" s="7" t="n">
        <v>15</v>
      </c>
      <c r="AN2018" s="7" t="n">
        <v>2</v>
      </c>
      <c r="AO2018" s="7" t="n">
        <v>2</v>
      </c>
      <c r="AP2018" s="7" t="n">
        <v>0</v>
      </c>
      <c r="AQ2018" s="7" t="n">
        <v>0</v>
      </c>
      <c r="AR2018" s="6" t="s">
        <v>63</v>
      </c>
      <c r="AS2018" s="6" t="s">
        <v>63</v>
      </c>
      <c r="AT2018" s="28"/>
      <c r="AU2018" s="9" t="str">
        <f aca="false">HYPERLINK("https://creighton-primo.hosted.exlibrisgroup.com/primo-explore/search?tab=default_tab&amp;search_scope=EVERYTHING&amp;vid=01CRU&amp;lang=en_US&amp;offset=0&amp;query=any,contains,991000679549702656","Catalog Record")</f>
        <v>Catalog Record</v>
      </c>
      <c r="AV2018" s="9" t="str">
        <f aca="false">HYPERLINK("http://www.worldcat.org/oclc/12372440","WorldCat Record")</f>
        <v>WorldCat Record</v>
      </c>
      <c r="AW2018" s="6" t="s">
        <v>17991</v>
      </c>
      <c r="AX2018" s="6" t="s">
        <v>17992</v>
      </c>
      <c r="AY2018" s="6" t="s">
        <v>17993</v>
      </c>
      <c r="AZ2018" s="6" t="s">
        <v>17993</v>
      </c>
      <c r="BA2018" s="6" t="s">
        <v>17994</v>
      </c>
      <c r="BB2018" s="6" t="s">
        <v>17995</v>
      </c>
      <c r="BC2018" s="6" t="s">
        <v>17996</v>
      </c>
      <c r="BE2018" s="15" t="s">
        <v>2145</v>
      </c>
      <c r="BF2018" s="6" t="s">
        <v>17997</v>
      </c>
    </row>
    <row r="2019" customFormat="false" ht="186" hidden="false" customHeight="false" outlineLevel="0" collapsed="false">
      <c r="A2019" s="26" t="s">
        <v>63</v>
      </c>
      <c r="B2019" s="27" t="s">
        <v>2129</v>
      </c>
      <c r="C2019" s="27" t="s">
        <v>2130</v>
      </c>
      <c r="D2019" s="27" t="s">
        <v>17998</v>
      </c>
      <c r="E2019" s="27" t="s">
        <v>17999</v>
      </c>
      <c r="F2019" s="27" t="s">
        <v>18000</v>
      </c>
      <c r="G2019" s="28"/>
      <c r="H2019" s="6" t="s">
        <v>63</v>
      </c>
      <c r="I2019" s="6" t="s">
        <v>62</v>
      </c>
      <c r="J2019" s="6" t="s">
        <v>63</v>
      </c>
      <c r="K2019" s="6" t="s">
        <v>63</v>
      </c>
      <c r="L2019" s="6" t="s">
        <v>64</v>
      </c>
      <c r="M2019" s="28"/>
      <c r="N2019" s="27" t="s">
        <v>18001</v>
      </c>
      <c r="O2019" s="6" t="s">
        <v>7428</v>
      </c>
      <c r="P2019" s="28"/>
      <c r="Q2019" s="6" t="s">
        <v>67</v>
      </c>
      <c r="R2019" s="6" t="s">
        <v>222</v>
      </c>
      <c r="S2019" s="28"/>
      <c r="T2019" s="6" t="s">
        <v>6138</v>
      </c>
      <c r="U2019" s="7" t="n">
        <v>1</v>
      </c>
      <c r="V2019" s="7" t="n">
        <v>1</v>
      </c>
      <c r="W2019" s="8" t="s">
        <v>16682</v>
      </c>
      <c r="X2019" s="8" t="s">
        <v>16682</v>
      </c>
      <c r="Y2019" s="8" t="s">
        <v>17053</v>
      </c>
      <c r="Z2019" s="8" t="s">
        <v>17053</v>
      </c>
      <c r="AA2019" s="7" t="n">
        <v>470</v>
      </c>
      <c r="AB2019" s="7" t="n">
        <v>337</v>
      </c>
      <c r="AC2019" s="7" t="n">
        <v>343</v>
      </c>
      <c r="AD2019" s="7" t="n">
        <v>2</v>
      </c>
      <c r="AE2019" s="7" t="n">
        <v>2</v>
      </c>
      <c r="AF2019" s="7" t="n">
        <v>12</v>
      </c>
      <c r="AG2019" s="7" t="n">
        <v>12</v>
      </c>
      <c r="AH2019" s="7" t="n">
        <v>1</v>
      </c>
      <c r="AI2019" s="7" t="n">
        <v>1</v>
      </c>
      <c r="AJ2019" s="7" t="n">
        <v>4</v>
      </c>
      <c r="AK2019" s="7" t="n">
        <v>4</v>
      </c>
      <c r="AL2019" s="7" t="n">
        <v>9</v>
      </c>
      <c r="AM2019" s="7" t="n">
        <v>9</v>
      </c>
      <c r="AN2019" s="7" t="n">
        <v>1</v>
      </c>
      <c r="AO2019" s="7" t="n">
        <v>1</v>
      </c>
      <c r="AP2019" s="7" t="n">
        <v>0</v>
      </c>
      <c r="AQ2019" s="7" t="n">
        <v>0</v>
      </c>
      <c r="AR2019" s="6" t="s">
        <v>63</v>
      </c>
      <c r="AS2019" s="6" t="s">
        <v>57</v>
      </c>
      <c r="AT2019" s="9" t="str">
        <f aca="false">HYPERLINK("http://catalog.hathitrust.org/Record/006226375","HathiTrust Record")</f>
        <v>HathiTrust Record</v>
      </c>
      <c r="AU2019" s="9" t="str">
        <f aca="false">HYPERLINK("https://creighton-primo.hosted.exlibrisgroup.com/primo-explore/search?tab=default_tab&amp;search_scope=EVERYTHING&amp;vid=01CRU&amp;lang=en_US&amp;offset=0&amp;query=any,contains,991004086489702656","Catalog Record")</f>
        <v>Catalog Record</v>
      </c>
      <c r="AV2019" s="9" t="str">
        <f aca="false">HYPERLINK("http://www.worldcat.org/oclc/2332200","WorldCat Record")</f>
        <v>WorldCat Record</v>
      </c>
      <c r="AW2019" s="6" t="s">
        <v>18002</v>
      </c>
      <c r="AX2019" s="6" t="s">
        <v>18003</v>
      </c>
      <c r="AY2019" s="6" t="s">
        <v>18004</v>
      </c>
      <c r="AZ2019" s="6" t="s">
        <v>18004</v>
      </c>
      <c r="BA2019" s="6" t="s">
        <v>18005</v>
      </c>
      <c r="BB2019" s="6" t="s">
        <v>18006</v>
      </c>
      <c r="BC2019" s="6" t="s">
        <v>18007</v>
      </c>
      <c r="BE2019" s="15" t="s">
        <v>2145</v>
      </c>
      <c r="BF2019" s="6" t="s">
        <v>18008</v>
      </c>
    </row>
    <row r="2020" customFormat="false" ht="140" hidden="false" customHeight="false" outlineLevel="0" collapsed="false">
      <c r="A2020" s="26" t="s">
        <v>63</v>
      </c>
      <c r="B2020" s="27" t="s">
        <v>2129</v>
      </c>
      <c r="C2020" s="27" t="s">
        <v>2130</v>
      </c>
      <c r="D2020" s="27" t="s">
        <v>18009</v>
      </c>
      <c r="E2020" s="27" t="s">
        <v>18010</v>
      </c>
      <c r="F2020" s="27" t="s">
        <v>18011</v>
      </c>
      <c r="G2020" s="28"/>
      <c r="H2020" s="6" t="s">
        <v>63</v>
      </c>
      <c r="I2020" s="6" t="s">
        <v>62</v>
      </c>
      <c r="J2020" s="6" t="s">
        <v>63</v>
      </c>
      <c r="K2020" s="6" t="s">
        <v>63</v>
      </c>
      <c r="L2020" s="6" t="s">
        <v>64</v>
      </c>
      <c r="M2020" s="27" t="s">
        <v>18012</v>
      </c>
      <c r="N2020" s="27" t="s">
        <v>18013</v>
      </c>
      <c r="O2020" s="6" t="s">
        <v>2893</v>
      </c>
      <c r="P2020" s="28"/>
      <c r="Q2020" s="6" t="s">
        <v>67</v>
      </c>
      <c r="R2020" s="6" t="s">
        <v>68</v>
      </c>
      <c r="S2020" s="27" t="s">
        <v>18014</v>
      </c>
      <c r="T2020" s="6" t="s">
        <v>6138</v>
      </c>
      <c r="U2020" s="7" t="n">
        <v>8</v>
      </c>
      <c r="V2020" s="7" t="n">
        <v>8</v>
      </c>
      <c r="W2020" s="8" t="s">
        <v>8451</v>
      </c>
      <c r="X2020" s="8" t="s">
        <v>8451</v>
      </c>
      <c r="Y2020" s="8" t="s">
        <v>18015</v>
      </c>
      <c r="Z2020" s="8" t="s">
        <v>18015</v>
      </c>
      <c r="AA2020" s="7" t="n">
        <v>655</v>
      </c>
      <c r="AB2020" s="7" t="n">
        <v>566</v>
      </c>
      <c r="AC2020" s="7" t="n">
        <v>573</v>
      </c>
      <c r="AD2020" s="7" t="n">
        <v>1</v>
      </c>
      <c r="AE2020" s="7" t="n">
        <v>1</v>
      </c>
      <c r="AF2020" s="7" t="n">
        <v>22</v>
      </c>
      <c r="AG2020" s="7" t="n">
        <v>22</v>
      </c>
      <c r="AH2020" s="7" t="n">
        <v>10</v>
      </c>
      <c r="AI2020" s="7" t="n">
        <v>10</v>
      </c>
      <c r="AJ2020" s="7" t="n">
        <v>8</v>
      </c>
      <c r="AK2020" s="7" t="n">
        <v>8</v>
      </c>
      <c r="AL2020" s="7" t="n">
        <v>10</v>
      </c>
      <c r="AM2020" s="7" t="n">
        <v>10</v>
      </c>
      <c r="AN2020" s="7" t="n">
        <v>0</v>
      </c>
      <c r="AO2020" s="7" t="n">
        <v>0</v>
      </c>
      <c r="AP2020" s="7" t="n">
        <v>0</v>
      </c>
      <c r="AQ2020" s="7" t="n">
        <v>0</v>
      </c>
      <c r="AR2020" s="6" t="s">
        <v>63</v>
      </c>
      <c r="AS2020" s="6" t="s">
        <v>57</v>
      </c>
      <c r="AT2020" s="9" t="str">
        <f aca="false">HYPERLINK("http://catalog.hathitrust.org/Record/000038266","HathiTrust Record")</f>
        <v>HathiTrust Record</v>
      </c>
      <c r="AU2020" s="9" t="str">
        <f aca="false">HYPERLINK("https://creighton-primo.hosted.exlibrisgroup.com/primo-explore/search?tab=default_tab&amp;search_scope=EVERYTHING&amp;vid=01CRU&amp;lang=en_US&amp;offset=0&amp;query=any,contains,991003702609702656","Catalog Record")</f>
        <v>Catalog Record</v>
      </c>
      <c r="AV2020" s="9" t="str">
        <f aca="false">HYPERLINK("http://www.worldcat.org/oclc/1339068","WorldCat Record")</f>
        <v>WorldCat Record</v>
      </c>
      <c r="AW2020" s="6" t="s">
        <v>18016</v>
      </c>
      <c r="AX2020" s="6" t="s">
        <v>18017</v>
      </c>
      <c r="AY2020" s="6" t="s">
        <v>18018</v>
      </c>
      <c r="AZ2020" s="6" t="s">
        <v>18018</v>
      </c>
      <c r="BA2020" s="6" t="s">
        <v>18019</v>
      </c>
      <c r="BB2020" s="6" t="s">
        <v>18020</v>
      </c>
      <c r="BC2020" s="6" t="s">
        <v>18021</v>
      </c>
      <c r="BE2020" s="15" t="s">
        <v>2145</v>
      </c>
      <c r="BF2020" s="6" t="s">
        <v>18022</v>
      </c>
    </row>
    <row r="2021" customFormat="false" ht="105.5" hidden="false" customHeight="false" outlineLevel="0" collapsed="false">
      <c r="A2021" s="26" t="s">
        <v>63</v>
      </c>
      <c r="B2021" s="27" t="s">
        <v>2129</v>
      </c>
      <c r="C2021" s="27" t="s">
        <v>2130</v>
      </c>
      <c r="D2021" s="27" t="s">
        <v>18023</v>
      </c>
      <c r="E2021" s="27" t="s">
        <v>18024</v>
      </c>
      <c r="F2021" s="27" t="s">
        <v>18025</v>
      </c>
      <c r="G2021" s="28"/>
      <c r="H2021" s="6" t="s">
        <v>63</v>
      </c>
      <c r="I2021" s="6" t="s">
        <v>62</v>
      </c>
      <c r="J2021" s="6" t="s">
        <v>63</v>
      </c>
      <c r="K2021" s="6" t="s">
        <v>63</v>
      </c>
      <c r="L2021" s="6" t="s">
        <v>64</v>
      </c>
      <c r="M2021" s="27" t="s">
        <v>18026</v>
      </c>
      <c r="N2021" s="28"/>
      <c r="O2021" s="6" t="s">
        <v>167</v>
      </c>
      <c r="P2021" s="27" t="s">
        <v>18027</v>
      </c>
      <c r="Q2021" s="6" t="s">
        <v>67</v>
      </c>
      <c r="R2021" s="6" t="s">
        <v>123</v>
      </c>
      <c r="S2021" s="27" t="s">
        <v>18028</v>
      </c>
      <c r="T2021" s="6" t="s">
        <v>6138</v>
      </c>
      <c r="U2021" s="7" t="n">
        <v>2</v>
      </c>
      <c r="V2021" s="7" t="n">
        <v>2</v>
      </c>
      <c r="W2021" s="8" t="s">
        <v>18029</v>
      </c>
      <c r="X2021" s="8" t="s">
        <v>18029</v>
      </c>
      <c r="Y2021" s="8" t="s">
        <v>18015</v>
      </c>
      <c r="Z2021" s="8" t="s">
        <v>18015</v>
      </c>
      <c r="AA2021" s="7" t="n">
        <v>505</v>
      </c>
      <c r="AB2021" s="7" t="n">
        <v>467</v>
      </c>
      <c r="AC2021" s="7" t="n">
        <v>476</v>
      </c>
      <c r="AD2021" s="7" t="n">
        <v>4</v>
      </c>
      <c r="AE2021" s="7" t="n">
        <v>4</v>
      </c>
      <c r="AF2021" s="7" t="n">
        <v>34</v>
      </c>
      <c r="AG2021" s="7" t="n">
        <v>34</v>
      </c>
      <c r="AH2021" s="7" t="n">
        <v>10</v>
      </c>
      <c r="AI2021" s="7" t="n">
        <v>10</v>
      </c>
      <c r="AJ2021" s="7" t="n">
        <v>10</v>
      </c>
      <c r="AK2021" s="7" t="n">
        <v>10</v>
      </c>
      <c r="AL2021" s="7" t="n">
        <v>23</v>
      </c>
      <c r="AM2021" s="7" t="n">
        <v>23</v>
      </c>
      <c r="AN2021" s="7" t="n">
        <v>3</v>
      </c>
      <c r="AO2021" s="7" t="n">
        <v>3</v>
      </c>
      <c r="AP2021" s="7" t="n">
        <v>0</v>
      </c>
      <c r="AQ2021" s="7" t="n">
        <v>0</v>
      </c>
      <c r="AR2021" s="6" t="s">
        <v>63</v>
      </c>
      <c r="AS2021" s="6" t="s">
        <v>57</v>
      </c>
      <c r="AT2021" s="9" t="str">
        <f aca="false">HYPERLINK("http://catalog.hathitrust.org/Record/001644496","HathiTrust Record")</f>
        <v>HathiTrust Record</v>
      </c>
      <c r="AU2021" s="9" t="str">
        <f aca="false">HYPERLINK("https://creighton-primo.hosted.exlibrisgroup.com/primo-explore/search?tab=default_tab&amp;search_scope=EVERYTHING&amp;vid=01CRU&amp;lang=en_US&amp;offset=0&amp;query=any,contains,991003770669702656","Catalog Record")</f>
        <v>Catalog Record</v>
      </c>
      <c r="AV2021" s="9" t="str">
        <f aca="false">HYPERLINK("http://www.worldcat.org/oclc/1470590","WorldCat Record")</f>
        <v>WorldCat Record</v>
      </c>
      <c r="AW2021" s="6" t="s">
        <v>18030</v>
      </c>
      <c r="AX2021" s="6" t="s">
        <v>18031</v>
      </c>
      <c r="AY2021" s="6" t="s">
        <v>18032</v>
      </c>
      <c r="AZ2021" s="6" t="s">
        <v>18032</v>
      </c>
      <c r="BA2021" s="6" t="s">
        <v>18033</v>
      </c>
      <c r="BB2021" s="28"/>
      <c r="BC2021" s="6" t="s">
        <v>18034</v>
      </c>
      <c r="BE2021" s="15" t="s">
        <v>2145</v>
      </c>
      <c r="BF2021" s="6" t="s">
        <v>18035</v>
      </c>
    </row>
    <row r="2022" customFormat="false" ht="71" hidden="false" customHeight="false" outlineLevel="0" collapsed="false">
      <c r="A2022" s="26" t="s">
        <v>63</v>
      </c>
      <c r="B2022" s="27" t="s">
        <v>2129</v>
      </c>
      <c r="C2022" s="27" t="s">
        <v>2130</v>
      </c>
      <c r="D2022" s="27" t="s">
        <v>18036</v>
      </c>
      <c r="E2022" s="27" t="s">
        <v>18037</v>
      </c>
      <c r="F2022" s="27" t="s">
        <v>18038</v>
      </c>
      <c r="G2022" s="28"/>
      <c r="H2022" s="6" t="s">
        <v>63</v>
      </c>
      <c r="I2022" s="6" t="s">
        <v>62</v>
      </c>
      <c r="J2022" s="6" t="s">
        <v>63</v>
      </c>
      <c r="K2022" s="6" t="s">
        <v>63</v>
      </c>
      <c r="L2022" s="6" t="s">
        <v>64</v>
      </c>
      <c r="M2022" s="27" t="s">
        <v>18039</v>
      </c>
      <c r="N2022" s="27" t="s">
        <v>18040</v>
      </c>
      <c r="O2022" s="6" t="s">
        <v>7428</v>
      </c>
      <c r="P2022" s="28"/>
      <c r="Q2022" s="6" t="s">
        <v>67</v>
      </c>
      <c r="R2022" s="6" t="s">
        <v>272</v>
      </c>
      <c r="S2022" s="28"/>
      <c r="T2022" s="6" t="s">
        <v>6138</v>
      </c>
      <c r="U2022" s="7" t="n">
        <v>2</v>
      </c>
      <c r="V2022" s="7" t="n">
        <v>2</v>
      </c>
      <c r="W2022" s="8" t="s">
        <v>17630</v>
      </c>
      <c r="X2022" s="8" t="s">
        <v>17630</v>
      </c>
      <c r="Y2022" s="8" t="s">
        <v>18015</v>
      </c>
      <c r="Z2022" s="8" t="s">
        <v>18015</v>
      </c>
      <c r="AA2022" s="7" t="n">
        <v>520</v>
      </c>
      <c r="AB2022" s="7" t="n">
        <v>418</v>
      </c>
      <c r="AC2022" s="7" t="n">
        <v>423</v>
      </c>
      <c r="AD2022" s="7" t="n">
        <v>6</v>
      </c>
      <c r="AE2022" s="7" t="n">
        <v>6</v>
      </c>
      <c r="AF2022" s="7" t="n">
        <v>24</v>
      </c>
      <c r="AG2022" s="7" t="n">
        <v>24</v>
      </c>
      <c r="AH2022" s="7" t="n">
        <v>5</v>
      </c>
      <c r="AI2022" s="7" t="n">
        <v>5</v>
      </c>
      <c r="AJ2022" s="7" t="n">
        <v>6</v>
      </c>
      <c r="AK2022" s="7" t="n">
        <v>6</v>
      </c>
      <c r="AL2022" s="7" t="n">
        <v>14</v>
      </c>
      <c r="AM2022" s="7" t="n">
        <v>14</v>
      </c>
      <c r="AN2022" s="7" t="n">
        <v>4</v>
      </c>
      <c r="AO2022" s="7" t="n">
        <v>4</v>
      </c>
      <c r="AP2022" s="7" t="n">
        <v>0</v>
      </c>
      <c r="AQ2022" s="7" t="n">
        <v>0</v>
      </c>
      <c r="AR2022" s="6" t="s">
        <v>63</v>
      </c>
      <c r="AS2022" s="6" t="s">
        <v>63</v>
      </c>
      <c r="AT2022" s="28"/>
      <c r="AU2022" s="9" t="str">
        <f aca="false">HYPERLINK("https://creighton-primo.hosted.exlibrisgroup.com/primo-explore/search?tab=default_tab&amp;search_scope=EVERYTHING&amp;vid=01CRU&amp;lang=en_US&amp;offset=0&amp;query=any,contains,991004200079702656","Catalog Record")</f>
        <v>Catalog Record</v>
      </c>
      <c r="AV2022" s="9" t="str">
        <f aca="false">HYPERLINK("http://www.worldcat.org/oclc/2649896","WorldCat Record")</f>
        <v>WorldCat Record</v>
      </c>
      <c r="AW2022" s="6" t="s">
        <v>18041</v>
      </c>
      <c r="AX2022" s="6" t="s">
        <v>18042</v>
      </c>
      <c r="AY2022" s="6" t="s">
        <v>18043</v>
      </c>
      <c r="AZ2022" s="6" t="s">
        <v>18043</v>
      </c>
      <c r="BA2022" s="6" t="s">
        <v>18044</v>
      </c>
      <c r="BB2022" s="6" t="s">
        <v>18045</v>
      </c>
      <c r="BC2022" s="6" t="s">
        <v>18046</v>
      </c>
      <c r="BE2022" s="15" t="s">
        <v>2145</v>
      </c>
      <c r="BF2022" s="6" t="s">
        <v>18047</v>
      </c>
    </row>
    <row r="2023" customFormat="false" ht="186" hidden="false" customHeight="false" outlineLevel="0" collapsed="false">
      <c r="A2023" s="26" t="s">
        <v>63</v>
      </c>
      <c r="B2023" s="27" t="s">
        <v>2129</v>
      </c>
      <c r="C2023" s="27" t="s">
        <v>2130</v>
      </c>
      <c r="D2023" s="27" t="s">
        <v>18048</v>
      </c>
      <c r="E2023" s="27" t="s">
        <v>18049</v>
      </c>
      <c r="F2023" s="27" t="s">
        <v>18050</v>
      </c>
      <c r="G2023" s="28"/>
      <c r="H2023" s="6" t="s">
        <v>63</v>
      </c>
      <c r="I2023" s="6" t="s">
        <v>62</v>
      </c>
      <c r="J2023" s="6" t="s">
        <v>63</v>
      </c>
      <c r="K2023" s="6" t="s">
        <v>63</v>
      </c>
      <c r="L2023" s="6" t="s">
        <v>64</v>
      </c>
      <c r="M2023" s="27" t="s">
        <v>18051</v>
      </c>
      <c r="N2023" s="27" t="s">
        <v>14578</v>
      </c>
      <c r="O2023" s="6" t="s">
        <v>2693</v>
      </c>
      <c r="P2023" s="28"/>
      <c r="Q2023" s="6" t="s">
        <v>67</v>
      </c>
      <c r="R2023" s="6" t="s">
        <v>68</v>
      </c>
      <c r="S2023" s="27" t="s">
        <v>18052</v>
      </c>
      <c r="T2023" s="6" t="s">
        <v>6138</v>
      </c>
      <c r="U2023" s="7" t="n">
        <v>2</v>
      </c>
      <c r="V2023" s="7" t="n">
        <v>2</v>
      </c>
      <c r="W2023" s="8" t="s">
        <v>18053</v>
      </c>
      <c r="X2023" s="8" t="s">
        <v>18053</v>
      </c>
      <c r="Y2023" s="8" t="s">
        <v>18015</v>
      </c>
      <c r="Z2023" s="8" t="s">
        <v>18015</v>
      </c>
      <c r="AA2023" s="7" t="n">
        <v>439</v>
      </c>
      <c r="AB2023" s="7" t="n">
        <v>406</v>
      </c>
      <c r="AC2023" s="7" t="n">
        <v>567</v>
      </c>
      <c r="AD2023" s="7" t="n">
        <v>5</v>
      </c>
      <c r="AE2023" s="7" t="n">
        <v>7</v>
      </c>
      <c r="AF2023" s="7" t="n">
        <v>26</v>
      </c>
      <c r="AG2023" s="7" t="n">
        <v>33</v>
      </c>
      <c r="AH2023" s="7" t="n">
        <v>9</v>
      </c>
      <c r="AI2023" s="7" t="n">
        <v>12</v>
      </c>
      <c r="AJ2023" s="7" t="n">
        <v>8</v>
      </c>
      <c r="AK2023" s="7" t="n">
        <v>8</v>
      </c>
      <c r="AL2023" s="7" t="n">
        <v>13</v>
      </c>
      <c r="AM2023" s="7" t="n">
        <v>15</v>
      </c>
      <c r="AN2023" s="7" t="n">
        <v>4</v>
      </c>
      <c r="AO2023" s="7" t="n">
        <v>6</v>
      </c>
      <c r="AP2023" s="7" t="n">
        <v>0</v>
      </c>
      <c r="AQ2023" s="7" t="n">
        <v>0</v>
      </c>
      <c r="AR2023" s="6" t="s">
        <v>63</v>
      </c>
      <c r="AS2023" s="6" t="s">
        <v>57</v>
      </c>
      <c r="AT2023" s="9" t="str">
        <f aca="false">HYPERLINK("http://catalog.hathitrust.org/Record/009510404","HathiTrust Record")</f>
        <v>HathiTrust Record</v>
      </c>
      <c r="AU2023" s="9" t="str">
        <f aca="false">HYPERLINK("https://creighton-primo.hosted.exlibrisgroup.com/primo-explore/search?tab=default_tab&amp;search_scope=EVERYTHING&amp;vid=01CRU&amp;lang=en_US&amp;offset=0&amp;query=any,contains,991002123009702656","Catalog Record")</f>
        <v>Catalog Record</v>
      </c>
      <c r="AV2023" s="9" t="str">
        <f aca="false">HYPERLINK("http://www.worldcat.org/oclc/268957","WorldCat Record")</f>
        <v>WorldCat Record</v>
      </c>
      <c r="AW2023" s="6" t="s">
        <v>18054</v>
      </c>
      <c r="AX2023" s="6" t="s">
        <v>18055</v>
      </c>
      <c r="AY2023" s="6" t="s">
        <v>18056</v>
      </c>
      <c r="AZ2023" s="6" t="s">
        <v>18056</v>
      </c>
      <c r="BA2023" s="6" t="s">
        <v>18057</v>
      </c>
      <c r="BB2023" s="28"/>
      <c r="BC2023" s="6" t="s">
        <v>18058</v>
      </c>
      <c r="BE2023" s="15" t="s">
        <v>2145</v>
      </c>
      <c r="BF2023" s="6" t="s">
        <v>18059</v>
      </c>
    </row>
    <row r="2024" customFormat="false" ht="128.5" hidden="false" customHeight="false" outlineLevel="0" collapsed="false">
      <c r="A2024" s="26" t="s">
        <v>63</v>
      </c>
      <c r="B2024" s="27" t="s">
        <v>2129</v>
      </c>
      <c r="C2024" s="27" t="s">
        <v>2130</v>
      </c>
      <c r="D2024" s="27" t="s">
        <v>18060</v>
      </c>
      <c r="E2024" s="27" t="s">
        <v>18061</v>
      </c>
      <c r="F2024" s="27" t="s">
        <v>18062</v>
      </c>
      <c r="G2024" s="28"/>
      <c r="H2024" s="6" t="s">
        <v>63</v>
      </c>
      <c r="I2024" s="6" t="s">
        <v>62</v>
      </c>
      <c r="J2024" s="6" t="s">
        <v>63</v>
      </c>
      <c r="K2024" s="6" t="s">
        <v>63</v>
      </c>
      <c r="L2024" s="6" t="s">
        <v>64</v>
      </c>
      <c r="M2024" s="27" t="s">
        <v>18063</v>
      </c>
      <c r="N2024" s="27" t="s">
        <v>18064</v>
      </c>
      <c r="O2024" s="6" t="s">
        <v>2975</v>
      </c>
      <c r="P2024" s="27" t="s">
        <v>255</v>
      </c>
      <c r="Q2024" s="6" t="s">
        <v>67</v>
      </c>
      <c r="R2024" s="6" t="s">
        <v>68</v>
      </c>
      <c r="S2024" s="28"/>
      <c r="T2024" s="6" t="s">
        <v>6138</v>
      </c>
      <c r="U2024" s="7" t="n">
        <v>1</v>
      </c>
      <c r="V2024" s="7" t="n">
        <v>1</v>
      </c>
      <c r="W2024" s="8" t="s">
        <v>18065</v>
      </c>
      <c r="X2024" s="8" t="s">
        <v>18065</v>
      </c>
      <c r="Y2024" s="8" t="s">
        <v>18015</v>
      </c>
      <c r="Z2024" s="8" t="s">
        <v>18015</v>
      </c>
      <c r="AA2024" s="7" t="n">
        <v>515</v>
      </c>
      <c r="AB2024" s="7" t="n">
        <v>460</v>
      </c>
      <c r="AC2024" s="7" t="n">
        <v>468</v>
      </c>
      <c r="AD2024" s="7" t="n">
        <v>4</v>
      </c>
      <c r="AE2024" s="7" t="n">
        <v>4</v>
      </c>
      <c r="AF2024" s="7" t="n">
        <v>27</v>
      </c>
      <c r="AG2024" s="7" t="n">
        <v>27</v>
      </c>
      <c r="AH2024" s="7" t="n">
        <v>13</v>
      </c>
      <c r="AI2024" s="7" t="n">
        <v>13</v>
      </c>
      <c r="AJ2024" s="7" t="n">
        <v>5</v>
      </c>
      <c r="AK2024" s="7" t="n">
        <v>5</v>
      </c>
      <c r="AL2024" s="7" t="n">
        <v>15</v>
      </c>
      <c r="AM2024" s="7" t="n">
        <v>15</v>
      </c>
      <c r="AN2024" s="7" t="n">
        <v>3</v>
      </c>
      <c r="AO2024" s="7" t="n">
        <v>3</v>
      </c>
      <c r="AP2024" s="7" t="n">
        <v>0</v>
      </c>
      <c r="AQ2024" s="7" t="n">
        <v>0</v>
      </c>
      <c r="AR2024" s="6" t="s">
        <v>63</v>
      </c>
      <c r="AS2024" s="6" t="s">
        <v>57</v>
      </c>
      <c r="AT2024" s="9" t="str">
        <f aca="false">HYPERLINK("http://catalog.hathitrust.org/Record/001382499","HathiTrust Record")</f>
        <v>HathiTrust Record</v>
      </c>
      <c r="AU2024" s="9" t="str">
        <f aca="false">HYPERLINK("https://creighton-primo.hosted.exlibrisgroup.com/primo-explore/search?tab=default_tab&amp;search_scope=EVERYTHING&amp;vid=01CRU&amp;lang=en_US&amp;offset=0&amp;query=any,contains,991005433189702656","Catalog Record")</f>
        <v>Catalog Record</v>
      </c>
      <c r="AV2024" s="9" t="str">
        <f aca="false">HYPERLINK("http://www.worldcat.org/oclc/1684","WorldCat Record")</f>
        <v>WorldCat Record</v>
      </c>
      <c r="AW2024" s="6" t="s">
        <v>18066</v>
      </c>
      <c r="AX2024" s="6" t="s">
        <v>18067</v>
      </c>
      <c r="AY2024" s="6" t="s">
        <v>18068</v>
      </c>
      <c r="AZ2024" s="6" t="s">
        <v>18068</v>
      </c>
      <c r="BA2024" s="6" t="s">
        <v>18069</v>
      </c>
      <c r="BB2024" s="28"/>
      <c r="BC2024" s="6" t="s">
        <v>18070</v>
      </c>
      <c r="BE2024" s="15" t="s">
        <v>2145</v>
      </c>
      <c r="BF2024" s="6" t="s">
        <v>18071</v>
      </c>
    </row>
    <row r="2025" customFormat="false" ht="59.5" hidden="false" customHeight="false" outlineLevel="0" collapsed="false">
      <c r="A2025" s="26" t="s">
        <v>63</v>
      </c>
      <c r="B2025" s="27" t="s">
        <v>2129</v>
      </c>
      <c r="C2025" s="27" t="s">
        <v>2130</v>
      </c>
      <c r="D2025" s="27" t="s">
        <v>18072</v>
      </c>
      <c r="E2025" s="27" t="s">
        <v>18073</v>
      </c>
      <c r="F2025" s="27" t="s">
        <v>18074</v>
      </c>
      <c r="G2025" s="28"/>
      <c r="H2025" s="6" t="s">
        <v>63</v>
      </c>
      <c r="I2025" s="6" t="s">
        <v>62</v>
      </c>
      <c r="J2025" s="6" t="s">
        <v>63</v>
      </c>
      <c r="K2025" s="6" t="s">
        <v>63</v>
      </c>
      <c r="L2025" s="6" t="s">
        <v>64</v>
      </c>
      <c r="M2025" s="27" t="s">
        <v>18075</v>
      </c>
      <c r="N2025" s="27" t="s">
        <v>18076</v>
      </c>
      <c r="O2025" s="6" t="s">
        <v>254</v>
      </c>
      <c r="P2025" s="28"/>
      <c r="Q2025" s="6" t="s">
        <v>67</v>
      </c>
      <c r="R2025" s="6" t="s">
        <v>181</v>
      </c>
      <c r="S2025" s="28"/>
      <c r="T2025" s="6" t="s">
        <v>6138</v>
      </c>
      <c r="U2025" s="7" t="n">
        <v>1</v>
      </c>
      <c r="V2025" s="7" t="n">
        <v>1</v>
      </c>
      <c r="W2025" s="8" t="s">
        <v>5336</v>
      </c>
      <c r="X2025" s="8" t="s">
        <v>5336</v>
      </c>
      <c r="Y2025" s="8" t="s">
        <v>18015</v>
      </c>
      <c r="Z2025" s="8" t="s">
        <v>18015</v>
      </c>
      <c r="AA2025" s="7" t="n">
        <v>174</v>
      </c>
      <c r="AB2025" s="7" t="n">
        <v>153</v>
      </c>
      <c r="AC2025" s="7" t="n">
        <v>414</v>
      </c>
      <c r="AD2025" s="7" t="n">
        <v>1</v>
      </c>
      <c r="AE2025" s="7" t="n">
        <v>4</v>
      </c>
      <c r="AF2025" s="7" t="n">
        <v>9</v>
      </c>
      <c r="AG2025" s="7" t="n">
        <v>28</v>
      </c>
      <c r="AH2025" s="7" t="n">
        <v>3</v>
      </c>
      <c r="AI2025" s="7" t="n">
        <v>10</v>
      </c>
      <c r="AJ2025" s="7" t="n">
        <v>3</v>
      </c>
      <c r="AK2025" s="7" t="n">
        <v>7</v>
      </c>
      <c r="AL2025" s="7" t="n">
        <v>5</v>
      </c>
      <c r="AM2025" s="7" t="n">
        <v>16</v>
      </c>
      <c r="AN2025" s="7" t="n">
        <v>0</v>
      </c>
      <c r="AO2025" s="7" t="n">
        <v>3</v>
      </c>
      <c r="AP2025" s="7" t="n">
        <v>0</v>
      </c>
      <c r="AQ2025" s="7" t="n">
        <v>0</v>
      </c>
      <c r="AR2025" s="6" t="s">
        <v>63</v>
      </c>
      <c r="AS2025" s="6" t="s">
        <v>63</v>
      </c>
      <c r="AT2025" s="28"/>
      <c r="AU2025" s="9" t="str">
        <f aca="false">HYPERLINK("https://creighton-primo.hosted.exlibrisgroup.com/primo-explore/search?tab=default_tab&amp;search_scope=EVERYTHING&amp;vid=01CRU&amp;lang=en_US&amp;offset=0&amp;query=any,contains,991002899509702656","Catalog Record")</f>
        <v>Catalog Record</v>
      </c>
      <c r="AV2025" s="9" t="str">
        <f aca="false">HYPERLINK("http://www.worldcat.org/oclc/516187","WorldCat Record")</f>
        <v>WorldCat Record</v>
      </c>
      <c r="AW2025" s="6" t="s">
        <v>18077</v>
      </c>
      <c r="AX2025" s="6" t="s">
        <v>18078</v>
      </c>
      <c r="AY2025" s="6" t="s">
        <v>18079</v>
      </c>
      <c r="AZ2025" s="6" t="s">
        <v>18079</v>
      </c>
      <c r="BA2025" s="6" t="s">
        <v>18080</v>
      </c>
      <c r="BB2025" s="6" t="s">
        <v>18081</v>
      </c>
      <c r="BC2025" s="6" t="s">
        <v>18082</v>
      </c>
      <c r="BE2025" s="15" t="s">
        <v>2145</v>
      </c>
      <c r="BF2025" s="6" t="s">
        <v>18083</v>
      </c>
    </row>
    <row r="2026" customFormat="false" ht="140" hidden="false" customHeight="false" outlineLevel="0" collapsed="false">
      <c r="A2026" s="26" t="s">
        <v>63</v>
      </c>
      <c r="B2026" s="27" t="s">
        <v>2129</v>
      </c>
      <c r="C2026" s="27" t="s">
        <v>2130</v>
      </c>
      <c r="D2026" s="27" t="s">
        <v>18084</v>
      </c>
      <c r="E2026" s="27" t="s">
        <v>18085</v>
      </c>
      <c r="F2026" s="27" t="s">
        <v>18086</v>
      </c>
      <c r="G2026" s="28"/>
      <c r="H2026" s="6" t="s">
        <v>63</v>
      </c>
      <c r="I2026" s="6" t="s">
        <v>62</v>
      </c>
      <c r="J2026" s="6" t="s">
        <v>63</v>
      </c>
      <c r="K2026" s="6" t="s">
        <v>63</v>
      </c>
      <c r="L2026" s="6" t="s">
        <v>64</v>
      </c>
      <c r="M2026" s="27" t="s">
        <v>18087</v>
      </c>
      <c r="N2026" s="27" t="s">
        <v>18088</v>
      </c>
      <c r="O2026" s="6" t="s">
        <v>3513</v>
      </c>
      <c r="P2026" s="28"/>
      <c r="Q2026" s="6" t="s">
        <v>67</v>
      </c>
      <c r="R2026" s="6" t="s">
        <v>384</v>
      </c>
      <c r="S2026" s="28"/>
      <c r="T2026" s="6" t="s">
        <v>6138</v>
      </c>
      <c r="U2026" s="7" t="n">
        <v>1</v>
      </c>
      <c r="V2026" s="7" t="n">
        <v>1</v>
      </c>
      <c r="W2026" s="8" t="s">
        <v>4290</v>
      </c>
      <c r="X2026" s="8" t="s">
        <v>4290</v>
      </c>
      <c r="Y2026" s="8" t="s">
        <v>18015</v>
      </c>
      <c r="Z2026" s="8" t="s">
        <v>18015</v>
      </c>
      <c r="AA2026" s="7" t="n">
        <v>332</v>
      </c>
      <c r="AB2026" s="7" t="n">
        <v>252</v>
      </c>
      <c r="AC2026" s="7" t="n">
        <v>254</v>
      </c>
      <c r="AD2026" s="7" t="n">
        <v>2</v>
      </c>
      <c r="AE2026" s="7" t="n">
        <v>2</v>
      </c>
      <c r="AF2026" s="7" t="n">
        <v>17</v>
      </c>
      <c r="AG2026" s="7" t="n">
        <v>17</v>
      </c>
      <c r="AH2026" s="7" t="n">
        <v>5</v>
      </c>
      <c r="AI2026" s="7" t="n">
        <v>5</v>
      </c>
      <c r="AJ2026" s="7" t="n">
        <v>5</v>
      </c>
      <c r="AK2026" s="7" t="n">
        <v>5</v>
      </c>
      <c r="AL2026" s="7" t="n">
        <v>13</v>
      </c>
      <c r="AM2026" s="7" t="n">
        <v>13</v>
      </c>
      <c r="AN2026" s="7" t="n">
        <v>1</v>
      </c>
      <c r="AO2026" s="7" t="n">
        <v>1</v>
      </c>
      <c r="AP2026" s="7" t="n">
        <v>0</v>
      </c>
      <c r="AQ2026" s="7" t="n">
        <v>0</v>
      </c>
      <c r="AR2026" s="6" t="s">
        <v>63</v>
      </c>
      <c r="AS2026" s="6" t="s">
        <v>57</v>
      </c>
      <c r="AT2026" s="9" t="str">
        <f aca="false">HYPERLINK("http://catalog.hathitrust.org/Record/001382514","HathiTrust Record")</f>
        <v>HathiTrust Record</v>
      </c>
      <c r="AU2026" s="9" t="str">
        <f aca="false">HYPERLINK("https://creighton-primo.hosted.exlibrisgroup.com/primo-explore/search?tab=default_tab&amp;search_scope=EVERYTHING&amp;vid=01CRU&amp;lang=en_US&amp;offset=0&amp;query=any,contains,991002827609702656","Catalog Record")</f>
        <v>Catalog Record</v>
      </c>
      <c r="AV2026" s="9" t="str">
        <f aca="false">HYPERLINK("http://www.worldcat.org/oclc/476108","WorldCat Record")</f>
        <v>WorldCat Record</v>
      </c>
      <c r="AW2026" s="6" t="s">
        <v>18089</v>
      </c>
      <c r="AX2026" s="6" t="s">
        <v>18090</v>
      </c>
      <c r="AY2026" s="6" t="s">
        <v>18091</v>
      </c>
      <c r="AZ2026" s="6" t="s">
        <v>18091</v>
      </c>
      <c r="BA2026" s="6" t="s">
        <v>18092</v>
      </c>
      <c r="BB2026" s="28"/>
      <c r="BC2026" s="6" t="s">
        <v>18093</v>
      </c>
      <c r="BE2026" s="15" t="s">
        <v>2145</v>
      </c>
      <c r="BF2026" s="6" t="s">
        <v>18094</v>
      </c>
    </row>
    <row r="2027" customFormat="false" ht="59.5" hidden="false" customHeight="false" outlineLevel="0" collapsed="false">
      <c r="A2027" s="26" t="s">
        <v>63</v>
      </c>
      <c r="B2027" s="27" t="s">
        <v>2129</v>
      </c>
      <c r="C2027" s="27" t="s">
        <v>2130</v>
      </c>
      <c r="D2027" s="27" t="s">
        <v>18095</v>
      </c>
      <c r="E2027" s="27" t="s">
        <v>18096</v>
      </c>
      <c r="F2027" s="27" t="s">
        <v>18097</v>
      </c>
      <c r="G2027" s="28"/>
      <c r="H2027" s="6" t="s">
        <v>63</v>
      </c>
      <c r="I2027" s="6" t="s">
        <v>62</v>
      </c>
      <c r="J2027" s="6" t="s">
        <v>63</v>
      </c>
      <c r="K2027" s="6" t="s">
        <v>63</v>
      </c>
      <c r="L2027" s="6" t="s">
        <v>64</v>
      </c>
      <c r="M2027" s="27" t="s">
        <v>18098</v>
      </c>
      <c r="N2027" s="27" t="s">
        <v>18099</v>
      </c>
      <c r="O2027" s="6" t="s">
        <v>2329</v>
      </c>
      <c r="P2027" s="28"/>
      <c r="Q2027" s="6" t="s">
        <v>67</v>
      </c>
      <c r="R2027" s="6" t="s">
        <v>123</v>
      </c>
      <c r="S2027" s="28"/>
      <c r="T2027" s="6" t="s">
        <v>6138</v>
      </c>
      <c r="U2027" s="7" t="n">
        <v>9</v>
      </c>
      <c r="V2027" s="7" t="n">
        <v>9</v>
      </c>
      <c r="W2027" s="8" t="s">
        <v>18100</v>
      </c>
      <c r="X2027" s="8" t="s">
        <v>18100</v>
      </c>
      <c r="Y2027" s="8" t="s">
        <v>18015</v>
      </c>
      <c r="Z2027" s="8" t="s">
        <v>18015</v>
      </c>
      <c r="AA2027" s="7" t="n">
        <v>690</v>
      </c>
      <c r="AB2027" s="7" t="n">
        <v>587</v>
      </c>
      <c r="AC2027" s="7" t="n">
        <v>594</v>
      </c>
      <c r="AD2027" s="7" t="n">
        <v>6</v>
      </c>
      <c r="AE2027" s="7" t="n">
        <v>6</v>
      </c>
      <c r="AF2027" s="7" t="n">
        <v>28</v>
      </c>
      <c r="AG2027" s="7" t="n">
        <v>29</v>
      </c>
      <c r="AH2027" s="7" t="n">
        <v>10</v>
      </c>
      <c r="AI2027" s="7" t="n">
        <v>11</v>
      </c>
      <c r="AJ2027" s="7" t="n">
        <v>9</v>
      </c>
      <c r="AK2027" s="7" t="n">
        <v>10</v>
      </c>
      <c r="AL2027" s="7" t="n">
        <v>12</v>
      </c>
      <c r="AM2027" s="7" t="n">
        <v>12</v>
      </c>
      <c r="AN2027" s="7" t="n">
        <v>4</v>
      </c>
      <c r="AO2027" s="7" t="n">
        <v>4</v>
      </c>
      <c r="AP2027" s="7" t="n">
        <v>0</v>
      </c>
      <c r="AQ2027" s="7" t="n">
        <v>0</v>
      </c>
      <c r="AR2027" s="6" t="s">
        <v>63</v>
      </c>
      <c r="AS2027" s="6" t="s">
        <v>63</v>
      </c>
      <c r="AT2027" s="28"/>
      <c r="AU2027" s="9" t="str">
        <f aca="false">HYPERLINK("https://creighton-primo.hosted.exlibrisgroup.com/primo-explore/search?tab=default_tab&amp;search_scope=EVERYTHING&amp;vid=01CRU&amp;lang=en_US&amp;offset=0&amp;query=any,contains,991003190379702656","Catalog Record")</f>
        <v>Catalog Record</v>
      </c>
      <c r="AV2027" s="9" t="str">
        <f aca="false">HYPERLINK("http://www.worldcat.org/oclc/41441166","WorldCat Record")</f>
        <v>WorldCat Record</v>
      </c>
      <c r="AW2027" s="6" t="s">
        <v>18101</v>
      </c>
      <c r="AX2027" s="6" t="s">
        <v>18102</v>
      </c>
      <c r="AY2027" s="6" t="s">
        <v>18103</v>
      </c>
      <c r="AZ2027" s="6" t="s">
        <v>18103</v>
      </c>
      <c r="BA2027" s="6" t="s">
        <v>18104</v>
      </c>
      <c r="BB2027" s="28"/>
      <c r="BC2027" s="6" t="s">
        <v>18105</v>
      </c>
      <c r="BE2027" s="15" t="s">
        <v>2145</v>
      </c>
      <c r="BF2027" s="6" t="s">
        <v>18106</v>
      </c>
    </row>
    <row r="2028" customFormat="false" ht="94" hidden="false" customHeight="false" outlineLevel="0" collapsed="false">
      <c r="A2028" s="26" t="s">
        <v>63</v>
      </c>
      <c r="B2028" s="27" t="s">
        <v>2129</v>
      </c>
      <c r="C2028" s="27" t="s">
        <v>2130</v>
      </c>
      <c r="D2028" s="27" t="s">
        <v>18107</v>
      </c>
      <c r="E2028" s="27" t="s">
        <v>18108</v>
      </c>
      <c r="F2028" s="27" t="s">
        <v>18109</v>
      </c>
      <c r="G2028" s="28"/>
      <c r="H2028" s="6" t="s">
        <v>63</v>
      </c>
      <c r="I2028" s="6" t="s">
        <v>62</v>
      </c>
      <c r="J2028" s="6" t="s">
        <v>63</v>
      </c>
      <c r="K2028" s="6" t="s">
        <v>63</v>
      </c>
      <c r="L2028" s="6" t="s">
        <v>64</v>
      </c>
      <c r="M2028" s="27" t="s">
        <v>18110</v>
      </c>
      <c r="N2028" s="27" t="s">
        <v>18111</v>
      </c>
      <c r="O2028" s="6" t="s">
        <v>246</v>
      </c>
      <c r="P2028" s="28"/>
      <c r="Q2028" s="6" t="s">
        <v>67</v>
      </c>
      <c r="R2028" s="6" t="s">
        <v>181</v>
      </c>
      <c r="S2028" s="28"/>
      <c r="T2028" s="6" t="s">
        <v>6138</v>
      </c>
      <c r="U2028" s="7" t="n">
        <v>2</v>
      </c>
      <c r="V2028" s="7" t="n">
        <v>2</v>
      </c>
      <c r="W2028" s="8" t="s">
        <v>18112</v>
      </c>
      <c r="X2028" s="8" t="s">
        <v>18112</v>
      </c>
      <c r="Y2028" s="8" t="s">
        <v>4639</v>
      </c>
      <c r="Z2028" s="8" t="s">
        <v>4639</v>
      </c>
      <c r="AA2028" s="7" t="n">
        <v>73</v>
      </c>
      <c r="AB2028" s="7" t="n">
        <v>63</v>
      </c>
      <c r="AC2028" s="7" t="n">
        <v>1024</v>
      </c>
      <c r="AD2028" s="7" t="n">
        <v>1</v>
      </c>
      <c r="AE2028" s="7" t="n">
        <v>7</v>
      </c>
      <c r="AF2028" s="7" t="n">
        <v>2</v>
      </c>
      <c r="AG2028" s="7" t="n">
        <v>44</v>
      </c>
      <c r="AH2028" s="7" t="n">
        <v>0</v>
      </c>
      <c r="AI2028" s="7" t="n">
        <v>20</v>
      </c>
      <c r="AJ2028" s="7" t="n">
        <v>0</v>
      </c>
      <c r="AK2028" s="7" t="n">
        <v>8</v>
      </c>
      <c r="AL2028" s="7" t="n">
        <v>2</v>
      </c>
      <c r="AM2028" s="7" t="n">
        <v>24</v>
      </c>
      <c r="AN2028" s="7" t="n">
        <v>0</v>
      </c>
      <c r="AO2028" s="7" t="n">
        <v>4</v>
      </c>
      <c r="AP2028" s="7" t="n">
        <v>0</v>
      </c>
      <c r="AQ2028" s="7" t="n">
        <v>0</v>
      </c>
      <c r="AR2028" s="6" t="s">
        <v>63</v>
      </c>
      <c r="AS2028" s="6" t="s">
        <v>57</v>
      </c>
      <c r="AT2028" s="9" t="str">
        <f aca="false">HYPERLINK("http://catalog.hathitrust.org/Record/101983887","HathiTrust Record")</f>
        <v>HathiTrust Record</v>
      </c>
      <c r="AU2028" s="9" t="str">
        <f aca="false">HYPERLINK("https://creighton-primo.hosted.exlibrisgroup.com/primo-explore/search?tab=default_tab&amp;search_scope=EVERYTHING&amp;vid=01CRU&amp;lang=en_US&amp;offset=0&amp;query=any,contains,991004610099702656","Catalog Record")</f>
        <v>Catalog Record</v>
      </c>
      <c r="AV2028" s="9" t="str">
        <f aca="false">HYPERLINK("http://www.worldcat.org/oclc/4211040","WorldCat Record")</f>
        <v>WorldCat Record</v>
      </c>
      <c r="AW2028" s="6" t="s">
        <v>18113</v>
      </c>
      <c r="AX2028" s="6" t="s">
        <v>18114</v>
      </c>
      <c r="AY2028" s="6" t="s">
        <v>18115</v>
      </c>
      <c r="AZ2028" s="6" t="s">
        <v>18115</v>
      </c>
      <c r="BA2028" s="6" t="s">
        <v>18116</v>
      </c>
      <c r="BB2028" s="6" t="s">
        <v>18117</v>
      </c>
      <c r="BC2028" s="6" t="s">
        <v>18118</v>
      </c>
      <c r="BE2028" s="15" t="s">
        <v>2145</v>
      </c>
      <c r="BF2028" s="6" t="s">
        <v>18119</v>
      </c>
    </row>
    <row r="2029" customFormat="false" ht="82.5" hidden="false" customHeight="false" outlineLevel="0" collapsed="false">
      <c r="A2029" s="26" t="s">
        <v>63</v>
      </c>
      <c r="B2029" s="27" t="s">
        <v>2129</v>
      </c>
      <c r="C2029" s="27" t="s">
        <v>2130</v>
      </c>
      <c r="D2029" s="27" t="s">
        <v>18120</v>
      </c>
      <c r="E2029" s="27" t="s">
        <v>18121</v>
      </c>
      <c r="F2029" s="27" t="s">
        <v>18122</v>
      </c>
      <c r="G2029" s="28"/>
      <c r="H2029" s="6" t="s">
        <v>63</v>
      </c>
      <c r="I2029" s="6" t="s">
        <v>62</v>
      </c>
      <c r="J2029" s="6" t="s">
        <v>63</v>
      </c>
      <c r="K2029" s="6" t="s">
        <v>63</v>
      </c>
      <c r="L2029" s="6" t="s">
        <v>64</v>
      </c>
      <c r="M2029" s="27" t="s">
        <v>18123</v>
      </c>
      <c r="N2029" s="27" t="s">
        <v>18124</v>
      </c>
      <c r="O2029" s="6" t="s">
        <v>2136</v>
      </c>
      <c r="P2029" s="28"/>
      <c r="Q2029" s="6" t="s">
        <v>67</v>
      </c>
      <c r="R2029" s="6" t="s">
        <v>123</v>
      </c>
      <c r="S2029" s="27" t="s">
        <v>18125</v>
      </c>
      <c r="T2029" s="6" t="s">
        <v>6138</v>
      </c>
      <c r="U2029" s="7" t="n">
        <v>1</v>
      </c>
      <c r="V2029" s="7" t="n">
        <v>1</v>
      </c>
      <c r="W2029" s="8" t="s">
        <v>18126</v>
      </c>
      <c r="X2029" s="8" t="s">
        <v>18126</v>
      </c>
      <c r="Y2029" s="8" t="s">
        <v>4639</v>
      </c>
      <c r="Z2029" s="8" t="s">
        <v>4639</v>
      </c>
      <c r="AA2029" s="7" t="n">
        <v>289</v>
      </c>
      <c r="AB2029" s="7" t="n">
        <v>267</v>
      </c>
      <c r="AC2029" s="7" t="n">
        <v>558</v>
      </c>
      <c r="AD2029" s="7" t="n">
        <v>4</v>
      </c>
      <c r="AE2029" s="7" t="n">
        <v>6</v>
      </c>
      <c r="AF2029" s="7" t="n">
        <v>25</v>
      </c>
      <c r="AG2029" s="7" t="n">
        <v>36</v>
      </c>
      <c r="AH2029" s="7" t="n">
        <v>9</v>
      </c>
      <c r="AI2029" s="7" t="n">
        <v>14</v>
      </c>
      <c r="AJ2029" s="7" t="n">
        <v>4</v>
      </c>
      <c r="AK2029" s="7" t="n">
        <v>8</v>
      </c>
      <c r="AL2029" s="7" t="n">
        <v>19</v>
      </c>
      <c r="AM2029" s="7" t="n">
        <v>22</v>
      </c>
      <c r="AN2029" s="7" t="n">
        <v>2</v>
      </c>
      <c r="AO2029" s="7" t="n">
        <v>4</v>
      </c>
      <c r="AP2029" s="7" t="n">
        <v>0</v>
      </c>
      <c r="AQ2029" s="7" t="n">
        <v>0</v>
      </c>
      <c r="AR2029" s="6" t="s">
        <v>63</v>
      </c>
      <c r="AS2029" s="6" t="s">
        <v>63</v>
      </c>
      <c r="AT2029" s="28"/>
      <c r="AU2029" s="9" t="str">
        <f aca="false">HYPERLINK("https://creighton-primo.hosted.exlibrisgroup.com/primo-explore/search?tab=default_tab&amp;search_scope=EVERYTHING&amp;vid=01CRU&amp;lang=en_US&amp;offset=0&amp;query=any,contains,991002918209702656","Catalog Record")</f>
        <v>Catalog Record</v>
      </c>
      <c r="AV2029" s="9" t="str">
        <f aca="false">HYPERLINK("http://www.worldcat.org/oclc/525489","WorldCat Record")</f>
        <v>WorldCat Record</v>
      </c>
      <c r="AW2029" s="6" t="s">
        <v>18127</v>
      </c>
      <c r="AX2029" s="6" t="s">
        <v>18128</v>
      </c>
      <c r="AY2029" s="6" t="s">
        <v>18129</v>
      </c>
      <c r="AZ2029" s="6" t="s">
        <v>18129</v>
      </c>
      <c r="BA2029" s="6" t="s">
        <v>18130</v>
      </c>
      <c r="BB2029" s="28"/>
      <c r="BC2029" s="6" t="s">
        <v>18131</v>
      </c>
      <c r="BE2029" s="15" t="s">
        <v>2145</v>
      </c>
      <c r="BF2029" s="6" t="s">
        <v>18132</v>
      </c>
    </row>
    <row r="2030" customFormat="false" ht="151.5" hidden="false" customHeight="false" outlineLevel="0" collapsed="false">
      <c r="A2030" s="26" t="s">
        <v>63</v>
      </c>
      <c r="B2030" s="27" t="s">
        <v>2129</v>
      </c>
      <c r="C2030" s="27" t="s">
        <v>2130</v>
      </c>
      <c r="D2030" s="27" t="s">
        <v>18133</v>
      </c>
      <c r="E2030" s="27" t="s">
        <v>18134</v>
      </c>
      <c r="F2030" s="27" t="s">
        <v>10192</v>
      </c>
      <c r="G2030" s="28"/>
      <c r="H2030" s="6" t="s">
        <v>57</v>
      </c>
      <c r="I2030" s="6" t="s">
        <v>62</v>
      </c>
      <c r="J2030" s="6" t="s">
        <v>57</v>
      </c>
      <c r="K2030" s="6" t="s">
        <v>63</v>
      </c>
      <c r="L2030" s="6" t="s">
        <v>64</v>
      </c>
      <c r="M2030" s="27" t="s">
        <v>10193</v>
      </c>
      <c r="N2030" s="28"/>
      <c r="O2030" s="6" t="s">
        <v>3068</v>
      </c>
      <c r="P2030" s="28"/>
      <c r="Q2030" s="6" t="s">
        <v>4501</v>
      </c>
      <c r="R2030" s="6" t="s">
        <v>748</v>
      </c>
      <c r="S2030" s="27" t="s">
        <v>10194</v>
      </c>
      <c r="T2030" s="6" t="s">
        <v>6138</v>
      </c>
      <c r="U2030" s="7" t="n">
        <v>0</v>
      </c>
      <c r="V2030" s="7" t="n">
        <v>2</v>
      </c>
      <c r="W2030" s="28"/>
      <c r="X2030" s="8" t="s">
        <v>8656</v>
      </c>
      <c r="Y2030" s="8" t="s">
        <v>4639</v>
      </c>
      <c r="Z2030" s="8" t="s">
        <v>4639</v>
      </c>
      <c r="AA2030" s="7" t="n">
        <v>123</v>
      </c>
      <c r="AB2030" s="7" t="n">
        <v>101</v>
      </c>
      <c r="AC2030" s="7" t="n">
        <v>154</v>
      </c>
      <c r="AD2030" s="7" t="n">
        <v>1</v>
      </c>
      <c r="AE2030" s="7" t="n">
        <v>1</v>
      </c>
      <c r="AF2030" s="7" t="n">
        <v>16</v>
      </c>
      <c r="AG2030" s="7" t="n">
        <v>21</v>
      </c>
      <c r="AH2030" s="7" t="n">
        <v>4</v>
      </c>
      <c r="AI2030" s="7" t="n">
        <v>4</v>
      </c>
      <c r="AJ2030" s="7" t="n">
        <v>3</v>
      </c>
      <c r="AK2030" s="7" t="n">
        <v>7</v>
      </c>
      <c r="AL2030" s="7" t="n">
        <v>15</v>
      </c>
      <c r="AM2030" s="7" t="n">
        <v>18</v>
      </c>
      <c r="AN2030" s="7" t="n">
        <v>0</v>
      </c>
      <c r="AO2030" s="7" t="n">
        <v>0</v>
      </c>
      <c r="AP2030" s="7" t="n">
        <v>0</v>
      </c>
      <c r="AQ2030" s="7" t="n">
        <v>0</v>
      </c>
      <c r="AR2030" s="6" t="s">
        <v>63</v>
      </c>
      <c r="AS2030" s="6" t="s">
        <v>57</v>
      </c>
      <c r="AT2030" s="9" t="str">
        <f aca="false">HYPERLINK("http://catalog.hathitrust.org/Record/009946952","HathiTrust Record")</f>
        <v>HathiTrust Record</v>
      </c>
      <c r="AU2030" s="9" t="str">
        <f aca="false">HYPERLINK("https://creighton-primo.hosted.exlibrisgroup.com/primo-explore/search?tab=default_tab&amp;search_scope=EVERYTHING&amp;vid=01CRU&amp;lang=en_US&amp;offset=0&amp;query=any,contains,991004890629702656","Catalog Record")</f>
        <v>Catalog Record</v>
      </c>
      <c r="AV2030" s="9" t="str">
        <f aca="false">HYPERLINK("http://www.worldcat.org/oclc/2760298","WorldCat Record")</f>
        <v>WorldCat Record</v>
      </c>
      <c r="AW2030" s="6" t="s">
        <v>10195</v>
      </c>
      <c r="AX2030" s="6" t="s">
        <v>10196</v>
      </c>
      <c r="AY2030" s="6" t="s">
        <v>10197</v>
      </c>
      <c r="AZ2030" s="6" t="s">
        <v>10197</v>
      </c>
      <c r="BA2030" s="6" t="s">
        <v>10198</v>
      </c>
      <c r="BB2030" s="28"/>
      <c r="BC2030" s="6" t="s">
        <v>18135</v>
      </c>
      <c r="BE2030" s="15" t="s">
        <v>2145</v>
      </c>
      <c r="BF2030" s="6" t="s">
        <v>18136</v>
      </c>
    </row>
    <row r="2031" customFormat="false" ht="71" hidden="false" customHeight="false" outlineLevel="0" collapsed="false">
      <c r="A2031" s="26" t="s">
        <v>63</v>
      </c>
      <c r="B2031" s="27" t="s">
        <v>2129</v>
      </c>
      <c r="C2031" s="27" t="s">
        <v>2130</v>
      </c>
      <c r="D2031" s="27" t="s">
        <v>18137</v>
      </c>
      <c r="E2031" s="27" t="s">
        <v>18138</v>
      </c>
      <c r="F2031" s="27" t="s">
        <v>18139</v>
      </c>
      <c r="G2031" s="28"/>
      <c r="H2031" s="6" t="s">
        <v>63</v>
      </c>
      <c r="I2031" s="6" t="s">
        <v>62</v>
      </c>
      <c r="J2031" s="6" t="s">
        <v>63</v>
      </c>
      <c r="K2031" s="6" t="s">
        <v>63</v>
      </c>
      <c r="L2031" s="6" t="s">
        <v>64</v>
      </c>
      <c r="M2031" s="27" t="s">
        <v>18140</v>
      </c>
      <c r="N2031" s="27" t="s">
        <v>18141</v>
      </c>
      <c r="O2031" s="6" t="s">
        <v>3513</v>
      </c>
      <c r="P2031" s="28"/>
      <c r="Q2031" s="6" t="s">
        <v>67</v>
      </c>
      <c r="R2031" s="6" t="s">
        <v>123</v>
      </c>
      <c r="S2031" s="28"/>
      <c r="T2031" s="6" t="s">
        <v>6138</v>
      </c>
      <c r="U2031" s="7" t="n">
        <v>3</v>
      </c>
      <c r="V2031" s="7" t="n">
        <v>3</v>
      </c>
      <c r="W2031" s="8" t="s">
        <v>18142</v>
      </c>
      <c r="X2031" s="8" t="s">
        <v>18142</v>
      </c>
      <c r="Y2031" s="8" t="s">
        <v>4639</v>
      </c>
      <c r="Z2031" s="8" t="s">
        <v>4639</v>
      </c>
      <c r="AA2031" s="7" t="n">
        <v>236</v>
      </c>
      <c r="AB2031" s="7" t="n">
        <v>172</v>
      </c>
      <c r="AC2031" s="7" t="n">
        <v>242</v>
      </c>
      <c r="AD2031" s="7" t="n">
        <v>4</v>
      </c>
      <c r="AE2031" s="7" t="n">
        <v>5</v>
      </c>
      <c r="AF2031" s="7" t="n">
        <v>17</v>
      </c>
      <c r="AG2031" s="7" t="n">
        <v>21</v>
      </c>
      <c r="AH2031" s="7" t="n">
        <v>5</v>
      </c>
      <c r="AI2031" s="7" t="n">
        <v>5</v>
      </c>
      <c r="AJ2031" s="7" t="n">
        <v>3</v>
      </c>
      <c r="AK2031" s="7" t="n">
        <v>5</v>
      </c>
      <c r="AL2031" s="7" t="n">
        <v>12</v>
      </c>
      <c r="AM2031" s="7" t="n">
        <v>15</v>
      </c>
      <c r="AN2031" s="7" t="n">
        <v>2</v>
      </c>
      <c r="AO2031" s="7" t="n">
        <v>2</v>
      </c>
      <c r="AP2031" s="7" t="n">
        <v>0</v>
      </c>
      <c r="AQ2031" s="7" t="n">
        <v>0</v>
      </c>
      <c r="AR2031" s="6" t="s">
        <v>63</v>
      </c>
      <c r="AS2031" s="6" t="s">
        <v>63</v>
      </c>
      <c r="AT2031" s="28"/>
      <c r="AU2031" s="9" t="str">
        <f aca="false">HYPERLINK("https://creighton-primo.hosted.exlibrisgroup.com/primo-explore/search?tab=default_tab&amp;search_scope=EVERYTHING&amp;vid=01CRU&amp;lang=en_US&amp;offset=0&amp;query=any,contains,991002862259702656","Catalog Record")</f>
        <v>Catalog Record</v>
      </c>
      <c r="AV2031" s="9" t="str">
        <f aca="false">HYPERLINK("http://www.worldcat.org/oclc/494132","WorldCat Record")</f>
        <v>WorldCat Record</v>
      </c>
      <c r="AW2031" s="6" t="s">
        <v>18143</v>
      </c>
      <c r="AX2031" s="6" t="s">
        <v>18144</v>
      </c>
      <c r="AY2031" s="6" t="s">
        <v>18145</v>
      </c>
      <c r="AZ2031" s="6" t="s">
        <v>18145</v>
      </c>
      <c r="BA2031" s="6" t="s">
        <v>18146</v>
      </c>
      <c r="BB2031" s="28"/>
      <c r="BC2031" s="6" t="s">
        <v>18147</v>
      </c>
      <c r="BE2031" s="15" t="s">
        <v>2145</v>
      </c>
      <c r="BF2031" s="6" t="s">
        <v>18148</v>
      </c>
    </row>
    <row r="2032" customFormat="false" ht="94" hidden="false" customHeight="false" outlineLevel="0" collapsed="false">
      <c r="A2032" s="26" t="s">
        <v>63</v>
      </c>
      <c r="B2032" s="27" t="s">
        <v>2129</v>
      </c>
      <c r="C2032" s="27" t="s">
        <v>2130</v>
      </c>
      <c r="D2032" s="27" t="s">
        <v>18149</v>
      </c>
      <c r="E2032" s="27" t="s">
        <v>18150</v>
      </c>
      <c r="F2032" s="27" t="s">
        <v>18151</v>
      </c>
      <c r="G2032" s="28"/>
      <c r="H2032" s="6" t="s">
        <v>63</v>
      </c>
      <c r="I2032" s="6" t="s">
        <v>62</v>
      </c>
      <c r="J2032" s="6" t="s">
        <v>63</v>
      </c>
      <c r="K2032" s="6" t="s">
        <v>63</v>
      </c>
      <c r="L2032" s="6" t="s">
        <v>64</v>
      </c>
      <c r="M2032" s="27" t="s">
        <v>18152</v>
      </c>
      <c r="N2032" s="27" t="s">
        <v>18153</v>
      </c>
      <c r="O2032" s="6" t="s">
        <v>3094</v>
      </c>
      <c r="P2032" s="28"/>
      <c r="Q2032" s="6" t="s">
        <v>67</v>
      </c>
      <c r="R2032" s="6" t="s">
        <v>123</v>
      </c>
      <c r="S2032" s="28"/>
      <c r="T2032" s="6" t="s">
        <v>6138</v>
      </c>
      <c r="U2032" s="7" t="n">
        <v>3</v>
      </c>
      <c r="V2032" s="7" t="n">
        <v>3</v>
      </c>
      <c r="W2032" s="8" t="s">
        <v>18154</v>
      </c>
      <c r="X2032" s="8" t="s">
        <v>18154</v>
      </c>
      <c r="Y2032" s="8" t="s">
        <v>4639</v>
      </c>
      <c r="Z2032" s="8" t="s">
        <v>4639</v>
      </c>
      <c r="AA2032" s="7" t="n">
        <v>610</v>
      </c>
      <c r="AB2032" s="7" t="n">
        <v>549</v>
      </c>
      <c r="AC2032" s="7" t="n">
        <v>564</v>
      </c>
      <c r="AD2032" s="7" t="n">
        <v>3</v>
      </c>
      <c r="AE2032" s="7" t="n">
        <v>3</v>
      </c>
      <c r="AF2032" s="7" t="n">
        <v>28</v>
      </c>
      <c r="AG2032" s="7" t="n">
        <v>29</v>
      </c>
      <c r="AH2032" s="7" t="n">
        <v>10</v>
      </c>
      <c r="AI2032" s="7" t="n">
        <v>11</v>
      </c>
      <c r="AJ2032" s="7" t="n">
        <v>7</v>
      </c>
      <c r="AK2032" s="7" t="n">
        <v>7</v>
      </c>
      <c r="AL2032" s="7" t="n">
        <v>18</v>
      </c>
      <c r="AM2032" s="7" t="n">
        <v>18</v>
      </c>
      <c r="AN2032" s="7" t="n">
        <v>2</v>
      </c>
      <c r="AO2032" s="7" t="n">
        <v>2</v>
      </c>
      <c r="AP2032" s="7" t="n">
        <v>0</v>
      </c>
      <c r="AQ2032" s="7" t="n">
        <v>0</v>
      </c>
      <c r="AR2032" s="6" t="s">
        <v>63</v>
      </c>
      <c r="AS2032" s="6" t="s">
        <v>63</v>
      </c>
      <c r="AT2032" s="9" t="str">
        <f aca="false">HYPERLINK("http://catalog.hathitrust.org/Record/001382611","HathiTrust Record")</f>
        <v>HathiTrust Record</v>
      </c>
      <c r="AU2032" s="9" t="str">
        <f aca="false">HYPERLINK("https://creighton-primo.hosted.exlibrisgroup.com/primo-explore/search?tab=default_tab&amp;search_scope=EVERYTHING&amp;vid=01CRU&amp;lang=en_US&amp;offset=0&amp;query=any,contains,991001005319702656","Catalog Record")</f>
        <v>Catalog Record</v>
      </c>
      <c r="AV2032" s="9" t="str">
        <f aca="false">HYPERLINK("http://www.worldcat.org/oclc/172491","WorldCat Record")</f>
        <v>WorldCat Record</v>
      </c>
      <c r="AW2032" s="6" t="s">
        <v>18155</v>
      </c>
      <c r="AX2032" s="6" t="s">
        <v>18156</v>
      </c>
      <c r="AY2032" s="6" t="s">
        <v>18157</v>
      </c>
      <c r="AZ2032" s="6" t="s">
        <v>18157</v>
      </c>
      <c r="BA2032" s="6" t="s">
        <v>18158</v>
      </c>
      <c r="BB2032" s="28"/>
      <c r="BC2032" s="6" t="s">
        <v>18159</v>
      </c>
      <c r="BE2032" s="15" t="s">
        <v>2145</v>
      </c>
      <c r="BF2032" s="6" t="s">
        <v>18160</v>
      </c>
    </row>
    <row r="2033" customFormat="false" ht="174.5" hidden="false" customHeight="false" outlineLevel="0" collapsed="false">
      <c r="A2033" s="26" t="s">
        <v>63</v>
      </c>
      <c r="B2033" s="27" t="s">
        <v>2129</v>
      </c>
      <c r="C2033" s="27" t="s">
        <v>2130</v>
      </c>
      <c r="D2033" s="27" t="s">
        <v>18161</v>
      </c>
      <c r="E2033" s="27" t="s">
        <v>18162</v>
      </c>
      <c r="F2033" s="27" t="s">
        <v>18163</v>
      </c>
      <c r="G2033" s="28"/>
      <c r="H2033" s="6" t="s">
        <v>63</v>
      </c>
      <c r="I2033" s="6" t="s">
        <v>62</v>
      </c>
      <c r="J2033" s="6" t="s">
        <v>63</v>
      </c>
      <c r="K2033" s="6" t="s">
        <v>63</v>
      </c>
      <c r="L2033" s="6" t="s">
        <v>64</v>
      </c>
      <c r="M2033" s="27" t="s">
        <v>16375</v>
      </c>
      <c r="N2033" s="27" t="s">
        <v>18164</v>
      </c>
      <c r="O2033" s="6" t="s">
        <v>2623</v>
      </c>
      <c r="P2033" s="28"/>
      <c r="Q2033" s="6" t="s">
        <v>67</v>
      </c>
      <c r="R2033" s="6" t="s">
        <v>500</v>
      </c>
      <c r="S2033" s="28"/>
      <c r="T2033" s="6" t="s">
        <v>6138</v>
      </c>
      <c r="U2033" s="7" t="n">
        <v>8</v>
      </c>
      <c r="V2033" s="7" t="n">
        <v>8</v>
      </c>
      <c r="W2033" s="8" t="s">
        <v>18165</v>
      </c>
      <c r="X2033" s="8" t="s">
        <v>18165</v>
      </c>
      <c r="Y2033" s="8" t="s">
        <v>4639</v>
      </c>
      <c r="Z2033" s="8" t="s">
        <v>4639</v>
      </c>
      <c r="AA2033" s="7" t="n">
        <v>485</v>
      </c>
      <c r="AB2033" s="7" t="n">
        <v>415</v>
      </c>
      <c r="AC2033" s="7" t="n">
        <v>434</v>
      </c>
      <c r="AD2033" s="7" t="n">
        <v>1</v>
      </c>
      <c r="AE2033" s="7" t="n">
        <v>2</v>
      </c>
      <c r="AF2033" s="7" t="n">
        <v>19</v>
      </c>
      <c r="AG2033" s="7" t="n">
        <v>21</v>
      </c>
      <c r="AH2033" s="7" t="n">
        <v>9</v>
      </c>
      <c r="AI2033" s="7" t="n">
        <v>10</v>
      </c>
      <c r="AJ2033" s="7" t="n">
        <v>2</v>
      </c>
      <c r="AK2033" s="7" t="n">
        <v>3</v>
      </c>
      <c r="AL2033" s="7" t="n">
        <v>12</v>
      </c>
      <c r="AM2033" s="7" t="n">
        <v>12</v>
      </c>
      <c r="AN2033" s="7" t="n">
        <v>0</v>
      </c>
      <c r="AO2033" s="7" t="n">
        <v>1</v>
      </c>
      <c r="AP2033" s="7" t="n">
        <v>0</v>
      </c>
      <c r="AQ2033" s="7" t="n">
        <v>0</v>
      </c>
      <c r="AR2033" s="6" t="s">
        <v>63</v>
      </c>
      <c r="AS2033" s="6" t="s">
        <v>63</v>
      </c>
      <c r="AT2033" s="28"/>
      <c r="AU2033" s="9" t="str">
        <f aca="false">HYPERLINK("https://creighton-primo.hosted.exlibrisgroup.com/primo-explore/search?tab=default_tab&amp;search_scope=EVERYTHING&amp;vid=01CRU&amp;lang=en_US&amp;offset=0&amp;query=any,contains,991005068549702656","Catalog Record")</f>
        <v>Catalog Record</v>
      </c>
      <c r="AV2033" s="9" t="str">
        <f aca="false">HYPERLINK("http://www.worldcat.org/oclc/6982688","WorldCat Record")</f>
        <v>WorldCat Record</v>
      </c>
      <c r="AW2033" s="6" t="s">
        <v>18166</v>
      </c>
      <c r="AX2033" s="6" t="s">
        <v>18167</v>
      </c>
      <c r="AY2033" s="6" t="s">
        <v>18168</v>
      </c>
      <c r="AZ2033" s="6" t="s">
        <v>18168</v>
      </c>
      <c r="BA2033" s="6" t="s">
        <v>18169</v>
      </c>
      <c r="BB2033" s="6" t="s">
        <v>18170</v>
      </c>
      <c r="BC2033" s="6" t="s">
        <v>18171</v>
      </c>
      <c r="BE2033" s="15" t="s">
        <v>2145</v>
      </c>
      <c r="BF2033" s="6" t="s">
        <v>18172</v>
      </c>
    </row>
    <row r="2034" customFormat="false" ht="128.5" hidden="false" customHeight="false" outlineLevel="0" collapsed="false">
      <c r="A2034" s="26" t="s">
        <v>63</v>
      </c>
      <c r="B2034" s="27" t="s">
        <v>2129</v>
      </c>
      <c r="C2034" s="27" t="s">
        <v>2130</v>
      </c>
      <c r="D2034" s="27" t="s">
        <v>18173</v>
      </c>
      <c r="E2034" s="27" t="s">
        <v>18174</v>
      </c>
      <c r="F2034" s="27" t="s">
        <v>18175</v>
      </c>
      <c r="G2034" s="28"/>
      <c r="H2034" s="6" t="s">
        <v>63</v>
      </c>
      <c r="I2034" s="6" t="s">
        <v>62</v>
      </c>
      <c r="J2034" s="6" t="s">
        <v>63</v>
      </c>
      <c r="K2034" s="6" t="s">
        <v>63</v>
      </c>
      <c r="L2034" s="6" t="s">
        <v>64</v>
      </c>
      <c r="M2034" s="27" t="s">
        <v>18176</v>
      </c>
      <c r="N2034" s="27" t="s">
        <v>18177</v>
      </c>
      <c r="O2034" s="6" t="s">
        <v>2136</v>
      </c>
      <c r="P2034" s="28"/>
      <c r="Q2034" s="6" t="s">
        <v>67</v>
      </c>
      <c r="R2034" s="6" t="s">
        <v>68</v>
      </c>
      <c r="S2034" s="28"/>
      <c r="T2034" s="6" t="s">
        <v>6138</v>
      </c>
      <c r="U2034" s="7" t="n">
        <v>3</v>
      </c>
      <c r="V2034" s="7" t="n">
        <v>3</v>
      </c>
      <c r="W2034" s="8" t="s">
        <v>18178</v>
      </c>
      <c r="X2034" s="8" t="s">
        <v>18178</v>
      </c>
      <c r="Y2034" s="8" t="s">
        <v>4639</v>
      </c>
      <c r="Z2034" s="8" t="s">
        <v>4639</v>
      </c>
      <c r="AA2034" s="7" t="n">
        <v>909</v>
      </c>
      <c r="AB2034" s="7" t="n">
        <v>823</v>
      </c>
      <c r="AC2034" s="7" t="n">
        <v>997</v>
      </c>
      <c r="AD2034" s="7" t="n">
        <v>10</v>
      </c>
      <c r="AE2034" s="7" t="n">
        <v>12</v>
      </c>
      <c r="AF2034" s="7" t="n">
        <v>44</v>
      </c>
      <c r="AG2034" s="7" t="n">
        <v>51</v>
      </c>
      <c r="AH2034" s="7" t="n">
        <v>17</v>
      </c>
      <c r="AI2034" s="7" t="n">
        <v>22</v>
      </c>
      <c r="AJ2034" s="7" t="n">
        <v>9</v>
      </c>
      <c r="AK2034" s="7" t="n">
        <v>11</v>
      </c>
      <c r="AL2034" s="7" t="n">
        <v>23</v>
      </c>
      <c r="AM2034" s="7" t="n">
        <v>23</v>
      </c>
      <c r="AN2034" s="7" t="n">
        <v>7</v>
      </c>
      <c r="AO2034" s="7" t="n">
        <v>9</v>
      </c>
      <c r="AP2034" s="7" t="n">
        <v>0</v>
      </c>
      <c r="AQ2034" s="7" t="n">
        <v>0</v>
      </c>
      <c r="AR2034" s="6" t="s">
        <v>63</v>
      </c>
      <c r="AS2034" s="6" t="s">
        <v>57</v>
      </c>
      <c r="AT2034" s="9" t="str">
        <f aca="false">HYPERLINK("http://catalog.hathitrust.org/Record/001382624","HathiTrust Record")</f>
        <v>HathiTrust Record</v>
      </c>
      <c r="AU2034" s="9" t="str">
        <f aca="false">HYPERLINK("https://creighton-primo.hosted.exlibrisgroup.com/primo-explore/search?tab=default_tab&amp;search_scope=EVERYTHING&amp;vid=01CRU&amp;lang=en_US&amp;offset=0&amp;query=any,contains,991002042379702656","Catalog Record")</f>
        <v>Catalog Record</v>
      </c>
      <c r="AV2034" s="9" t="str">
        <f aca="false">HYPERLINK("http://www.worldcat.org/oclc/261193","WorldCat Record")</f>
        <v>WorldCat Record</v>
      </c>
      <c r="AW2034" s="6" t="s">
        <v>18179</v>
      </c>
      <c r="AX2034" s="6" t="s">
        <v>18180</v>
      </c>
      <c r="AY2034" s="6" t="s">
        <v>18181</v>
      </c>
      <c r="AZ2034" s="6" t="s">
        <v>18181</v>
      </c>
      <c r="BA2034" s="6" t="s">
        <v>18182</v>
      </c>
      <c r="BB2034" s="28"/>
      <c r="BC2034" s="6" t="s">
        <v>18183</v>
      </c>
      <c r="BE2034" s="15" t="s">
        <v>2145</v>
      </c>
      <c r="BF2034" s="6" t="s">
        <v>18184</v>
      </c>
    </row>
    <row r="2035" customFormat="false" ht="94" hidden="false" customHeight="false" outlineLevel="0" collapsed="false">
      <c r="A2035" s="26" t="s">
        <v>63</v>
      </c>
      <c r="B2035" s="27" t="s">
        <v>2129</v>
      </c>
      <c r="C2035" s="27" t="s">
        <v>2130</v>
      </c>
      <c r="D2035" s="27" t="s">
        <v>18185</v>
      </c>
      <c r="E2035" s="27" t="s">
        <v>18186</v>
      </c>
      <c r="F2035" s="27" t="s">
        <v>18187</v>
      </c>
      <c r="G2035" s="28"/>
      <c r="H2035" s="6" t="s">
        <v>63</v>
      </c>
      <c r="I2035" s="6" t="s">
        <v>62</v>
      </c>
      <c r="J2035" s="6" t="s">
        <v>63</v>
      </c>
      <c r="K2035" s="6" t="s">
        <v>63</v>
      </c>
      <c r="L2035" s="6" t="s">
        <v>64</v>
      </c>
      <c r="M2035" s="27" t="s">
        <v>10548</v>
      </c>
      <c r="N2035" s="27" t="s">
        <v>18188</v>
      </c>
      <c r="O2035" s="6" t="s">
        <v>233</v>
      </c>
      <c r="P2035" s="27" t="s">
        <v>4343</v>
      </c>
      <c r="Q2035" s="6" t="s">
        <v>67</v>
      </c>
      <c r="R2035" s="6" t="s">
        <v>68</v>
      </c>
      <c r="S2035" s="27" t="s">
        <v>18189</v>
      </c>
      <c r="T2035" s="6" t="s">
        <v>6138</v>
      </c>
      <c r="U2035" s="7" t="n">
        <v>1</v>
      </c>
      <c r="V2035" s="7" t="n">
        <v>1</v>
      </c>
      <c r="W2035" s="8" t="s">
        <v>4554</v>
      </c>
      <c r="X2035" s="8" t="s">
        <v>4554</v>
      </c>
      <c r="Y2035" s="8" t="s">
        <v>4639</v>
      </c>
      <c r="Z2035" s="8" t="s">
        <v>4639</v>
      </c>
      <c r="AA2035" s="7" t="n">
        <v>678</v>
      </c>
      <c r="AB2035" s="7" t="n">
        <v>569</v>
      </c>
      <c r="AC2035" s="7" t="n">
        <v>862</v>
      </c>
      <c r="AD2035" s="7" t="n">
        <v>5</v>
      </c>
      <c r="AE2035" s="7" t="n">
        <v>7</v>
      </c>
      <c r="AF2035" s="7" t="n">
        <v>26</v>
      </c>
      <c r="AG2035" s="7" t="n">
        <v>37</v>
      </c>
      <c r="AH2035" s="7" t="n">
        <v>9</v>
      </c>
      <c r="AI2035" s="7" t="n">
        <v>14</v>
      </c>
      <c r="AJ2035" s="7" t="n">
        <v>7</v>
      </c>
      <c r="AK2035" s="7" t="n">
        <v>8</v>
      </c>
      <c r="AL2035" s="7" t="n">
        <v>15</v>
      </c>
      <c r="AM2035" s="7" t="n">
        <v>22</v>
      </c>
      <c r="AN2035" s="7" t="n">
        <v>3</v>
      </c>
      <c r="AO2035" s="7" t="n">
        <v>4</v>
      </c>
      <c r="AP2035" s="7" t="n">
        <v>0</v>
      </c>
      <c r="AQ2035" s="7" t="n">
        <v>0</v>
      </c>
      <c r="AR2035" s="6" t="s">
        <v>63</v>
      </c>
      <c r="AS2035" s="6" t="s">
        <v>57</v>
      </c>
      <c r="AT2035" s="9" t="str">
        <f aca="false">HYPERLINK("http://catalog.hathitrust.org/Record/001914868","HathiTrust Record")</f>
        <v>HathiTrust Record</v>
      </c>
      <c r="AU2035" s="9" t="str">
        <f aca="false">HYPERLINK("https://creighton-primo.hosted.exlibrisgroup.com/primo-explore/search?tab=default_tab&amp;search_scope=EVERYTHING&amp;vid=01CRU&amp;lang=en_US&amp;offset=0&amp;query=any,contains,991001086189702656","Catalog Record")</f>
        <v>Catalog Record</v>
      </c>
      <c r="AV2035" s="9" t="str">
        <f aca="false">HYPERLINK("http://www.worldcat.org/oclc/16627969","WorldCat Record")</f>
        <v>WorldCat Record</v>
      </c>
      <c r="AW2035" s="6" t="s">
        <v>18190</v>
      </c>
      <c r="AX2035" s="6" t="s">
        <v>18191</v>
      </c>
      <c r="AY2035" s="6" t="s">
        <v>18192</v>
      </c>
      <c r="AZ2035" s="6" t="s">
        <v>18192</v>
      </c>
      <c r="BA2035" s="6" t="s">
        <v>18193</v>
      </c>
      <c r="BB2035" s="28"/>
      <c r="BC2035" s="6" t="s">
        <v>18194</v>
      </c>
      <c r="BE2035" s="15" t="s">
        <v>2145</v>
      </c>
      <c r="BF2035" s="6" t="s">
        <v>18195</v>
      </c>
    </row>
    <row r="2036" customFormat="false" ht="94" hidden="false" customHeight="false" outlineLevel="0" collapsed="false">
      <c r="A2036" s="26" t="s">
        <v>63</v>
      </c>
      <c r="B2036" s="27" t="s">
        <v>2129</v>
      </c>
      <c r="C2036" s="27" t="s">
        <v>2130</v>
      </c>
      <c r="D2036" s="27" t="s">
        <v>18196</v>
      </c>
      <c r="E2036" s="27" t="s">
        <v>18197</v>
      </c>
      <c r="F2036" s="27" t="s">
        <v>18198</v>
      </c>
      <c r="G2036" s="28"/>
      <c r="H2036" s="6" t="s">
        <v>63</v>
      </c>
      <c r="I2036" s="6" t="s">
        <v>62</v>
      </c>
      <c r="J2036" s="6" t="s">
        <v>63</v>
      </c>
      <c r="K2036" s="6" t="s">
        <v>63</v>
      </c>
      <c r="L2036" s="6" t="s">
        <v>64</v>
      </c>
      <c r="M2036" s="27" t="s">
        <v>18199</v>
      </c>
      <c r="N2036" s="27" t="s">
        <v>18200</v>
      </c>
      <c r="O2036" s="6" t="s">
        <v>2467</v>
      </c>
      <c r="P2036" s="27" t="s">
        <v>18201</v>
      </c>
      <c r="Q2036" s="6" t="s">
        <v>67</v>
      </c>
      <c r="R2036" s="6" t="s">
        <v>123</v>
      </c>
      <c r="S2036" s="27" t="s">
        <v>18202</v>
      </c>
      <c r="T2036" s="6" t="s">
        <v>6138</v>
      </c>
      <c r="U2036" s="7" t="n">
        <v>4</v>
      </c>
      <c r="V2036" s="7" t="n">
        <v>4</v>
      </c>
      <c r="W2036" s="8" t="s">
        <v>18203</v>
      </c>
      <c r="X2036" s="8" t="s">
        <v>18203</v>
      </c>
      <c r="Y2036" s="8" t="s">
        <v>4639</v>
      </c>
      <c r="Z2036" s="8" t="s">
        <v>4639</v>
      </c>
      <c r="AA2036" s="7" t="n">
        <v>129</v>
      </c>
      <c r="AB2036" s="7" t="n">
        <v>112</v>
      </c>
      <c r="AC2036" s="7" t="n">
        <v>553</v>
      </c>
      <c r="AD2036" s="7" t="n">
        <v>1</v>
      </c>
      <c r="AE2036" s="7" t="n">
        <v>5</v>
      </c>
      <c r="AF2036" s="7" t="n">
        <v>5</v>
      </c>
      <c r="AG2036" s="7" t="n">
        <v>21</v>
      </c>
      <c r="AH2036" s="7" t="n">
        <v>3</v>
      </c>
      <c r="AI2036" s="7" t="n">
        <v>7</v>
      </c>
      <c r="AJ2036" s="7" t="n">
        <v>0</v>
      </c>
      <c r="AK2036" s="7" t="n">
        <v>4</v>
      </c>
      <c r="AL2036" s="7" t="n">
        <v>2</v>
      </c>
      <c r="AM2036" s="7" t="n">
        <v>9</v>
      </c>
      <c r="AN2036" s="7" t="n">
        <v>0</v>
      </c>
      <c r="AO2036" s="7" t="n">
        <v>3</v>
      </c>
      <c r="AP2036" s="7" t="n">
        <v>0</v>
      </c>
      <c r="AQ2036" s="7" t="n">
        <v>1</v>
      </c>
      <c r="AR2036" s="6" t="s">
        <v>63</v>
      </c>
      <c r="AS2036" s="6" t="s">
        <v>57</v>
      </c>
      <c r="AT2036" s="9" t="str">
        <f aca="false">HYPERLINK("http://catalog.hathitrust.org/Record/003907089","HathiTrust Record")</f>
        <v>HathiTrust Record</v>
      </c>
      <c r="AU2036" s="9" t="str">
        <f aca="false">HYPERLINK("https://creighton-primo.hosted.exlibrisgroup.com/primo-explore/search?tab=default_tab&amp;search_scope=EVERYTHING&amp;vid=01CRU&amp;lang=en_US&amp;offset=0&amp;query=any,contains,991003308319702656","Catalog Record")</f>
        <v>Catalog Record</v>
      </c>
      <c r="AV2036" s="9" t="str">
        <f aca="false">HYPERLINK("http://www.worldcat.org/oclc/831941","WorldCat Record")</f>
        <v>WorldCat Record</v>
      </c>
      <c r="AW2036" s="6" t="s">
        <v>18204</v>
      </c>
      <c r="AX2036" s="6" t="s">
        <v>18205</v>
      </c>
      <c r="AY2036" s="6" t="s">
        <v>18206</v>
      </c>
      <c r="AZ2036" s="6" t="s">
        <v>18206</v>
      </c>
      <c r="BA2036" s="6" t="s">
        <v>18207</v>
      </c>
      <c r="BB2036" s="28"/>
      <c r="BC2036" s="6" t="s">
        <v>18208</v>
      </c>
      <c r="BE2036" s="15" t="s">
        <v>2145</v>
      </c>
      <c r="BF2036" s="6" t="s">
        <v>18209</v>
      </c>
    </row>
    <row r="2037" customFormat="false" ht="94" hidden="false" customHeight="false" outlineLevel="0" collapsed="false">
      <c r="A2037" s="26" t="s">
        <v>63</v>
      </c>
      <c r="B2037" s="27" t="s">
        <v>2129</v>
      </c>
      <c r="C2037" s="27" t="s">
        <v>2130</v>
      </c>
      <c r="D2037" s="27" t="s">
        <v>18210</v>
      </c>
      <c r="E2037" s="27" t="s">
        <v>18211</v>
      </c>
      <c r="F2037" s="27" t="s">
        <v>18212</v>
      </c>
      <c r="G2037" s="6" t="s">
        <v>498</v>
      </c>
      <c r="H2037" s="6" t="s">
        <v>57</v>
      </c>
      <c r="I2037" s="6" t="s">
        <v>62</v>
      </c>
      <c r="J2037" s="6" t="s">
        <v>63</v>
      </c>
      <c r="K2037" s="6" t="s">
        <v>63</v>
      </c>
      <c r="L2037" s="6" t="s">
        <v>64</v>
      </c>
      <c r="M2037" s="27" t="s">
        <v>18213</v>
      </c>
      <c r="N2037" s="27" t="s">
        <v>18214</v>
      </c>
      <c r="O2037" s="6" t="s">
        <v>2797</v>
      </c>
      <c r="P2037" s="28"/>
      <c r="Q2037" s="6" t="s">
        <v>67</v>
      </c>
      <c r="R2037" s="6" t="s">
        <v>123</v>
      </c>
      <c r="S2037" s="28"/>
      <c r="T2037" s="6" t="s">
        <v>6138</v>
      </c>
      <c r="U2037" s="7" t="n">
        <v>3</v>
      </c>
      <c r="V2037" s="7" t="n">
        <v>4</v>
      </c>
      <c r="W2037" s="8" t="s">
        <v>18215</v>
      </c>
      <c r="X2037" s="8" t="s">
        <v>18215</v>
      </c>
      <c r="Y2037" s="8" t="s">
        <v>16064</v>
      </c>
      <c r="Z2037" s="8" t="s">
        <v>16064</v>
      </c>
      <c r="AA2037" s="7" t="n">
        <v>272</v>
      </c>
      <c r="AB2037" s="7" t="n">
        <v>233</v>
      </c>
      <c r="AC2037" s="7" t="n">
        <v>242</v>
      </c>
      <c r="AD2037" s="7" t="n">
        <v>3</v>
      </c>
      <c r="AE2037" s="7" t="n">
        <v>3</v>
      </c>
      <c r="AF2037" s="7" t="n">
        <v>26</v>
      </c>
      <c r="AG2037" s="7" t="n">
        <v>26</v>
      </c>
      <c r="AH2037" s="7" t="n">
        <v>8</v>
      </c>
      <c r="AI2037" s="7" t="n">
        <v>8</v>
      </c>
      <c r="AJ2037" s="7" t="n">
        <v>7</v>
      </c>
      <c r="AK2037" s="7" t="n">
        <v>7</v>
      </c>
      <c r="AL2037" s="7" t="n">
        <v>17</v>
      </c>
      <c r="AM2037" s="7" t="n">
        <v>17</v>
      </c>
      <c r="AN2037" s="7" t="n">
        <v>1</v>
      </c>
      <c r="AO2037" s="7" t="n">
        <v>1</v>
      </c>
      <c r="AP2037" s="7" t="n">
        <v>0</v>
      </c>
      <c r="AQ2037" s="7" t="n">
        <v>0</v>
      </c>
      <c r="AR2037" s="6" t="s">
        <v>63</v>
      </c>
      <c r="AS2037" s="6" t="s">
        <v>63</v>
      </c>
      <c r="AT2037" s="28"/>
      <c r="AU2037" s="9" t="str">
        <f aca="false">HYPERLINK("https://creighton-primo.hosted.exlibrisgroup.com/primo-explore/search?tab=default_tab&amp;search_scope=EVERYTHING&amp;vid=01CRU&amp;lang=en_US&amp;offset=0&amp;query=any,contains,991003799289702656","Catalog Record")</f>
        <v>Catalog Record</v>
      </c>
      <c r="AV2037" s="9" t="str">
        <f aca="false">HYPERLINK("http://www.worldcat.org/oclc/1525336","WorldCat Record")</f>
        <v>WorldCat Record</v>
      </c>
      <c r="AW2037" s="6" t="s">
        <v>18216</v>
      </c>
      <c r="AX2037" s="6" t="s">
        <v>18217</v>
      </c>
      <c r="AY2037" s="6" t="s">
        <v>18218</v>
      </c>
      <c r="AZ2037" s="6" t="s">
        <v>18218</v>
      </c>
      <c r="BA2037" s="6" t="s">
        <v>18219</v>
      </c>
      <c r="BB2037" s="28"/>
      <c r="BC2037" s="6" t="s">
        <v>18220</v>
      </c>
      <c r="BE2037" s="15" t="s">
        <v>2145</v>
      </c>
      <c r="BF2037" s="6" t="s">
        <v>18221</v>
      </c>
    </row>
    <row r="2038" customFormat="false" ht="94" hidden="false" customHeight="false" outlineLevel="0" collapsed="false">
      <c r="A2038" s="26" t="s">
        <v>63</v>
      </c>
      <c r="B2038" s="27" t="s">
        <v>2129</v>
      </c>
      <c r="C2038" s="27" t="s">
        <v>2130</v>
      </c>
      <c r="D2038" s="27" t="s">
        <v>18210</v>
      </c>
      <c r="E2038" s="27" t="s">
        <v>18211</v>
      </c>
      <c r="F2038" s="27" t="s">
        <v>18212</v>
      </c>
      <c r="G2038" s="6" t="s">
        <v>502</v>
      </c>
      <c r="H2038" s="6" t="s">
        <v>57</v>
      </c>
      <c r="I2038" s="6" t="s">
        <v>62</v>
      </c>
      <c r="J2038" s="6" t="s">
        <v>63</v>
      </c>
      <c r="K2038" s="6" t="s">
        <v>63</v>
      </c>
      <c r="L2038" s="6" t="s">
        <v>64</v>
      </c>
      <c r="M2038" s="27" t="s">
        <v>18213</v>
      </c>
      <c r="N2038" s="27" t="s">
        <v>18214</v>
      </c>
      <c r="O2038" s="6" t="s">
        <v>2797</v>
      </c>
      <c r="P2038" s="28"/>
      <c r="Q2038" s="6" t="s">
        <v>67</v>
      </c>
      <c r="R2038" s="6" t="s">
        <v>123</v>
      </c>
      <c r="S2038" s="28"/>
      <c r="T2038" s="6" t="s">
        <v>6138</v>
      </c>
      <c r="U2038" s="7" t="n">
        <v>1</v>
      </c>
      <c r="V2038" s="7" t="n">
        <v>4</v>
      </c>
      <c r="W2038" s="8" t="s">
        <v>18222</v>
      </c>
      <c r="X2038" s="8" t="s">
        <v>18215</v>
      </c>
      <c r="Y2038" s="8" t="s">
        <v>16064</v>
      </c>
      <c r="Z2038" s="8" t="s">
        <v>16064</v>
      </c>
      <c r="AA2038" s="7" t="n">
        <v>272</v>
      </c>
      <c r="AB2038" s="7" t="n">
        <v>233</v>
      </c>
      <c r="AC2038" s="7" t="n">
        <v>242</v>
      </c>
      <c r="AD2038" s="7" t="n">
        <v>3</v>
      </c>
      <c r="AE2038" s="7" t="n">
        <v>3</v>
      </c>
      <c r="AF2038" s="7" t="n">
        <v>26</v>
      </c>
      <c r="AG2038" s="7" t="n">
        <v>26</v>
      </c>
      <c r="AH2038" s="7" t="n">
        <v>8</v>
      </c>
      <c r="AI2038" s="7" t="n">
        <v>8</v>
      </c>
      <c r="AJ2038" s="7" t="n">
        <v>7</v>
      </c>
      <c r="AK2038" s="7" t="n">
        <v>7</v>
      </c>
      <c r="AL2038" s="7" t="n">
        <v>17</v>
      </c>
      <c r="AM2038" s="7" t="n">
        <v>17</v>
      </c>
      <c r="AN2038" s="7" t="n">
        <v>1</v>
      </c>
      <c r="AO2038" s="7" t="n">
        <v>1</v>
      </c>
      <c r="AP2038" s="7" t="n">
        <v>0</v>
      </c>
      <c r="AQ2038" s="7" t="n">
        <v>0</v>
      </c>
      <c r="AR2038" s="6" t="s">
        <v>63</v>
      </c>
      <c r="AS2038" s="6" t="s">
        <v>63</v>
      </c>
      <c r="AT2038" s="28"/>
      <c r="AU2038" s="9" t="str">
        <f aca="false">HYPERLINK("https://creighton-primo.hosted.exlibrisgroup.com/primo-explore/search?tab=default_tab&amp;search_scope=EVERYTHING&amp;vid=01CRU&amp;lang=en_US&amp;offset=0&amp;query=any,contains,991003799289702656","Catalog Record")</f>
        <v>Catalog Record</v>
      </c>
      <c r="AV2038" s="9" t="str">
        <f aca="false">HYPERLINK("http://www.worldcat.org/oclc/1525336","WorldCat Record")</f>
        <v>WorldCat Record</v>
      </c>
      <c r="AW2038" s="6" t="s">
        <v>18216</v>
      </c>
      <c r="AX2038" s="6" t="s">
        <v>18217</v>
      </c>
      <c r="AY2038" s="6" t="s">
        <v>18218</v>
      </c>
      <c r="AZ2038" s="6" t="s">
        <v>18218</v>
      </c>
      <c r="BA2038" s="6" t="s">
        <v>18219</v>
      </c>
      <c r="BB2038" s="28"/>
      <c r="BC2038" s="6" t="s">
        <v>18223</v>
      </c>
      <c r="BE2038" s="15" t="s">
        <v>2145</v>
      </c>
      <c r="BF2038" s="6" t="s">
        <v>18224</v>
      </c>
    </row>
    <row r="2039" customFormat="false" ht="197.5" hidden="false" customHeight="false" outlineLevel="0" collapsed="false">
      <c r="A2039" s="26" t="s">
        <v>63</v>
      </c>
      <c r="B2039" s="27" t="s">
        <v>2129</v>
      </c>
      <c r="C2039" s="27" t="s">
        <v>2130</v>
      </c>
      <c r="D2039" s="27" t="s">
        <v>18225</v>
      </c>
      <c r="E2039" s="27" t="s">
        <v>18226</v>
      </c>
      <c r="F2039" s="27" t="s">
        <v>18227</v>
      </c>
      <c r="G2039" s="28"/>
      <c r="H2039" s="6" t="s">
        <v>63</v>
      </c>
      <c r="I2039" s="6" t="s">
        <v>62</v>
      </c>
      <c r="J2039" s="6" t="s">
        <v>63</v>
      </c>
      <c r="K2039" s="6" t="s">
        <v>63</v>
      </c>
      <c r="L2039" s="6" t="s">
        <v>64</v>
      </c>
      <c r="M2039" s="27" t="s">
        <v>18228</v>
      </c>
      <c r="N2039" s="27" t="s">
        <v>7536</v>
      </c>
      <c r="O2039" s="6" t="s">
        <v>195</v>
      </c>
      <c r="P2039" s="27" t="s">
        <v>255</v>
      </c>
      <c r="Q2039" s="6" t="s">
        <v>67</v>
      </c>
      <c r="R2039" s="6" t="s">
        <v>68</v>
      </c>
      <c r="S2039" s="28"/>
      <c r="T2039" s="6" t="s">
        <v>6138</v>
      </c>
      <c r="U2039" s="7" t="n">
        <v>0</v>
      </c>
      <c r="V2039" s="7" t="n">
        <v>0</v>
      </c>
      <c r="W2039" s="8" t="s">
        <v>18229</v>
      </c>
      <c r="X2039" s="8" t="s">
        <v>18229</v>
      </c>
      <c r="Y2039" s="8" t="s">
        <v>9498</v>
      </c>
      <c r="Z2039" s="8" t="s">
        <v>9498</v>
      </c>
      <c r="AA2039" s="7" t="n">
        <v>963</v>
      </c>
      <c r="AB2039" s="7" t="n">
        <v>872</v>
      </c>
      <c r="AC2039" s="7" t="n">
        <v>876</v>
      </c>
      <c r="AD2039" s="7" t="n">
        <v>8</v>
      </c>
      <c r="AE2039" s="7" t="n">
        <v>8</v>
      </c>
      <c r="AF2039" s="7" t="n">
        <v>34</v>
      </c>
      <c r="AG2039" s="7" t="n">
        <v>34</v>
      </c>
      <c r="AH2039" s="7" t="n">
        <v>12</v>
      </c>
      <c r="AI2039" s="7" t="n">
        <v>12</v>
      </c>
      <c r="AJ2039" s="7" t="n">
        <v>7</v>
      </c>
      <c r="AK2039" s="7" t="n">
        <v>7</v>
      </c>
      <c r="AL2039" s="7" t="n">
        <v>15</v>
      </c>
      <c r="AM2039" s="7" t="n">
        <v>15</v>
      </c>
      <c r="AN2039" s="7" t="n">
        <v>7</v>
      </c>
      <c r="AO2039" s="7" t="n">
        <v>7</v>
      </c>
      <c r="AP2039" s="7" t="n">
        <v>0</v>
      </c>
      <c r="AQ2039" s="7" t="n">
        <v>0</v>
      </c>
      <c r="AR2039" s="6" t="s">
        <v>63</v>
      </c>
      <c r="AS2039" s="6" t="s">
        <v>57</v>
      </c>
      <c r="AT2039" s="9" t="str">
        <f aca="false">HYPERLINK("http://catalog.hathitrust.org/Record/001382642","HathiTrust Record")</f>
        <v>HathiTrust Record</v>
      </c>
      <c r="AU2039" s="9" t="str">
        <f aca="false">HYPERLINK("https://creighton-primo.hosted.exlibrisgroup.com/primo-explore/search?tab=default_tab&amp;search_scope=EVERYTHING&amp;vid=01CRU&amp;lang=en_US&amp;offset=0&amp;query=any,contains,991002555159702656","Catalog Record")</f>
        <v>Catalog Record</v>
      </c>
      <c r="AV2039" s="9" t="str">
        <f aca="false">HYPERLINK("http://www.worldcat.org/oclc/371006","WorldCat Record")</f>
        <v>WorldCat Record</v>
      </c>
      <c r="AW2039" s="6" t="s">
        <v>18230</v>
      </c>
      <c r="AX2039" s="6" t="s">
        <v>18231</v>
      </c>
      <c r="AY2039" s="6" t="s">
        <v>18232</v>
      </c>
      <c r="AZ2039" s="6" t="s">
        <v>18232</v>
      </c>
      <c r="BA2039" s="6" t="s">
        <v>18233</v>
      </c>
      <c r="BB2039" s="28"/>
      <c r="BC2039" s="6" t="s">
        <v>18234</v>
      </c>
      <c r="BE2039" s="15" t="s">
        <v>2145</v>
      </c>
      <c r="BF2039" s="6" t="s">
        <v>18235</v>
      </c>
    </row>
    <row r="2040" customFormat="false" ht="232" hidden="false" customHeight="false" outlineLevel="0" collapsed="false">
      <c r="A2040" s="26" t="s">
        <v>63</v>
      </c>
      <c r="B2040" s="27" t="s">
        <v>2129</v>
      </c>
      <c r="C2040" s="27" t="s">
        <v>2130</v>
      </c>
      <c r="D2040" s="27" t="s">
        <v>18236</v>
      </c>
      <c r="E2040" s="27" t="s">
        <v>18237</v>
      </c>
      <c r="F2040" s="27" t="s">
        <v>18238</v>
      </c>
      <c r="G2040" s="6" t="s">
        <v>498</v>
      </c>
      <c r="H2040" s="6" t="s">
        <v>57</v>
      </c>
      <c r="I2040" s="6" t="s">
        <v>62</v>
      </c>
      <c r="J2040" s="6" t="s">
        <v>63</v>
      </c>
      <c r="K2040" s="6" t="s">
        <v>63</v>
      </c>
      <c r="L2040" s="6" t="s">
        <v>64</v>
      </c>
      <c r="M2040" s="27" t="s">
        <v>18239</v>
      </c>
      <c r="N2040" s="27" t="s">
        <v>18240</v>
      </c>
      <c r="O2040" s="6" t="s">
        <v>122</v>
      </c>
      <c r="P2040" s="28"/>
      <c r="Q2040" s="6" t="s">
        <v>67</v>
      </c>
      <c r="R2040" s="6" t="s">
        <v>68</v>
      </c>
      <c r="S2040" s="28"/>
      <c r="T2040" s="6" t="s">
        <v>6138</v>
      </c>
      <c r="U2040" s="7" t="n">
        <v>0</v>
      </c>
      <c r="V2040" s="7" t="n">
        <v>1</v>
      </c>
      <c r="W2040" s="28"/>
      <c r="X2040" s="8" t="s">
        <v>18241</v>
      </c>
      <c r="Y2040" s="8" t="s">
        <v>16765</v>
      </c>
      <c r="Z2040" s="8" t="s">
        <v>18242</v>
      </c>
      <c r="AA2040" s="7" t="n">
        <v>796</v>
      </c>
      <c r="AB2040" s="7" t="n">
        <v>685</v>
      </c>
      <c r="AC2040" s="7" t="n">
        <v>701</v>
      </c>
      <c r="AD2040" s="7" t="n">
        <v>6</v>
      </c>
      <c r="AE2040" s="7" t="n">
        <v>6</v>
      </c>
      <c r="AF2040" s="7" t="n">
        <v>33</v>
      </c>
      <c r="AG2040" s="7" t="n">
        <v>33</v>
      </c>
      <c r="AH2040" s="7" t="n">
        <v>9</v>
      </c>
      <c r="AI2040" s="7" t="n">
        <v>9</v>
      </c>
      <c r="AJ2040" s="7" t="n">
        <v>8</v>
      </c>
      <c r="AK2040" s="7" t="n">
        <v>8</v>
      </c>
      <c r="AL2040" s="7" t="n">
        <v>18</v>
      </c>
      <c r="AM2040" s="7" t="n">
        <v>18</v>
      </c>
      <c r="AN2040" s="7" t="n">
        <v>5</v>
      </c>
      <c r="AO2040" s="7" t="n">
        <v>5</v>
      </c>
      <c r="AP2040" s="7" t="n">
        <v>0</v>
      </c>
      <c r="AQ2040" s="7" t="n">
        <v>0</v>
      </c>
      <c r="AR2040" s="6" t="s">
        <v>63</v>
      </c>
      <c r="AS2040" s="6" t="s">
        <v>57</v>
      </c>
      <c r="AT2040" s="9" t="str">
        <f aca="false">HYPERLINK("http://catalog.hathitrust.org/Record/001395750","HathiTrust Record")</f>
        <v>HathiTrust Record</v>
      </c>
      <c r="AU2040" s="9" t="str">
        <f aca="false">HYPERLINK("https://creighton-primo.hosted.exlibrisgroup.com/primo-explore/search?tab=default_tab&amp;search_scope=EVERYTHING&amp;vid=01CRU&amp;lang=en_US&amp;offset=0&amp;query=any,contains,991002554869702656","Catalog Record")</f>
        <v>Catalog Record</v>
      </c>
      <c r="AV2040" s="9" t="str">
        <f aca="false">HYPERLINK("http://www.worldcat.org/oclc/370979","WorldCat Record")</f>
        <v>WorldCat Record</v>
      </c>
      <c r="AW2040" s="6" t="s">
        <v>18243</v>
      </c>
      <c r="AX2040" s="6" t="s">
        <v>18244</v>
      </c>
      <c r="AY2040" s="6" t="s">
        <v>18245</v>
      </c>
      <c r="AZ2040" s="6" t="s">
        <v>18245</v>
      </c>
      <c r="BA2040" s="6" t="s">
        <v>18246</v>
      </c>
      <c r="BB2040" s="28"/>
      <c r="BC2040" s="6" t="s">
        <v>18247</v>
      </c>
      <c r="BE2040" s="15" t="s">
        <v>2145</v>
      </c>
      <c r="BF2040" s="6" t="s">
        <v>18248</v>
      </c>
    </row>
    <row r="2041" customFormat="false" ht="232" hidden="false" customHeight="false" outlineLevel="0" collapsed="false">
      <c r="A2041" s="26" t="s">
        <v>63</v>
      </c>
      <c r="B2041" s="27" t="s">
        <v>2129</v>
      </c>
      <c r="C2041" s="27" t="s">
        <v>2130</v>
      </c>
      <c r="D2041" s="27" t="s">
        <v>18236</v>
      </c>
      <c r="E2041" s="27" t="s">
        <v>18237</v>
      </c>
      <c r="F2041" s="27" t="s">
        <v>18238</v>
      </c>
      <c r="G2041" s="6" t="s">
        <v>502</v>
      </c>
      <c r="H2041" s="6" t="s">
        <v>57</v>
      </c>
      <c r="I2041" s="6" t="s">
        <v>62</v>
      </c>
      <c r="J2041" s="6" t="s">
        <v>63</v>
      </c>
      <c r="K2041" s="6" t="s">
        <v>63</v>
      </c>
      <c r="L2041" s="6" t="s">
        <v>64</v>
      </c>
      <c r="M2041" s="27" t="s">
        <v>18239</v>
      </c>
      <c r="N2041" s="27" t="s">
        <v>18240</v>
      </c>
      <c r="O2041" s="6" t="s">
        <v>122</v>
      </c>
      <c r="P2041" s="28"/>
      <c r="Q2041" s="6" t="s">
        <v>67</v>
      </c>
      <c r="R2041" s="6" t="s">
        <v>68</v>
      </c>
      <c r="S2041" s="28"/>
      <c r="T2041" s="6" t="s">
        <v>6138</v>
      </c>
      <c r="U2041" s="7" t="n">
        <v>1</v>
      </c>
      <c r="V2041" s="7" t="n">
        <v>1</v>
      </c>
      <c r="W2041" s="8" t="s">
        <v>18241</v>
      </c>
      <c r="X2041" s="8" t="s">
        <v>18241</v>
      </c>
      <c r="Y2041" s="8" t="s">
        <v>18242</v>
      </c>
      <c r="Z2041" s="8" t="s">
        <v>18242</v>
      </c>
      <c r="AA2041" s="7" t="n">
        <v>796</v>
      </c>
      <c r="AB2041" s="7" t="n">
        <v>685</v>
      </c>
      <c r="AC2041" s="7" t="n">
        <v>701</v>
      </c>
      <c r="AD2041" s="7" t="n">
        <v>6</v>
      </c>
      <c r="AE2041" s="7" t="n">
        <v>6</v>
      </c>
      <c r="AF2041" s="7" t="n">
        <v>33</v>
      </c>
      <c r="AG2041" s="7" t="n">
        <v>33</v>
      </c>
      <c r="AH2041" s="7" t="n">
        <v>9</v>
      </c>
      <c r="AI2041" s="7" t="n">
        <v>9</v>
      </c>
      <c r="AJ2041" s="7" t="n">
        <v>8</v>
      </c>
      <c r="AK2041" s="7" t="n">
        <v>8</v>
      </c>
      <c r="AL2041" s="7" t="n">
        <v>18</v>
      </c>
      <c r="AM2041" s="7" t="n">
        <v>18</v>
      </c>
      <c r="AN2041" s="7" t="n">
        <v>5</v>
      </c>
      <c r="AO2041" s="7" t="n">
        <v>5</v>
      </c>
      <c r="AP2041" s="7" t="n">
        <v>0</v>
      </c>
      <c r="AQ2041" s="7" t="n">
        <v>0</v>
      </c>
      <c r="AR2041" s="6" t="s">
        <v>63</v>
      </c>
      <c r="AS2041" s="6" t="s">
        <v>57</v>
      </c>
      <c r="AT2041" s="9" t="str">
        <f aca="false">HYPERLINK("http://catalog.hathitrust.org/Record/001395750","HathiTrust Record")</f>
        <v>HathiTrust Record</v>
      </c>
      <c r="AU2041" s="9" t="str">
        <f aca="false">HYPERLINK("https://creighton-primo.hosted.exlibrisgroup.com/primo-explore/search?tab=default_tab&amp;search_scope=EVERYTHING&amp;vid=01CRU&amp;lang=en_US&amp;offset=0&amp;query=any,contains,991002554869702656","Catalog Record")</f>
        <v>Catalog Record</v>
      </c>
      <c r="AV2041" s="9" t="str">
        <f aca="false">HYPERLINK("http://www.worldcat.org/oclc/370979","WorldCat Record")</f>
        <v>WorldCat Record</v>
      </c>
      <c r="AW2041" s="6" t="s">
        <v>18243</v>
      </c>
      <c r="AX2041" s="6" t="s">
        <v>18244</v>
      </c>
      <c r="AY2041" s="6" t="s">
        <v>18245</v>
      </c>
      <c r="AZ2041" s="6" t="s">
        <v>18245</v>
      </c>
      <c r="BA2041" s="6" t="s">
        <v>18246</v>
      </c>
      <c r="BB2041" s="28"/>
      <c r="BC2041" s="6" t="s">
        <v>18249</v>
      </c>
      <c r="BE2041" s="15" t="s">
        <v>2145</v>
      </c>
      <c r="BF2041" s="6" t="s">
        <v>18250</v>
      </c>
    </row>
    <row r="2042" customFormat="false" ht="197.5" hidden="false" customHeight="false" outlineLevel="0" collapsed="false">
      <c r="A2042" s="26" t="s">
        <v>63</v>
      </c>
      <c r="B2042" s="27" t="s">
        <v>2129</v>
      </c>
      <c r="C2042" s="27" t="s">
        <v>2130</v>
      </c>
      <c r="D2042" s="27" t="s">
        <v>18251</v>
      </c>
      <c r="E2042" s="27" t="s">
        <v>18252</v>
      </c>
      <c r="F2042" s="27" t="s">
        <v>18253</v>
      </c>
      <c r="G2042" s="28"/>
      <c r="H2042" s="6" t="s">
        <v>63</v>
      </c>
      <c r="I2042" s="6" t="s">
        <v>62</v>
      </c>
      <c r="J2042" s="6" t="s">
        <v>63</v>
      </c>
      <c r="K2042" s="6" t="s">
        <v>63</v>
      </c>
      <c r="L2042" s="6" t="s">
        <v>64</v>
      </c>
      <c r="M2042" s="27" t="s">
        <v>18254</v>
      </c>
      <c r="N2042" s="27" t="s">
        <v>18255</v>
      </c>
      <c r="O2042" s="6" t="s">
        <v>16777</v>
      </c>
      <c r="P2042" s="27" t="s">
        <v>18256</v>
      </c>
      <c r="Q2042" s="6" t="s">
        <v>67</v>
      </c>
      <c r="R2042" s="6" t="s">
        <v>123</v>
      </c>
      <c r="S2042" s="27" t="s">
        <v>18257</v>
      </c>
      <c r="T2042" s="6" t="s">
        <v>6138</v>
      </c>
      <c r="U2042" s="7" t="n">
        <v>1</v>
      </c>
      <c r="V2042" s="7" t="n">
        <v>1</v>
      </c>
      <c r="W2042" s="8" t="s">
        <v>18258</v>
      </c>
      <c r="X2042" s="8" t="s">
        <v>18258</v>
      </c>
      <c r="Y2042" s="8" t="s">
        <v>9498</v>
      </c>
      <c r="Z2042" s="8" t="s">
        <v>9498</v>
      </c>
      <c r="AA2042" s="7" t="n">
        <v>28</v>
      </c>
      <c r="AB2042" s="7" t="n">
        <v>26</v>
      </c>
      <c r="AC2042" s="7" t="n">
        <v>218</v>
      </c>
      <c r="AD2042" s="7" t="n">
        <v>1</v>
      </c>
      <c r="AE2042" s="7" t="n">
        <v>3</v>
      </c>
      <c r="AF2042" s="7" t="n">
        <v>2</v>
      </c>
      <c r="AG2042" s="7" t="n">
        <v>28</v>
      </c>
      <c r="AH2042" s="7" t="n">
        <v>0</v>
      </c>
      <c r="AI2042" s="7" t="n">
        <v>11</v>
      </c>
      <c r="AJ2042" s="7" t="n">
        <v>1</v>
      </c>
      <c r="AK2042" s="7" t="n">
        <v>7</v>
      </c>
      <c r="AL2042" s="7" t="n">
        <v>1</v>
      </c>
      <c r="AM2042" s="7" t="n">
        <v>23</v>
      </c>
      <c r="AN2042" s="7" t="n">
        <v>0</v>
      </c>
      <c r="AO2042" s="7" t="n">
        <v>0</v>
      </c>
      <c r="AP2042" s="7" t="n">
        <v>0</v>
      </c>
      <c r="AQ2042" s="7" t="n">
        <v>0</v>
      </c>
      <c r="AR2042" s="6" t="s">
        <v>63</v>
      </c>
      <c r="AS2042" s="6" t="s">
        <v>63</v>
      </c>
      <c r="AT2042" s="28"/>
      <c r="AU2042" s="9" t="str">
        <f aca="false">HYPERLINK("https://creighton-primo.hosted.exlibrisgroup.com/primo-explore/search?tab=default_tab&amp;search_scope=EVERYTHING&amp;vid=01CRU&amp;lang=en_US&amp;offset=0&amp;query=any,contains,991004727609702656","Catalog Record")</f>
        <v>Catalog Record</v>
      </c>
      <c r="AV2042" s="9" t="str">
        <f aca="false">HYPERLINK("http://www.worldcat.org/oclc/4825039","WorldCat Record")</f>
        <v>WorldCat Record</v>
      </c>
      <c r="AW2042" s="6" t="s">
        <v>18259</v>
      </c>
      <c r="AX2042" s="6" t="s">
        <v>18260</v>
      </c>
      <c r="AY2042" s="6" t="s">
        <v>18261</v>
      </c>
      <c r="AZ2042" s="6" t="s">
        <v>18261</v>
      </c>
      <c r="BA2042" s="6" t="s">
        <v>18262</v>
      </c>
      <c r="BB2042" s="28"/>
      <c r="BC2042" s="6" t="s">
        <v>18263</v>
      </c>
      <c r="BE2042" s="15" t="s">
        <v>2145</v>
      </c>
      <c r="BF2042" s="6" t="s">
        <v>18264</v>
      </c>
    </row>
    <row r="2043" customFormat="false" ht="140" hidden="false" customHeight="false" outlineLevel="0" collapsed="false">
      <c r="A2043" s="26" t="s">
        <v>63</v>
      </c>
      <c r="B2043" s="27" t="s">
        <v>2129</v>
      </c>
      <c r="C2043" s="27" t="s">
        <v>2130</v>
      </c>
      <c r="D2043" s="27" t="s">
        <v>18265</v>
      </c>
      <c r="E2043" s="27" t="s">
        <v>18266</v>
      </c>
      <c r="F2043" s="27" t="s">
        <v>18267</v>
      </c>
      <c r="G2043" s="28"/>
      <c r="H2043" s="6" t="s">
        <v>63</v>
      </c>
      <c r="I2043" s="6" t="s">
        <v>62</v>
      </c>
      <c r="J2043" s="6" t="s">
        <v>63</v>
      </c>
      <c r="K2043" s="6" t="s">
        <v>63</v>
      </c>
      <c r="L2043" s="6" t="s">
        <v>64</v>
      </c>
      <c r="M2043" s="27" t="s">
        <v>5425</v>
      </c>
      <c r="N2043" s="27" t="s">
        <v>18268</v>
      </c>
      <c r="O2043" s="6" t="s">
        <v>2693</v>
      </c>
      <c r="P2043" s="28"/>
      <c r="Q2043" s="6" t="s">
        <v>67</v>
      </c>
      <c r="R2043" s="6" t="s">
        <v>123</v>
      </c>
      <c r="S2043" s="28"/>
      <c r="T2043" s="6" t="s">
        <v>6138</v>
      </c>
      <c r="U2043" s="7" t="n">
        <v>1</v>
      </c>
      <c r="V2043" s="7" t="n">
        <v>1</v>
      </c>
      <c r="W2043" s="8" t="s">
        <v>18269</v>
      </c>
      <c r="X2043" s="8" t="s">
        <v>18269</v>
      </c>
      <c r="Y2043" s="8" t="s">
        <v>16765</v>
      </c>
      <c r="Z2043" s="8" t="s">
        <v>16765</v>
      </c>
      <c r="AA2043" s="7" t="n">
        <v>297</v>
      </c>
      <c r="AB2043" s="7" t="n">
        <v>277</v>
      </c>
      <c r="AC2043" s="7" t="n">
        <v>356</v>
      </c>
      <c r="AD2043" s="7" t="n">
        <v>4</v>
      </c>
      <c r="AE2043" s="7" t="n">
        <v>4</v>
      </c>
      <c r="AF2043" s="7" t="n">
        <v>21</v>
      </c>
      <c r="AG2043" s="7" t="n">
        <v>27</v>
      </c>
      <c r="AH2043" s="7" t="n">
        <v>9</v>
      </c>
      <c r="AI2043" s="7" t="n">
        <v>10</v>
      </c>
      <c r="AJ2043" s="7" t="n">
        <v>3</v>
      </c>
      <c r="AK2043" s="7" t="n">
        <v>6</v>
      </c>
      <c r="AL2043" s="7" t="n">
        <v>11</v>
      </c>
      <c r="AM2043" s="7" t="n">
        <v>15</v>
      </c>
      <c r="AN2043" s="7" t="n">
        <v>3</v>
      </c>
      <c r="AO2043" s="7" t="n">
        <v>3</v>
      </c>
      <c r="AP2043" s="7" t="n">
        <v>0</v>
      </c>
      <c r="AQ2043" s="7" t="n">
        <v>0</v>
      </c>
      <c r="AR2043" s="6" t="s">
        <v>63</v>
      </c>
      <c r="AS2043" s="6" t="s">
        <v>63</v>
      </c>
      <c r="AT2043" s="28"/>
      <c r="AU2043" s="9" t="str">
        <f aca="false">HYPERLINK("https://creighton-primo.hosted.exlibrisgroup.com/primo-explore/search?tab=default_tab&amp;search_scope=EVERYTHING&amp;vid=01CRU&amp;lang=en_US&amp;offset=0&amp;query=any,contains,991003819629702656","Catalog Record")</f>
        <v>Catalog Record</v>
      </c>
      <c r="AV2043" s="9" t="str">
        <f aca="false">HYPERLINK("http://www.worldcat.org/oclc/371005","WorldCat Record")</f>
        <v>WorldCat Record</v>
      </c>
      <c r="AW2043" s="6" t="s">
        <v>18270</v>
      </c>
      <c r="AX2043" s="6" t="s">
        <v>18271</v>
      </c>
      <c r="AY2043" s="6" t="s">
        <v>18272</v>
      </c>
      <c r="AZ2043" s="6" t="s">
        <v>18272</v>
      </c>
      <c r="BA2043" s="6" t="s">
        <v>18273</v>
      </c>
      <c r="BB2043" s="28"/>
      <c r="BC2043" s="6" t="s">
        <v>18274</v>
      </c>
      <c r="BE2043" s="15" t="s">
        <v>2145</v>
      </c>
      <c r="BF2043" s="6" t="s">
        <v>18275</v>
      </c>
    </row>
    <row r="2044" customFormat="false" ht="140" hidden="false" customHeight="false" outlineLevel="0" collapsed="false">
      <c r="A2044" s="26" t="s">
        <v>63</v>
      </c>
      <c r="B2044" s="27" t="s">
        <v>2129</v>
      </c>
      <c r="C2044" s="27" t="s">
        <v>2130</v>
      </c>
      <c r="D2044" s="27" t="s">
        <v>18276</v>
      </c>
      <c r="E2044" s="27" t="s">
        <v>18277</v>
      </c>
      <c r="F2044" s="27" t="s">
        <v>18278</v>
      </c>
      <c r="G2044" s="28"/>
      <c r="H2044" s="6" t="s">
        <v>63</v>
      </c>
      <c r="I2044" s="6" t="s">
        <v>62</v>
      </c>
      <c r="J2044" s="6" t="s">
        <v>63</v>
      </c>
      <c r="K2044" s="6" t="s">
        <v>63</v>
      </c>
      <c r="L2044" s="6" t="s">
        <v>64</v>
      </c>
      <c r="M2044" s="27" t="s">
        <v>18279</v>
      </c>
      <c r="N2044" s="27" t="s">
        <v>18280</v>
      </c>
      <c r="O2044" s="6" t="s">
        <v>3340</v>
      </c>
      <c r="P2044" s="28"/>
      <c r="Q2044" s="6" t="s">
        <v>67</v>
      </c>
      <c r="R2044" s="6" t="s">
        <v>6601</v>
      </c>
      <c r="S2044" s="28"/>
      <c r="T2044" s="6" t="s">
        <v>6138</v>
      </c>
      <c r="U2044" s="7" t="n">
        <v>1</v>
      </c>
      <c r="V2044" s="7" t="n">
        <v>1</v>
      </c>
      <c r="W2044" s="8" t="s">
        <v>18281</v>
      </c>
      <c r="X2044" s="8" t="s">
        <v>18281</v>
      </c>
      <c r="Y2044" s="8" t="s">
        <v>9498</v>
      </c>
      <c r="Z2044" s="8" t="s">
        <v>9498</v>
      </c>
      <c r="AA2044" s="7" t="n">
        <v>573</v>
      </c>
      <c r="AB2044" s="7" t="n">
        <v>521</v>
      </c>
      <c r="AC2044" s="7" t="n">
        <v>533</v>
      </c>
      <c r="AD2044" s="7" t="n">
        <v>4</v>
      </c>
      <c r="AE2044" s="7" t="n">
        <v>4</v>
      </c>
      <c r="AF2044" s="7" t="n">
        <v>21</v>
      </c>
      <c r="AG2044" s="7" t="n">
        <v>22</v>
      </c>
      <c r="AH2044" s="7" t="n">
        <v>7</v>
      </c>
      <c r="AI2044" s="7" t="n">
        <v>7</v>
      </c>
      <c r="AJ2044" s="7" t="n">
        <v>4</v>
      </c>
      <c r="AK2044" s="7" t="n">
        <v>5</v>
      </c>
      <c r="AL2044" s="7" t="n">
        <v>11</v>
      </c>
      <c r="AM2044" s="7" t="n">
        <v>12</v>
      </c>
      <c r="AN2044" s="7" t="n">
        <v>3</v>
      </c>
      <c r="AO2044" s="7" t="n">
        <v>3</v>
      </c>
      <c r="AP2044" s="7" t="n">
        <v>0</v>
      </c>
      <c r="AQ2044" s="7" t="n">
        <v>0</v>
      </c>
      <c r="AR2044" s="6" t="s">
        <v>63</v>
      </c>
      <c r="AS2044" s="6" t="s">
        <v>57</v>
      </c>
      <c r="AT2044" s="9" t="str">
        <f aca="false">HYPERLINK("http://catalog.hathitrust.org/Record/000726469","HathiTrust Record")</f>
        <v>HathiTrust Record</v>
      </c>
      <c r="AU2044" s="9" t="str">
        <f aca="false">HYPERLINK("https://creighton-primo.hosted.exlibrisgroup.com/primo-explore/search?tab=default_tab&amp;search_scope=EVERYTHING&amp;vid=01CRU&amp;lang=en_US&amp;offset=0&amp;query=any,contains,991004092559702656","Catalog Record")</f>
        <v>Catalog Record</v>
      </c>
      <c r="AV2044" s="9" t="str">
        <f aca="false">HYPERLINK("http://www.worldcat.org/oclc/2346684","WorldCat Record")</f>
        <v>WorldCat Record</v>
      </c>
      <c r="AW2044" s="6" t="s">
        <v>18282</v>
      </c>
      <c r="AX2044" s="6" t="s">
        <v>18283</v>
      </c>
      <c r="AY2044" s="6" t="s">
        <v>18284</v>
      </c>
      <c r="AZ2044" s="6" t="s">
        <v>18284</v>
      </c>
      <c r="BA2044" s="6" t="s">
        <v>18285</v>
      </c>
      <c r="BB2044" s="6" t="s">
        <v>18286</v>
      </c>
      <c r="BC2044" s="6" t="s">
        <v>18287</v>
      </c>
      <c r="BE2044" s="15" t="s">
        <v>2145</v>
      </c>
      <c r="BF2044" s="6" t="s">
        <v>18288</v>
      </c>
    </row>
    <row r="2045" customFormat="false" ht="71" hidden="false" customHeight="false" outlineLevel="0" collapsed="false">
      <c r="A2045" s="26" t="s">
        <v>63</v>
      </c>
      <c r="B2045" s="27" t="s">
        <v>2129</v>
      </c>
      <c r="C2045" s="27" t="s">
        <v>2130</v>
      </c>
      <c r="D2045" s="27" t="s">
        <v>18289</v>
      </c>
      <c r="E2045" s="27" t="s">
        <v>18290</v>
      </c>
      <c r="F2045" s="27" t="s">
        <v>18291</v>
      </c>
      <c r="G2045" s="28"/>
      <c r="H2045" s="6" t="s">
        <v>63</v>
      </c>
      <c r="I2045" s="6" t="s">
        <v>62</v>
      </c>
      <c r="J2045" s="6" t="s">
        <v>63</v>
      </c>
      <c r="K2045" s="6" t="s">
        <v>63</v>
      </c>
      <c r="L2045" s="6" t="s">
        <v>64</v>
      </c>
      <c r="M2045" s="27" t="s">
        <v>18292</v>
      </c>
      <c r="N2045" s="27" t="s">
        <v>18293</v>
      </c>
      <c r="O2045" s="6" t="s">
        <v>2975</v>
      </c>
      <c r="P2045" s="28"/>
      <c r="Q2045" s="6" t="s">
        <v>67</v>
      </c>
      <c r="R2045" s="6" t="s">
        <v>68</v>
      </c>
      <c r="S2045" s="27" t="s">
        <v>18294</v>
      </c>
      <c r="T2045" s="6" t="s">
        <v>6138</v>
      </c>
      <c r="U2045" s="7" t="n">
        <v>1</v>
      </c>
      <c r="V2045" s="7" t="n">
        <v>1</v>
      </c>
      <c r="W2045" s="8" t="s">
        <v>18269</v>
      </c>
      <c r="X2045" s="8" t="s">
        <v>18269</v>
      </c>
      <c r="Y2045" s="8" t="s">
        <v>9498</v>
      </c>
      <c r="Z2045" s="8" t="s">
        <v>9498</v>
      </c>
      <c r="AA2045" s="7" t="n">
        <v>146</v>
      </c>
      <c r="AB2045" s="7" t="n">
        <v>140</v>
      </c>
      <c r="AC2045" s="7" t="n">
        <v>438</v>
      </c>
      <c r="AD2045" s="7" t="n">
        <v>2</v>
      </c>
      <c r="AE2045" s="7" t="n">
        <v>4</v>
      </c>
      <c r="AF2045" s="7" t="n">
        <v>6</v>
      </c>
      <c r="AG2045" s="7" t="n">
        <v>19</v>
      </c>
      <c r="AH2045" s="7" t="n">
        <v>3</v>
      </c>
      <c r="AI2045" s="7" t="n">
        <v>6</v>
      </c>
      <c r="AJ2045" s="7" t="n">
        <v>2</v>
      </c>
      <c r="AK2045" s="7" t="n">
        <v>7</v>
      </c>
      <c r="AL2045" s="7" t="n">
        <v>2</v>
      </c>
      <c r="AM2045" s="7" t="n">
        <v>10</v>
      </c>
      <c r="AN2045" s="7" t="n">
        <v>1</v>
      </c>
      <c r="AO2045" s="7" t="n">
        <v>3</v>
      </c>
      <c r="AP2045" s="7" t="n">
        <v>0</v>
      </c>
      <c r="AQ2045" s="7" t="n">
        <v>0</v>
      </c>
      <c r="AR2045" s="6" t="s">
        <v>63</v>
      </c>
      <c r="AS2045" s="6" t="s">
        <v>63</v>
      </c>
      <c r="AT2045" s="28"/>
      <c r="AU2045" s="9" t="str">
        <f aca="false">HYPERLINK("https://creighton-primo.hosted.exlibrisgroup.com/primo-explore/search?tab=default_tab&amp;search_scope=EVERYTHING&amp;vid=01CRU&amp;lang=en_US&amp;offset=0&amp;query=any,contains,991000083759702656","Catalog Record")</f>
        <v>Catalog Record</v>
      </c>
      <c r="AV2045" s="9" t="str">
        <f aca="false">HYPERLINK("http://www.worldcat.org/oclc/32616","WorldCat Record")</f>
        <v>WorldCat Record</v>
      </c>
      <c r="AW2045" s="6" t="s">
        <v>18295</v>
      </c>
      <c r="AX2045" s="6" t="s">
        <v>18296</v>
      </c>
      <c r="AY2045" s="6" t="s">
        <v>18297</v>
      </c>
      <c r="AZ2045" s="6" t="s">
        <v>18297</v>
      </c>
      <c r="BA2045" s="6" t="s">
        <v>18298</v>
      </c>
      <c r="BB2045" s="6" t="s">
        <v>18299</v>
      </c>
      <c r="BC2045" s="6" t="s">
        <v>18300</v>
      </c>
      <c r="BE2045" s="15" t="s">
        <v>2145</v>
      </c>
      <c r="BF2045" s="6" t="s">
        <v>18301</v>
      </c>
    </row>
    <row r="2046" customFormat="false" ht="71" hidden="false" customHeight="false" outlineLevel="0" collapsed="false">
      <c r="A2046" s="26" t="s">
        <v>63</v>
      </c>
      <c r="B2046" s="27" t="s">
        <v>2129</v>
      </c>
      <c r="C2046" s="27" t="s">
        <v>2130</v>
      </c>
      <c r="D2046" s="27" t="s">
        <v>18302</v>
      </c>
      <c r="E2046" s="27" t="s">
        <v>18303</v>
      </c>
      <c r="F2046" s="27" t="s">
        <v>18304</v>
      </c>
      <c r="G2046" s="28"/>
      <c r="H2046" s="6" t="s">
        <v>63</v>
      </c>
      <c r="I2046" s="6" t="s">
        <v>62</v>
      </c>
      <c r="J2046" s="6" t="s">
        <v>63</v>
      </c>
      <c r="K2046" s="6" t="s">
        <v>63</v>
      </c>
      <c r="L2046" s="6" t="s">
        <v>64</v>
      </c>
      <c r="M2046" s="27" t="s">
        <v>18305</v>
      </c>
      <c r="N2046" s="27" t="s">
        <v>16075</v>
      </c>
      <c r="O2046" s="6" t="s">
        <v>4833</v>
      </c>
      <c r="P2046" s="28"/>
      <c r="Q2046" s="6" t="s">
        <v>67</v>
      </c>
      <c r="R2046" s="6" t="s">
        <v>68</v>
      </c>
      <c r="S2046" s="27" t="s">
        <v>18306</v>
      </c>
      <c r="T2046" s="6" t="s">
        <v>6138</v>
      </c>
      <c r="U2046" s="7" t="n">
        <v>2</v>
      </c>
      <c r="V2046" s="7" t="n">
        <v>2</v>
      </c>
      <c r="W2046" s="8" t="s">
        <v>18307</v>
      </c>
      <c r="X2046" s="8" t="s">
        <v>18307</v>
      </c>
      <c r="Y2046" s="8" t="s">
        <v>9498</v>
      </c>
      <c r="Z2046" s="8" t="s">
        <v>9498</v>
      </c>
      <c r="AA2046" s="7" t="n">
        <v>328</v>
      </c>
      <c r="AB2046" s="7" t="n">
        <v>302</v>
      </c>
      <c r="AC2046" s="7" t="n">
        <v>345</v>
      </c>
      <c r="AD2046" s="7" t="n">
        <v>5</v>
      </c>
      <c r="AE2046" s="7" t="n">
        <v>5</v>
      </c>
      <c r="AF2046" s="7" t="n">
        <v>11</v>
      </c>
      <c r="AG2046" s="7" t="n">
        <v>12</v>
      </c>
      <c r="AH2046" s="7" t="n">
        <v>2</v>
      </c>
      <c r="AI2046" s="7" t="n">
        <v>3</v>
      </c>
      <c r="AJ2046" s="7" t="n">
        <v>3</v>
      </c>
      <c r="AK2046" s="7" t="n">
        <v>4</v>
      </c>
      <c r="AL2046" s="7" t="n">
        <v>6</v>
      </c>
      <c r="AM2046" s="7" t="n">
        <v>6</v>
      </c>
      <c r="AN2046" s="7" t="n">
        <v>2</v>
      </c>
      <c r="AO2046" s="7" t="n">
        <v>2</v>
      </c>
      <c r="AP2046" s="7" t="n">
        <v>0</v>
      </c>
      <c r="AQ2046" s="7" t="n">
        <v>0</v>
      </c>
      <c r="AR2046" s="6" t="s">
        <v>63</v>
      </c>
      <c r="AS2046" s="6" t="s">
        <v>63</v>
      </c>
      <c r="AT2046" s="9" t="str">
        <f aca="false">HYPERLINK("http://catalog.hathitrust.org/Record/000141456","HathiTrust Record")</f>
        <v>HathiTrust Record</v>
      </c>
      <c r="AU2046" s="9" t="str">
        <f aca="false">HYPERLINK("https://creighton-primo.hosted.exlibrisgroup.com/primo-explore/search?tab=default_tab&amp;search_scope=EVERYTHING&amp;vid=01CRU&amp;lang=en_US&amp;offset=0&amp;query=any,contains,991002833039702656","Catalog Record")</f>
        <v>Catalog Record</v>
      </c>
      <c r="AV2046" s="9" t="str">
        <f aca="false">HYPERLINK("http://www.worldcat.org/oclc/478662","WorldCat Record")</f>
        <v>WorldCat Record</v>
      </c>
      <c r="AW2046" s="6" t="s">
        <v>18308</v>
      </c>
      <c r="AX2046" s="6" t="s">
        <v>18309</v>
      </c>
      <c r="AY2046" s="6" t="s">
        <v>18310</v>
      </c>
      <c r="AZ2046" s="6" t="s">
        <v>18310</v>
      </c>
      <c r="BA2046" s="6" t="s">
        <v>18311</v>
      </c>
      <c r="BB2046" s="28"/>
      <c r="BC2046" s="6" t="s">
        <v>18312</v>
      </c>
      <c r="BE2046" s="15" t="s">
        <v>2145</v>
      </c>
      <c r="BF2046" s="6" t="s">
        <v>18313</v>
      </c>
    </row>
    <row r="2047" customFormat="false" ht="186" hidden="false" customHeight="false" outlineLevel="0" collapsed="false">
      <c r="A2047" s="26" t="s">
        <v>63</v>
      </c>
      <c r="B2047" s="27" t="s">
        <v>2129</v>
      </c>
      <c r="C2047" s="27" t="s">
        <v>2130</v>
      </c>
      <c r="D2047" s="27" t="s">
        <v>18314</v>
      </c>
      <c r="E2047" s="27" t="s">
        <v>18315</v>
      </c>
      <c r="F2047" s="27" t="s">
        <v>18316</v>
      </c>
      <c r="G2047" s="28"/>
      <c r="H2047" s="6" t="s">
        <v>63</v>
      </c>
      <c r="I2047" s="6" t="s">
        <v>62</v>
      </c>
      <c r="J2047" s="6" t="s">
        <v>63</v>
      </c>
      <c r="K2047" s="6" t="s">
        <v>63</v>
      </c>
      <c r="L2047" s="6" t="s">
        <v>64</v>
      </c>
      <c r="M2047" s="27" t="s">
        <v>2394</v>
      </c>
      <c r="N2047" s="27" t="s">
        <v>18317</v>
      </c>
      <c r="O2047" s="6" t="s">
        <v>2693</v>
      </c>
      <c r="P2047" s="28"/>
      <c r="Q2047" s="6" t="s">
        <v>67</v>
      </c>
      <c r="R2047" s="6" t="s">
        <v>68</v>
      </c>
      <c r="S2047" s="28"/>
      <c r="T2047" s="6" t="s">
        <v>6138</v>
      </c>
      <c r="U2047" s="7" t="n">
        <v>2</v>
      </c>
      <c r="V2047" s="7" t="n">
        <v>2</v>
      </c>
      <c r="W2047" s="8" t="s">
        <v>18318</v>
      </c>
      <c r="X2047" s="8" t="s">
        <v>18318</v>
      </c>
      <c r="Y2047" s="8" t="s">
        <v>9498</v>
      </c>
      <c r="Z2047" s="8" t="s">
        <v>9498</v>
      </c>
      <c r="AA2047" s="7" t="n">
        <v>442</v>
      </c>
      <c r="AB2047" s="7" t="n">
        <v>413</v>
      </c>
      <c r="AC2047" s="7" t="n">
        <v>657</v>
      </c>
      <c r="AD2047" s="7" t="n">
        <v>3</v>
      </c>
      <c r="AE2047" s="7" t="n">
        <v>6</v>
      </c>
      <c r="AF2047" s="7" t="n">
        <v>26</v>
      </c>
      <c r="AG2047" s="7" t="n">
        <v>40</v>
      </c>
      <c r="AH2047" s="7" t="n">
        <v>8</v>
      </c>
      <c r="AI2047" s="7" t="n">
        <v>16</v>
      </c>
      <c r="AJ2047" s="7" t="n">
        <v>6</v>
      </c>
      <c r="AK2047" s="7" t="n">
        <v>9</v>
      </c>
      <c r="AL2047" s="7" t="n">
        <v>18</v>
      </c>
      <c r="AM2047" s="7" t="n">
        <v>23</v>
      </c>
      <c r="AN2047" s="7" t="n">
        <v>2</v>
      </c>
      <c r="AO2047" s="7" t="n">
        <v>3</v>
      </c>
      <c r="AP2047" s="7" t="n">
        <v>0</v>
      </c>
      <c r="AQ2047" s="7" t="n">
        <v>0</v>
      </c>
      <c r="AR2047" s="6" t="s">
        <v>63</v>
      </c>
      <c r="AS2047" s="6" t="s">
        <v>57</v>
      </c>
      <c r="AT2047" s="9" t="str">
        <f aca="false">HYPERLINK("http://catalog.hathitrust.org/Record/001382696","HathiTrust Record")</f>
        <v>HathiTrust Record</v>
      </c>
      <c r="AU2047" s="9" t="str">
        <f aca="false">HYPERLINK("https://creighton-primo.hosted.exlibrisgroup.com/primo-explore/search?tab=default_tab&amp;search_scope=EVERYTHING&amp;vid=01CRU&amp;lang=en_US&amp;offset=0&amp;query=any,contains,991002803659702656","Catalog Record")</f>
        <v>Catalog Record</v>
      </c>
      <c r="AV2047" s="9" t="str">
        <f aca="false">HYPERLINK("http://www.worldcat.org/oclc/448701","WorldCat Record")</f>
        <v>WorldCat Record</v>
      </c>
      <c r="AW2047" s="6" t="s">
        <v>18319</v>
      </c>
      <c r="AX2047" s="6" t="s">
        <v>18320</v>
      </c>
      <c r="AY2047" s="6" t="s">
        <v>18321</v>
      </c>
      <c r="AZ2047" s="6" t="s">
        <v>18321</v>
      </c>
      <c r="BA2047" s="6" t="s">
        <v>18322</v>
      </c>
      <c r="BB2047" s="28"/>
      <c r="BC2047" s="6" t="s">
        <v>18323</v>
      </c>
      <c r="BE2047" s="15" t="s">
        <v>2145</v>
      </c>
      <c r="BF2047" s="6" t="s">
        <v>18324</v>
      </c>
    </row>
    <row r="2048" customFormat="false" ht="59.5" hidden="false" customHeight="false" outlineLevel="0" collapsed="false">
      <c r="A2048" s="26" t="s">
        <v>63</v>
      </c>
      <c r="B2048" s="27" t="s">
        <v>2129</v>
      </c>
      <c r="C2048" s="27" t="s">
        <v>2130</v>
      </c>
      <c r="D2048" s="27" t="s">
        <v>18325</v>
      </c>
      <c r="E2048" s="27" t="s">
        <v>18326</v>
      </c>
      <c r="F2048" s="27" t="s">
        <v>18327</v>
      </c>
      <c r="G2048" s="28"/>
      <c r="H2048" s="6" t="s">
        <v>63</v>
      </c>
      <c r="I2048" s="6" t="s">
        <v>62</v>
      </c>
      <c r="J2048" s="6" t="s">
        <v>63</v>
      </c>
      <c r="K2048" s="6" t="s">
        <v>63</v>
      </c>
      <c r="L2048" s="6" t="s">
        <v>64</v>
      </c>
      <c r="M2048" s="27" t="s">
        <v>11650</v>
      </c>
      <c r="N2048" s="27" t="s">
        <v>18328</v>
      </c>
      <c r="O2048" s="6" t="s">
        <v>3029</v>
      </c>
      <c r="P2048" s="28"/>
      <c r="Q2048" s="6" t="s">
        <v>67</v>
      </c>
      <c r="R2048" s="6" t="s">
        <v>802</v>
      </c>
      <c r="S2048" s="27" t="s">
        <v>18329</v>
      </c>
      <c r="T2048" s="6" t="s">
        <v>6138</v>
      </c>
      <c r="U2048" s="7" t="n">
        <v>3</v>
      </c>
      <c r="V2048" s="7" t="n">
        <v>3</v>
      </c>
      <c r="W2048" s="8" t="s">
        <v>17560</v>
      </c>
      <c r="X2048" s="8" t="s">
        <v>17560</v>
      </c>
      <c r="Y2048" s="8" t="s">
        <v>6327</v>
      </c>
      <c r="Z2048" s="8" t="s">
        <v>6327</v>
      </c>
      <c r="AA2048" s="7" t="n">
        <v>340</v>
      </c>
      <c r="AB2048" s="7" t="n">
        <v>279</v>
      </c>
      <c r="AC2048" s="7" t="n">
        <v>283</v>
      </c>
      <c r="AD2048" s="7" t="n">
        <v>3</v>
      </c>
      <c r="AE2048" s="7" t="n">
        <v>3</v>
      </c>
      <c r="AF2048" s="7" t="n">
        <v>15</v>
      </c>
      <c r="AG2048" s="7" t="n">
        <v>15</v>
      </c>
      <c r="AH2048" s="7" t="n">
        <v>5</v>
      </c>
      <c r="AI2048" s="7" t="n">
        <v>5</v>
      </c>
      <c r="AJ2048" s="7" t="n">
        <v>3</v>
      </c>
      <c r="AK2048" s="7" t="n">
        <v>3</v>
      </c>
      <c r="AL2048" s="7" t="n">
        <v>11</v>
      </c>
      <c r="AM2048" s="7" t="n">
        <v>11</v>
      </c>
      <c r="AN2048" s="7" t="n">
        <v>2</v>
      </c>
      <c r="AO2048" s="7" t="n">
        <v>2</v>
      </c>
      <c r="AP2048" s="7" t="n">
        <v>0</v>
      </c>
      <c r="AQ2048" s="7" t="n">
        <v>0</v>
      </c>
      <c r="AR2048" s="6" t="s">
        <v>63</v>
      </c>
      <c r="AS2048" s="6" t="s">
        <v>57</v>
      </c>
      <c r="AT2048" s="9" t="str">
        <f aca="false">HYPERLINK("http://catalog.hathitrust.org/Record/001382714","HathiTrust Record")</f>
        <v>HathiTrust Record</v>
      </c>
      <c r="AU2048" s="9" t="str">
        <f aca="false">HYPERLINK("https://creighton-primo.hosted.exlibrisgroup.com/primo-explore/search?tab=default_tab&amp;search_scope=EVERYTHING&amp;vid=01CRU&amp;lang=en_US&amp;offset=0&amp;query=any,contains,991001067269702656","Catalog Record")</f>
        <v>Catalog Record</v>
      </c>
      <c r="AV2048" s="9" t="str">
        <f aca="false">HYPERLINK("http://www.worldcat.org/oclc/178364","WorldCat Record")</f>
        <v>WorldCat Record</v>
      </c>
      <c r="AW2048" s="6" t="s">
        <v>18330</v>
      </c>
      <c r="AX2048" s="6" t="s">
        <v>18331</v>
      </c>
      <c r="AY2048" s="6" t="s">
        <v>18332</v>
      </c>
      <c r="AZ2048" s="6" t="s">
        <v>18332</v>
      </c>
      <c r="BA2048" s="6" t="s">
        <v>18333</v>
      </c>
      <c r="BB2048" s="28"/>
      <c r="BC2048" s="6" t="s">
        <v>18334</v>
      </c>
      <c r="BE2048" s="15" t="s">
        <v>2145</v>
      </c>
      <c r="BF2048" s="6" t="s">
        <v>18335</v>
      </c>
    </row>
    <row r="2049" customFormat="false" ht="59.5" hidden="false" customHeight="false" outlineLevel="0" collapsed="false">
      <c r="A2049" s="26" t="s">
        <v>63</v>
      </c>
      <c r="B2049" s="27" t="s">
        <v>2129</v>
      </c>
      <c r="C2049" s="27" t="s">
        <v>2130</v>
      </c>
      <c r="D2049" s="27" t="s">
        <v>18336</v>
      </c>
      <c r="E2049" s="27" t="s">
        <v>18337</v>
      </c>
      <c r="F2049" s="27" t="s">
        <v>18338</v>
      </c>
      <c r="G2049" s="28"/>
      <c r="H2049" s="6" t="s">
        <v>63</v>
      </c>
      <c r="I2049" s="6" t="s">
        <v>62</v>
      </c>
      <c r="J2049" s="6" t="s">
        <v>63</v>
      </c>
      <c r="K2049" s="6" t="s">
        <v>63</v>
      </c>
      <c r="L2049" s="6" t="s">
        <v>64</v>
      </c>
      <c r="M2049" s="27" t="s">
        <v>8967</v>
      </c>
      <c r="N2049" s="27" t="s">
        <v>18339</v>
      </c>
      <c r="O2049" s="6" t="s">
        <v>2975</v>
      </c>
      <c r="P2049" s="28"/>
      <c r="Q2049" s="6" t="s">
        <v>67</v>
      </c>
      <c r="R2049" s="6" t="s">
        <v>68</v>
      </c>
      <c r="S2049" s="28"/>
      <c r="T2049" s="6" t="s">
        <v>6138</v>
      </c>
      <c r="U2049" s="7" t="n">
        <v>7</v>
      </c>
      <c r="V2049" s="7" t="n">
        <v>7</v>
      </c>
      <c r="W2049" s="8" t="s">
        <v>18340</v>
      </c>
      <c r="X2049" s="8" t="s">
        <v>18340</v>
      </c>
      <c r="Y2049" s="8" t="s">
        <v>16765</v>
      </c>
      <c r="Z2049" s="8" t="s">
        <v>16765</v>
      </c>
      <c r="AA2049" s="7" t="n">
        <v>772</v>
      </c>
      <c r="AB2049" s="7" t="n">
        <v>676</v>
      </c>
      <c r="AC2049" s="7" t="n">
        <v>684</v>
      </c>
      <c r="AD2049" s="7" t="n">
        <v>3</v>
      </c>
      <c r="AE2049" s="7" t="n">
        <v>3</v>
      </c>
      <c r="AF2049" s="7" t="n">
        <v>24</v>
      </c>
      <c r="AG2049" s="7" t="n">
        <v>24</v>
      </c>
      <c r="AH2049" s="7" t="n">
        <v>9</v>
      </c>
      <c r="AI2049" s="7" t="n">
        <v>9</v>
      </c>
      <c r="AJ2049" s="7" t="n">
        <v>4</v>
      </c>
      <c r="AK2049" s="7" t="n">
        <v>4</v>
      </c>
      <c r="AL2049" s="7" t="n">
        <v>17</v>
      </c>
      <c r="AM2049" s="7" t="n">
        <v>17</v>
      </c>
      <c r="AN2049" s="7" t="n">
        <v>2</v>
      </c>
      <c r="AO2049" s="7" t="n">
        <v>2</v>
      </c>
      <c r="AP2049" s="7" t="n">
        <v>0</v>
      </c>
      <c r="AQ2049" s="7" t="n">
        <v>0</v>
      </c>
      <c r="AR2049" s="6" t="s">
        <v>63</v>
      </c>
      <c r="AS2049" s="6" t="s">
        <v>57</v>
      </c>
      <c r="AT2049" s="9" t="str">
        <f aca="false">HYPERLINK("http://catalog.hathitrust.org/Record/001914946","HathiTrust Record")</f>
        <v>HathiTrust Record</v>
      </c>
      <c r="AU2049" s="9" t="str">
        <f aca="false">HYPERLINK("https://creighton-primo.hosted.exlibrisgroup.com/primo-explore/search?tab=default_tab&amp;search_scope=EVERYTHING&amp;vid=01CRU&amp;lang=en_US&amp;offset=0&amp;query=any,contains,991000074219702656","Catalog Record")</f>
        <v>Catalog Record</v>
      </c>
      <c r="AV2049" s="9" t="str">
        <f aca="false">HYPERLINK("http://www.worldcat.org/oclc/29384","WorldCat Record")</f>
        <v>WorldCat Record</v>
      </c>
      <c r="AW2049" s="6" t="s">
        <v>18341</v>
      </c>
      <c r="AX2049" s="6" t="s">
        <v>18342</v>
      </c>
      <c r="AY2049" s="6" t="s">
        <v>18343</v>
      </c>
      <c r="AZ2049" s="6" t="s">
        <v>18343</v>
      </c>
      <c r="BA2049" s="6" t="s">
        <v>18344</v>
      </c>
      <c r="BB2049" s="28"/>
      <c r="BC2049" s="6" t="s">
        <v>18345</v>
      </c>
      <c r="BE2049" s="15" t="s">
        <v>2145</v>
      </c>
      <c r="BF2049" s="6" t="s">
        <v>18346</v>
      </c>
    </row>
    <row r="2050" customFormat="false" ht="71" hidden="false" customHeight="false" outlineLevel="0" collapsed="false">
      <c r="A2050" s="26" t="s">
        <v>63</v>
      </c>
      <c r="B2050" s="27" t="s">
        <v>2129</v>
      </c>
      <c r="C2050" s="27" t="s">
        <v>2130</v>
      </c>
      <c r="D2050" s="27" t="s">
        <v>18347</v>
      </c>
      <c r="E2050" s="27" t="s">
        <v>18348</v>
      </c>
      <c r="F2050" s="27" t="s">
        <v>18349</v>
      </c>
      <c r="G2050" s="28"/>
      <c r="H2050" s="6" t="s">
        <v>63</v>
      </c>
      <c r="I2050" s="6" t="s">
        <v>62</v>
      </c>
      <c r="J2050" s="6" t="s">
        <v>63</v>
      </c>
      <c r="K2050" s="6" t="s">
        <v>63</v>
      </c>
      <c r="L2050" s="6" t="s">
        <v>64</v>
      </c>
      <c r="M2050" s="27" t="s">
        <v>18350</v>
      </c>
      <c r="N2050" s="27" t="s">
        <v>17870</v>
      </c>
      <c r="O2050" s="6" t="s">
        <v>246</v>
      </c>
      <c r="P2050" s="28"/>
      <c r="Q2050" s="6" t="s">
        <v>67</v>
      </c>
      <c r="R2050" s="6" t="s">
        <v>1108</v>
      </c>
      <c r="S2050" s="27" t="s">
        <v>18351</v>
      </c>
      <c r="T2050" s="6" t="s">
        <v>6138</v>
      </c>
      <c r="U2050" s="7" t="n">
        <v>1</v>
      </c>
      <c r="V2050" s="7" t="n">
        <v>1</v>
      </c>
      <c r="W2050" s="8" t="s">
        <v>10524</v>
      </c>
      <c r="X2050" s="8" t="s">
        <v>10524</v>
      </c>
      <c r="Y2050" s="8" t="s">
        <v>16765</v>
      </c>
      <c r="Z2050" s="8" t="s">
        <v>16765</v>
      </c>
      <c r="AA2050" s="7" t="n">
        <v>350</v>
      </c>
      <c r="AB2050" s="7" t="n">
        <v>304</v>
      </c>
      <c r="AC2050" s="7" t="n">
        <v>358</v>
      </c>
      <c r="AD2050" s="7" t="n">
        <v>2</v>
      </c>
      <c r="AE2050" s="7" t="n">
        <v>3</v>
      </c>
      <c r="AF2050" s="7" t="n">
        <v>26</v>
      </c>
      <c r="AG2050" s="7" t="n">
        <v>29</v>
      </c>
      <c r="AH2050" s="7" t="n">
        <v>8</v>
      </c>
      <c r="AI2050" s="7" t="n">
        <v>9</v>
      </c>
      <c r="AJ2050" s="7" t="n">
        <v>7</v>
      </c>
      <c r="AK2050" s="7" t="n">
        <v>7</v>
      </c>
      <c r="AL2050" s="7" t="n">
        <v>13</v>
      </c>
      <c r="AM2050" s="7" t="n">
        <v>14</v>
      </c>
      <c r="AN2050" s="7" t="n">
        <v>1</v>
      </c>
      <c r="AO2050" s="7" t="n">
        <v>2</v>
      </c>
      <c r="AP2050" s="7" t="n">
        <v>7</v>
      </c>
      <c r="AQ2050" s="7" t="n">
        <v>8</v>
      </c>
      <c r="AR2050" s="6" t="s">
        <v>63</v>
      </c>
      <c r="AS2050" s="6" t="s">
        <v>63</v>
      </c>
      <c r="AT2050" s="28"/>
      <c r="AU2050" s="9" t="str">
        <f aca="false">HYPERLINK("https://creighton-primo.hosted.exlibrisgroup.com/primo-explore/search?tab=default_tab&amp;search_scope=EVERYTHING&amp;vid=01CRU&amp;lang=en_US&amp;offset=0&amp;query=any,contains,991004679249702656","Catalog Record")</f>
        <v>Catalog Record</v>
      </c>
      <c r="AV2050" s="9" t="str">
        <f aca="false">HYPERLINK("http://www.worldcat.org/oclc/4550094","WorldCat Record")</f>
        <v>WorldCat Record</v>
      </c>
      <c r="AW2050" s="6" t="s">
        <v>18352</v>
      </c>
      <c r="AX2050" s="6" t="s">
        <v>18353</v>
      </c>
      <c r="AY2050" s="6" t="s">
        <v>18354</v>
      </c>
      <c r="AZ2050" s="6" t="s">
        <v>18354</v>
      </c>
      <c r="BA2050" s="6" t="s">
        <v>18355</v>
      </c>
      <c r="BB2050" s="6" t="s">
        <v>18356</v>
      </c>
      <c r="BC2050" s="6" t="s">
        <v>18357</v>
      </c>
      <c r="BE2050" s="15" t="s">
        <v>2145</v>
      </c>
      <c r="BF2050" s="6" t="s">
        <v>18358</v>
      </c>
    </row>
    <row r="2051" customFormat="false" ht="128.5" hidden="false" customHeight="false" outlineLevel="0" collapsed="false">
      <c r="A2051" s="26" t="s">
        <v>63</v>
      </c>
      <c r="B2051" s="27" t="s">
        <v>2129</v>
      </c>
      <c r="C2051" s="27" t="s">
        <v>2130</v>
      </c>
      <c r="D2051" s="27" t="s">
        <v>18359</v>
      </c>
      <c r="E2051" s="27" t="s">
        <v>18360</v>
      </c>
      <c r="F2051" s="27" t="s">
        <v>18361</v>
      </c>
      <c r="G2051" s="28"/>
      <c r="H2051" s="6" t="s">
        <v>63</v>
      </c>
      <c r="I2051" s="6" t="s">
        <v>62</v>
      </c>
      <c r="J2051" s="6" t="s">
        <v>63</v>
      </c>
      <c r="K2051" s="6" t="s">
        <v>63</v>
      </c>
      <c r="L2051" s="6" t="s">
        <v>64</v>
      </c>
      <c r="M2051" s="28"/>
      <c r="N2051" s="27" t="s">
        <v>18362</v>
      </c>
      <c r="O2051" s="6" t="s">
        <v>2221</v>
      </c>
      <c r="P2051" s="28"/>
      <c r="Q2051" s="6" t="s">
        <v>67</v>
      </c>
      <c r="R2051" s="6" t="s">
        <v>384</v>
      </c>
      <c r="S2051" s="28"/>
      <c r="T2051" s="6" t="s">
        <v>6138</v>
      </c>
      <c r="U2051" s="7" t="n">
        <v>1</v>
      </c>
      <c r="V2051" s="7" t="n">
        <v>1</v>
      </c>
      <c r="W2051" s="8" t="s">
        <v>18363</v>
      </c>
      <c r="X2051" s="8" t="s">
        <v>18363</v>
      </c>
      <c r="Y2051" s="8" t="s">
        <v>18364</v>
      </c>
      <c r="Z2051" s="8" t="s">
        <v>18364</v>
      </c>
      <c r="AA2051" s="7" t="n">
        <v>487</v>
      </c>
      <c r="AB2051" s="7" t="n">
        <v>320</v>
      </c>
      <c r="AC2051" s="7" t="n">
        <v>323</v>
      </c>
      <c r="AD2051" s="7" t="n">
        <v>4</v>
      </c>
      <c r="AE2051" s="7" t="n">
        <v>4</v>
      </c>
      <c r="AF2051" s="7" t="n">
        <v>21</v>
      </c>
      <c r="AG2051" s="7" t="n">
        <v>22</v>
      </c>
      <c r="AH2051" s="7" t="n">
        <v>8</v>
      </c>
      <c r="AI2051" s="7" t="n">
        <v>9</v>
      </c>
      <c r="AJ2051" s="7" t="n">
        <v>5</v>
      </c>
      <c r="AK2051" s="7" t="n">
        <v>5</v>
      </c>
      <c r="AL2051" s="7" t="n">
        <v>11</v>
      </c>
      <c r="AM2051" s="7" t="n">
        <v>11</v>
      </c>
      <c r="AN2051" s="7" t="n">
        <v>3</v>
      </c>
      <c r="AO2051" s="7" t="n">
        <v>3</v>
      </c>
      <c r="AP2051" s="7" t="n">
        <v>0</v>
      </c>
      <c r="AQ2051" s="7" t="n">
        <v>0</v>
      </c>
      <c r="AR2051" s="6" t="s">
        <v>63</v>
      </c>
      <c r="AS2051" s="6" t="s">
        <v>57</v>
      </c>
      <c r="AT2051" s="9" t="str">
        <f aca="false">HYPERLINK("http://catalog.hathitrust.org/Record/000951895","HathiTrust Record")</f>
        <v>HathiTrust Record</v>
      </c>
      <c r="AU2051" s="9" t="str">
        <f aca="false">HYPERLINK("https://creighton-primo.hosted.exlibrisgroup.com/primo-explore/search?tab=default_tab&amp;search_scope=EVERYTHING&amp;vid=01CRU&amp;lang=en_US&amp;offset=0&amp;query=any,contains,991001333159702656","Catalog Record")</f>
        <v>Catalog Record</v>
      </c>
      <c r="AV2051" s="9" t="str">
        <f aca="false">HYPERLINK("http://www.worldcat.org/oclc/21923909","WorldCat Record")</f>
        <v>WorldCat Record</v>
      </c>
      <c r="AW2051" s="6" t="s">
        <v>18365</v>
      </c>
      <c r="AX2051" s="6" t="s">
        <v>18366</v>
      </c>
      <c r="AY2051" s="6" t="s">
        <v>18367</v>
      </c>
      <c r="AZ2051" s="6" t="s">
        <v>18367</v>
      </c>
      <c r="BA2051" s="6" t="s">
        <v>18368</v>
      </c>
      <c r="BB2051" s="6" t="s">
        <v>18369</v>
      </c>
      <c r="BC2051" s="6" t="s">
        <v>18370</v>
      </c>
      <c r="BE2051" s="15" t="s">
        <v>2145</v>
      </c>
      <c r="BF2051" s="6" t="s">
        <v>18371</v>
      </c>
    </row>
    <row r="2052" customFormat="false" ht="59.5" hidden="false" customHeight="false" outlineLevel="0" collapsed="false">
      <c r="A2052" s="26" t="s">
        <v>63</v>
      </c>
      <c r="B2052" s="27" t="s">
        <v>2129</v>
      </c>
      <c r="C2052" s="27" t="s">
        <v>2130</v>
      </c>
      <c r="D2052" s="27" t="s">
        <v>18372</v>
      </c>
      <c r="E2052" s="27" t="s">
        <v>18373</v>
      </c>
      <c r="F2052" s="27" t="s">
        <v>18374</v>
      </c>
      <c r="G2052" s="28"/>
      <c r="H2052" s="6" t="s">
        <v>63</v>
      </c>
      <c r="I2052" s="6" t="s">
        <v>62</v>
      </c>
      <c r="J2052" s="6" t="s">
        <v>63</v>
      </c>
      <c r="K2052" s="6" t="s">
        <v>63</v>
      </c>
      <c r="L2052" s="6" t="s">
        <v>64</v>
      </c>
      <c r="M2052" s="27" t="s">
        <v>8157</v>
      </c>
      <c r="N2052" s="27" t="s">
        <v>18375</v>
      </c>
      <c r="O2052" s="6" t="s">
        <v>264</v>
      </c>
      <c r="P2052" s="28"/>
      <c r="Q2052" s="6" t="s">
        <v>67</v>
      </c>
      <c r="R2052" s="6" t="s">
        <v>68</v>
      </c>
      <c r="S2052" s="27" t="s">
        <v>18376</v>
      </c>
      <c r="T2052" s="6" t="s">
        <v>6138</v>
      </c>
      <c r="U2052" s="7" t="n">
        <v>2</v>
      </c>
      <c r="V2052" s="7" t="n">
        <v>2</v>
      </c>
      <c r="W2052" s="8" t="s">
        <v>5143</v>
      </c>
      <c r="X2052" s="8" t="s">
        <v>5143</v>
      </c>
      <c r="Y2052" s="8" t="s">
        <v>18364</v>
      </c>
      <c r="Z2052" s="8" t="s">
        <v>18364</v>
      </c>
      <c r="AA2052" s="7" t="n">
        <v>329</v>
      </c>
      <c r="AB2052" s="7" t="n">
        <v>282</v>
      </c>
      <c r="AC2052" s="7" t="n">
        <v>330</v>
      </c>
      <c r="AD2052" s="7" t="n">
        <v>5</v>
      </c>
      <c r="AE2052" s="7" t="n">
        <v>5</v>
      </c>
      <c r="AF2052" s="7" t="n">
        <v>11</v>
      </c>
      <c r="AG2052" s="7" t="n">
        <v>15</v>
      </c>
      <c r="AH2052" s="7" t="n">
        <v>2</v>
      </c>
      <c r="AI2052" s="7" t="n">
        <v>3</v>
      </c>
      <c r="AJ2052" s="7" t="n">
        <v>2</v>
      </c>
      <c r="AK2052" s="7" t="n">
        <v>4</v>
      </c>
      <c r="AL2052" s="7" t="n">
        <v>5</v>
      </c>
      <c r="AM2052" s="7" t="n">
        <v>8</v>
      </c>
      <c r="AN2052" s="7" t="n">
        <v>3</v>
      </c>
      <c r="AO2052" s="7" t="n">
        <v>3</v>
      </c>
      <c r="AP2052" s="7" t="n">
        <v>0</v>
      </c>
      <c r="AQ2052" s="7" t="n">
        <v>0</v>
      </c>
      <c r="AR2052" s="6" t="s">
        <v>63</v>
      </c>
      <c r="AS2052" s="6" t="s">
        <v>63</v>
      </c>
      <c r="AT2052" s="28"/>
      <c r="AU2052" s="9" t="str">
        <f aca="false">HYPERLINK("https://creighton-primo.hosted.exlibrisgroup.com/primo-explore/search?tab=default_tab&amp;search_scope=EVERYTHING&amp;vid=01CRU&amp;lang=en_US&amp;offset=0&amp;query=any,contains,991000643119702656","Catalog Record")</f>
        <v>Catalog Record</v>
      </c>
      <c r="AV2052" s="9" t="str">
        <f aca="false">HYPERLINK("http://www.worldcat.org/oclc/110086","WorldCat Record")</f>
        <v>WorldCat Record</v>
      </c>
      <c r="AW2052" s="6" t="s">
        <v>18377</v>
      </c>
      <c r="AX2052" s="6" t="s">
        <v>18378</v>
      </c>
      <c r="AY2052" s="6" t="s">
        <v>18379</v>
      </c>
      <c r="AZ2052" s="6" t="s">
        <v>18379</v>
      </c>
      <c r="BA2052" s="6" t="s">
        <v>18380</v>
      </c>
      <c r="BB2052" s="28"/>
      <c r="BC2052" s="6" t="s">
        <v>18381</v>
      </c>
      <c r="BE2052" s="15" t="s">
        <v>2145</v>
      </c>
      <c r="BF2052" s="6" t="s">
        <v>18382</v>
      </c>
    </row>
    <row r="2053" customFormat="false" ht="255" hidden="false" customHeight="false" outlineLevel="0" collapsed="false">
      <c r="A2053" s="26" t="s">
        <v>63</v>
      </c>
      <c r="B2053" s="27" t="s">
        <v>2129</v>
      </c>
      <c r="C2053" s="27" t="s">
        <v>2130</v>
      </c>
      <c r="D2053" s="27" t="s">
        <v>18383</v>
      </c>
      <c r="E2053" s="27" t="s">
        <v>18384</v>
      </c>
      <c r="F2053" s="27" t="s">
        <v>18385</v>
      </c>
      <c r="G2053" s="28"/>
      <c r="H2053" s="6" t="s">
        <v>63</v>
      </c>
      <c r="I2053" s="6" t="s">
        <v>62</v>
      </c>
      <c r="J2053" s="6" t="s">
        <v>63</v>
      </c>
      <c r="K2053" s="6" t="s">
        <v>63</v>
      </c>
      <c r="L2053" s="6" t="s">
        <v>64</v>
      </c>
      <c r="M2053" s="28"/>
      <c r="N2053" s="27" t="s">
        <v>18386</v>
      </c>
      <c r="O2053" s="6" t="s">
        <v>2262</v>
      </c>
      <c r="P2053" s="28"/>
      <c r="Q2053" s="6" t="s">
        <v>67</v>
      </c>
      <c r="R2053" s="6" t="s">
        <v>272</v>
      </c>
      <c r="S2053" s="28"/>
      <c r="T2053" s="6" t="s">
        <v>6138</v>
      </c>
      <c r="U2053" s="7" t="n">
        <v>5</v>
      </c>
      <c r="V2053" s="7" t="n">
        <v>5</v>
      </c>
      <c r="W2053" s="8" t="s">
        <v>18387</v>
      </c>
      <c r="X2053" s="8" t="s">
        <v>18387</v>
      </c>
      <c r="Y2053" s="8" t="s">
        <v>18364</v>
      </c>
      <c r="Z2053" s="8" t="s">
        <v>18364</v>
      </c>
      <c r="AA2053" s="7" t="n">
        <v>637</v>
      </c>
      <c r="AB2053" s="7" t="n">
        <v>459</v>
      </c>
      <c r="AC2053" s="7" t="n">
        <v>464</v>
      </c>
      <c r="AD2053" s="7" t="n">
        <v>4</v>
      </c>
      <c r="AE2053" s="7" t="n">
        <v>4</v>
      </c>
      <c r="AF2053" s="7" t="n">
        <v>30</v>
      </c>
      <c r="AG2053" s="7" t="n">
        <v>30</v>
      </c>
      <c r="AH2053" s="7" t="n">
        <v>10</v>
      </c>
      <c r="AI2053" s="7" t="n">
        <v>10</v>
      </c>
      <c r="AJ2053" s="7" t="n">
        <v>9</v>
      </c>
      <c r="AK2053" s="7" t="n">
        <v>9</v>
      </c>
      <c r="AL2053" s="7" t="n">
        <v>17</v>
      </c>
      <c r="AM2053" s="7" t="n">
        <v>17</v>
      </c>
      <c r="AN2053" s="7" t="n">
        <v>3</v>
      </c>
      <c r="AO2053" s="7" t="n">
        <v>3</v>
      </c>
      <c r="AP2053" s="7" t="n">
        <v>0</v>
      </c>
      <c r="AQ2053" s="7" t="n">
        <v>0</v>
      </c>
      <c r="AR2053" s="6" t="s">
        <v>63</v>
      </c>
      <c r="AS2053" s="6" t="s">
        <v>63</v>
      </c>
      <c r="AT2053" s="28"/>
      <c r="AU2053" s="9" t="str">
        <f aca="false">HYPERLINK("https://creighton-primo.hosted.exlibrisgroup.com/primo-explore/search?tab=default_tab&amp;search_scope=EVERYTHING&amp;vid=01CRU&amp;lang=en_US&amp;offset=0&amp;query=any,contains,991000745849702656","Catalog Record")</f>
        <v>Catalog Record</v>
      </c>
      <c r="AV2053" s="9" t="str">
        <f aca="false">HYPERLINK("http://www.worldcat.org/oclc/12840158","WorldCat Record")</f>
        <v>WorldCat Record</v>
      </c>
      <c r="AW2053" s="6" t="s">
        <v>18388</v>
      </c>
      <c r="AX2053" s="6" t="s">
        <v>18389</v>
      </c>
      <c r="AY2053" s="6" t="s">
        <v>18390</v>
      </c>
      <c r="AZ2053" s="6" t="s">
        <v>18390</v>
      </c>
      <c r="BA2053" s="6" t="s">
        <v>18391</v>
      </c>
      <c r="BB2053" s="6" t="s">
        <v>18392</v>
      </c>
      <c r="BC2053" s="6" t="s">
        <v>18393</v>
      </c>
      <c r="BE2053" s="15" t="s">
        <v>2145</v>
      </c>
      <c r="BF2053" s="6" t="s">
        <v>18394</v>
      </c>
    </row>
    <row r="2054" customFormat="false" ht="197.5" hidden="false" customHeight="false" outlineLevel="0" collapsed="false">
      <c r="A2054" s="26" t="s">
        <v>63</v>
      </c>
      <c r="B2054" s="27" t="s">
        <v>2129</v>
      </c>
      <c r="C2054" s="27" t="s">
        <v>2130</v>
      </c>
      <c r="D2054" s="27" t="s">
        <v>18395</v>
      </c>
      <c r="E2054" s="27" t="s">
        <v>18396</v>
      </c>
      <c r="F2054" s="27" t="s">
        <v>18397</v>
      </c>
      <c r="G2054" s="28"/>
      <c r="H2054" s="6" t="s">
        <v>63</v>
      </c>
      <c r="I2054" s="6" t="s">
        <v>62</v>
      </c>
      <c r="J2054" s="6" t="s">
        <v>63</v>
      </c>
      <c r="K2054" s="6" t="s">
        <v>63</v>
      </c>
      <c r="L2054" s="6" t="s">
        <v>64</v>
      </c>
      <c r="M2054" s="28"/>
      <c r="N2054" s="27" t="s">
        <v>18398</v>
      </c>
      <c r="O2054" s="6" t="s">
        <v>2411</v>
      </c>
      <c r="P2054" s="28"/>
      <c r="Q2054" s="6" t="s">
        <v>67</v>
      </c>
      <c r="R2054" s="6" t="s">
        <v>500</v>
      </c>
      <c r="S2054" s="28"/>
      <c r="T2054" s="6" t="s">
        <v>6138</v>
      </c>
      <c r="U2054" s="7" t="n">
        <v>1</v>
      </c>
      <c r="V2054" s="7" t="n">
        <v>1</v>
      </c>
      <c r="W2054" s="8" t="s">
        <v>18399</v>
      </c>
      <c r="X2054" s="8" t="s">
        <v>18399</v>
      </c>
      <c r="Y2054" s="8" t="s">
        <v>2854</v>
      </c>
      <c r="Z2054" s="8" t="s">
        <v>2854</v>
      </c>
      <c r="AA2054" s="7" t="n">
        <v>252</v>
      </c>
      <c r="AB2054" s="7" t="n">
        <v>215</v>
      </c>
      <c r="AC2054" s="7" t="n">
        <v>216</v>
      </c>
      <c r="AD2054" s="7" t="n">
        <v>3</v>
      </c>
      <c r="AE2054" s="7" t="n">
        <v>3</v>
      </c>
      <c r="AF2054" s="7" t="n">
        <v>17</v>
      </c>
      <c r="AG2054" s="7" t="n">
        <v>17</v>
      </c>
      <c r="AH2054" s="7" t="n">
        <v>3</v>
      </c>
      <c r="AI2054" s="7" t="n">
        <v>3</v>
      </c>
      <c r="AJ2054" s="7" t="n">
        <v>6</v>
      </c>
      <c r="AK2054" s="7" t="n">
        <v>6</v>
      </c>
      <c r="AL2054" s="7" t="n">
        <v>8</v>
      </c>
      <c r="AM2054" s="7" t="n">
        <v>8</v>
      </c>
      <c r="AN2054" s="7" t="n">
        <v>2</v>
      </c>
      <c r="AO2054" s="7" t="n">
        <v>2</v>
      </c>
      <c r="AP2054" s="7" t="n">
        <v>1</v>
      </c>
      <c r="AQ2054" s="7" t="n">
        <v>1</v>
      </c>
      <c r="AR2054" s="6" t="s">
        <v>63</v>
      </c>
      <c r="AS2054" s="6" t="s">
        <v>57</v>
      </c>
      <c r="AT2054" s="9" t="str">
        <f aca="false">HYPERLINK("http://catalog.hathitrust.org/Record/002057090","HathiTrust Record")</f>
        <v>HathiTrust Record</v>
      </c>
      <c r="AU2054" s="9" t="str">
        <f aca="false">HYPERLINK("https://creighton-primo.hosted.exlibrisgroup.com/primo-explore/search?tab=default_tab&amp;search_scope=EVERYTHING&amp;vid=01CRU&amp;lang=en_US&amp;offset=0&amp;query=any,contains,991001644399702656","Catalog Record")</f>
        <v>Catalog Record</v>
      </c>
      <c r="AV2054" s="9" t="str">
        <f aca="false">HYPERLINK("http://www.worldcat.org/oclc/21040721","WorldCat Record")</f>
        <v>WorldCat Record</v>
      </c>
      <c r="AW2054" s="6" t="s">
        <v>18400</v>
      </c>
      <c r="AX2054" s="6" t="s">
        <v>18401</v>
      </c>
      <c r="AY2054" s="6" t="s">
        <v>18402</v>
      </c>
      <c r="AZ2054" s="6" t="s">
        <v>18402</v>
      </c>
      <c r="BA2054" s="6" t="s">
        <v>18403</v>
      </c>
      <c r="BB2054" s="6" t="s">
        <v>18404</v>
      </c>
      <c r="BC2054" s="6" t="s">
        <v>18405</v>
      </c>
      <c r="BE2054" s="15" t="s">
        <v>2145</v>
      </c>
      <c r="BF2054" s="6" t="s">
        <v>18406</v>
      </c>
    </row>
    <row r="2055" customFormat="false" ht="151.5" hidden="false" customHeight="false" outlineLevel="0" collapsed="false">
      <c r="A2055" s="26" t="s">
        <v>63</v>
      </c>
      <c r="B2055" s="27" t="s">
        <v>2129</v>
      </c>
      <c r="C2055" s="27" t="s">
        <v>2130</v>
      </c>
      <c r="D2055" s="27" t="s">
        <v>18407</v>
      </c>
      <c r="E2055" s="27" t="s">
        <v>18408</v>
      </c>
      <c r="F2055" s="27" t="s">
        <v>18409</v>
      </c>
      <c r="G2055" s="28"/>
      <c r="H2055" s="6" t="s">
        <v>63</v>
      </c>
      <c r="I2055" s="6" t="s">
        <v>62</v>
      </c>
      <c r="J2055" s="6" t="s">
        <v>63</v>
      </c>
      <c r="K2055" s="6" t="s">
        <v>63</v>
      </c>
      <c r="L2055" s="6" t="s">
        <v>64</v>
      </c>
      <c r="M2055" s="27" t="s">
        <v>12674</v>
      </c>
      <c r="N2055" s="27" t="s">
        <v>18410</v>
      </c>
      <c r="O2055" s="6" t="s">
        <v>2665</v>
      </c>
      <c r="P2055" s="27" t="s">
        <v>18411</v>
      </c>
      <c r="Q2055" s="6" t="s">
        <v>67</v>
      </c>
      <c r="R2055" s="6" t="s">
        <v>384</v>
      </c>
      <c r="S2055" s="28"/>
      <c r="T2055" s="6" t="s">
        <v>6138</v>
      </c>
      <c r="U2055" s="7" t="n">
        <v>4</v>
      </c>
      <c r="V2055" s="7" t="n">
        <v>4</v>
      </c>
      <c r="W2055" s="8" t="s">
        <v>4000</v>
      </c>
      <c r="X2055" s="8" t="s">
        <v>4000</v>
      </c>
      <c r="Y2055" s="8" t="s">
        <v>18364</v>
      </c>
      <c r="Z2055" s="8" t="s">
        <v>18364</v>
      </c>
      <c r="AA2055" s="7" t="n">
        <v>263</v>
      </c>
      <c r="AB2055" s="7" t="n">
        <v>198</v>
      </c>
      <c r="AC2055" s="7" t="n">
        <v>747</v>
      </c>
      <c r="AD2055" s="7" t="n">
        <v>5</v>
      </c>
      <c r="AE2055" s="7" t="n">
        <v>8</v>
      </c>
      <c r="AF2055" s="7" t="n">
        <v>12</v>
      </c>
      <c r="AG2055" s="7" t="n">
        <v>43</v>
      </c>
      <c r="AH2055" s="7" t="n">
        <v>1</v>
      </c>
      <c r="AI2055" s="7" t="n">
        <v>19</v>
      </c>
      <c r="AJ2055" s="7" t="n">
        <v>5</v>
      </c>
      <c r="AK2055" s="7" t="n">
        <v>11</v>
      </c>
      <c r="AL2055" s="7" t="n">
        <v>7</v>
      </c>
      <c r="AM2055" s="7" t="n">
        <v>23</v>
      </c>
      <c r="AN2055" s="7" t="n">
        <v>2</v>
      </c>
      <c r="AO2055" s="7" t="n">
        <v>4</v>
      </c>
      <c r="AP2055" s="7" t="n">
        <v>0</v>
      </c>
      <c r="AQ2055" s="7" t="n">
        <v>0</v>
      </c>
      <c r="AR2055" s="6" t="s">
        <v>63</v>
      </c>
      <c r="AS2055" s="6" t="s">
        <v>63</v>
      </c>
      <c r="AT2055" s="28"/>
      <c r="AU2055" s="9" t="str">
        <f aca="false">HYPERLINK("https://creighton-primo.hosted.exlibrisgroup.com/primo-explore/search?tab=default_tab&amp;search_scope=EVERYTHING&amp;vid=01CRU&amp;lang=en_US&amp;offset=0&amp;query=any,contains,991002886779702656","Catalog Record")</f>
        <v>Catalog Record</v>
      </c>
      <c r="AV2055" s="9" t="str">
        <f aca="false">HYPERLINK("http://www.worldcat.org/oclc/508962","WorldCat Record")</f>
        <v>WorldCat Record</v>
      </c>
      <c r="AW2055" s="6" t="s">
        <v>18412</v>
      </c>
      <c r="AX2055" s="6" t="s">
        <v>18413</v>
      </c>
      <c r="AY2055" s="6" t="s">
        <v>18414</v>
      </c>
      <c r="AZ2055" s="6" t="s">
        <v>18414</v>
      </c>
      <c r="BA2055" s="6" t="s">
        <v>18415</v>
      </c>
      <c r="BB2055" s="6" t="s">
        <v>18416</v>
      </c>
      <c r="BC2055" s="6" t="s">
        <v>18417</v>
      </c>
      <c r="BE2055" s="15" t="s">
        <v>2145</v>
      </c>
      <c r="BF2055" s="6" t="s">
        <v>18418</v>
      </c>
    </row>
    <row r="2056" customFormat="false" ht="197.5" hidden="false" customHeight="false" outlineLevel="0" collapsed="false">
      <c r="A2056" s="26" t="s">
        <v>63</v>
      </c>
      <c r="B2056" s="27" t="s">
        <v>2129</v>
      </c>
      <c r="C2056" s="27" t="s">
        <v>2130</v>
      </c>
      <c r="D2056" s="27" t="s">
        <v>18419</v>
      </c>
      <c r="E2056" s="27" t="s">
        <v>18420</v>
      </c>
      <c r="F2056" s="27" t="s">
        <v>18421</v>
      </c>
      <c r="G2056" s="28"/>
      <c r="H2056" s="6" t="s">
        <v>63</v>
      </c>
      <c r="I2056" s="6" t="s">
        <v>62</v>
      </c>
      <c r="J2056" s="6" t="s">
        <v>63</v>
      </c>
      <c r="K2056" s="6" t="s">
        <v>63</v>
      </c>
      <c r="L2056" s="6" t="s">
        <v>64</v>
      </c>
      <c r="M2056" s="27" t="s">
        <v>18422</v>
      </c>
      <c r="N2056" s="27" t="s">
        <v>18423</v>
      </c>
      <c r="O2056" s="6" t="s">
        <v>3068</v>
      </c>
      <c r="P2056" s="28"/>
      <c r="Q2056" s="6" t="s">
        <v>67</v>
      </c>
      <c r="R2056" s="6" t="s">
        <v>68</v>
      </c>
      <c r="S2056" s="28"/>
      <c r="T2056" s="6" t="s">
        <v>6138</v>
      </c>
      <c r="U2056" s="7" t="n">
        <v>2</v>
      </c>
      <c r="V2056" s="7" t="n">
        <v>2</v>
      </c>
      <c r="W2056" s="8" t="s">
        <v>4000</v>
      </c>
      <c r="X2056" s="8" t="s">
        <v>4000</v>
      </c>
      <c r="Y2056" s="8" t="s">
        <v>18364</v>
      </c>
      <c r="Z2056" s="8" t="s">
        <v>18364</v>
      </c>
      <c r="AA2056" s="7" t="n">
        <v>425</v>
      </c>
      <c r="AB2056" s="7" t="n">
        <v>366</v>
      </c>
      <c r="AC2056" s="7" t="n">
        <v>696</v>
      </c>
      <c r="AD2056" s="7" t="n">
        <v>4</v>
      </c>
      <c r="AE2056" s="7" t="n">
        <v>7</v>
      </c>
      <c r="AF2056" s="7" t="n">
        <v>28</v>
      </c>
      <c r="AG2056" s="7" t="n">
        <v>43</v>
      </c>
      <c r="AH2056" s="7" t="n">
        <v>8</v>
      </c>
      <c r="AI2056" s="7" t="n">
        <v>15</v>
      </c>
      <c r="AJ2056" s="7" t="n">
        <v>7</v>
      </c>
      <c r="AK2056" s="7" t="n">
        <v>11</v>
      </c>
      <c r="AL2056" s="7" t="n">
        <v>18</v>
      </c>
      <c r="AM2056" s="7" t="n">
        <v>20</v>
      </c>
      <c r="AN2056" s="7" t="n">
        <v>3</v>
      </c>
      <c r="AO2056" s="7" t="n">
        <v>6</v>
      </c>
      <c r="AP2056" s="7" t="n">
        <v>0</v>
      </c>
      <c r="AQ2056" s="7" t="n">
        <v>1</v>
      </c>
      <c r="AR2056" s="6" t="s">
        <v>63</v>
      </c>
      <c r="AS2056" s="6" t="s">
        <v>57</v>
      </c>
      <c r="AT2056" s="9" t="str">
        <f aca="false">HYPERLINK("http://catalog.hathitrust.org/Record/007120358","HathiTrust Record")</f>
        <v>HathiTrust Record</v>
      </c>
      <c r="AU2056" s="9" t="str">
        <f aca="false">HYPERLINK("https://creighton-primo.hosted.exlibrisgroup.com/primo-explore/search?tab=default_tab&amp;search_scope=EVERYTHING&amp;vid=01CRU&amp;lang=en_US&amp;offset=0&amp;query=any,contains,991003382349702656","Catalog Record")</f>
        <v>Catalog Record</v>
      </c>
      <c r="AV2056" s="9" t="str">
        <f aca="false">HYPERLINK("http://www.worldcat.org/oclc/919208","WorldCat Record")</f>
        <v>WorldCat Record</v>
      </c>
      <c r="AW2056" s="6" t="s">
        <v>18424</v>
      </c>
      <c r="AX2056" s="6" t="s">
        <v>18425</v>
      </c>
      <c r="AY2056" s="6" t="s">
        <v>18426</v>
      </c>
      <c r="AZ2056" s="6" t="s">
        <v>18426</v>
      </c>
      <c r="BA2056" s="6" t="s">
        <v>18427</v>
      </c>
      <c r="BB2056" s="28"/>
      <c r="BC2056" s="6" t="s">
        <v>18428</v>
      </c>
      <c r="BE2056" s="15" t="s">
        <v>2145</v>
      </c>
      <c r="BF2056" s="6" t="s">
        <v>18429</v>
      </c>
    </row>
    <row r="2057" customFormat="false" ht="128.5" hidden="false" customHeight="false" outlineLevel="0" collapsed="false">
      <c r="A2057" s="26" t="s">
        <v>63</v>
      </c>
      <c r="B2057" s="27" t="s">
        <v>2129</v>
      </c>
      <c r="C2057" s="27" t="s">
        <v>2130</v>
      </c>
      <c r="D2057" s="27" t="s">
        <v>18430</v>
      </c>
      <c r="E2057" s="27" t="s">
        <v>18431</v>
      </c>
      <c r="F2057" s="27" t="s">
        <v>18432</v>
      </c>
      <c r="G2057" s="28"/>
      <c r="H2057" s="6" t="s">
        <v>63</v>
      </c>
      <c r="I2057" s="6" t="s">
        <v>62</v>
      </c>
      <c r="J2057" s="6" t="s">
        <v>63</v>
      </c>
      <c r="K2057" s="6" t="s">
        <v>63</v>
      </c>
      <c r="L2057" s="6" t="s">
        <v>64</v>
      </c>
      <c r="M2057" s="27" t="s">
        <v>18433</v>
      </c>
      <c r="N2057" s="27" t="s">
        <v>18434</v>
      </c>
      <c r="O2057" s="6" t="s">
        <v>9321</v>
      </c>
      <c r="P2057" s="28"/>
      <c r="Q2057" s="6" t="s">
        <v>67</v>
      </c>
      <c r="R2057" s="6" t="s">
        <v>68</v>
      </c>
      <c r="S2057" s="27" t="s">
        <v>18435</v>
      </c>
      <c r="T2057" s="6" t="s">
        <v>6138</v>
      </c>
      <c r="U2057" s="7" t="n">
        <v>3</v>
      </c>
      <c r="V2057" s="7" t="n">
        <v>3</v>
      </c>
      <c r="W2057" s="8" t="s">
        <v>3986</v>
      </c>
      <c r="X2057" s="8" t="s">
        <v>3986</v>
      </c>
      <c r="Y2057" s="8" t="s">
        <v>18364</v>
      </c>
      <c r="Z2057" s="8" t="s">
        <v>18364</v>
      </c>
      <c r="AA2057" s="7" t="n">
        <v>792</v>
      </c>
      <c r="AB2057" s="7" t="n">
        <v>732</v>
      </c>
      <c r="AC2057" s="7" t="n">
        <v>832</v>
      </c>
      <c r="AD2057" s="7" t="n">
        <v>3</v>
      </c>
      <c r="AE2057" s="7" t="n">
        <v>5</v>
      </c>
      <c r="AF2057" s="7" t="n">
        <v>35</v>
      </c>
      <c r="AG2057" s="7" t="n">
        <v>39</v>
      </c>
      <c r="AH2057" s="7" t="n">
        <v>15</v>
      </c>
      <c r="AI2057" s="7" t="n">
        <v>15</v>
      </c>
      <c r="AJ2057" s="7" t="n">
        <v>8</v>
      </c>
      <c r="AK2057" s="7" t="n">
        <v>9</v>
      </c>
      <c r="AL2057" s="7" t="n">
        <v>20</v>
      </c>
      <c r="AM2057" s="7" t="n">
        <v>23</v>
      </c>
      <c r="AN2057" s="7" t="n">
        <v>2</v>
      </c>
      <c r="AO2057" s="7" t="n">
        <v>3</v>
      </c>
      <c r="AP2057" s="7" t="n">
        <v>0</v>
      </c>
      <c r="AQ2057" s="7" t="n">
        <v>0</v>
      </c>
      <c r="AR2057" s="6" t="s">
        <v>63</v>
      </c>
      <c r="AS2057" s="6" t="s">
        <v>63</v>
      </c>
      <c r="AT2057" s="9" t="str">
        <f aca="false">HYPERLINK("http://catalog.hathitrust.org/Record/001915030","HathiTrust Record")</f>
        <v>HathiTrust Record</v>
      </c>
      <c r="AU2057" s="9" t="str">
        <f aca="false">HYPERLINK("https://creighton-primo.hosted.exlibrisgroup.com/primo-explore/search?tab=default_tab&amp;search_scope=EVERYTHING&amp;vid=01CRU&amp;lang=en_US&amp;offset=0&amp;query=any,contains,991002662709702656","Catalog Record")</f>
        <v>Catalog Record</v>
      </c>
      <c r="AV2057" s="9" t="str">
        <f aca="false">HYPERLINK("http://www.worldcat.org/oclc/16750197","WorldCat Record")</f>
        <v>WorldCat Record</v>
      </c>
      <c r="AW2057" s="6" t="s">
        <v>18436</v>
      </c>
      <c r="AX2057" s="6" t="s">
        <v>18437</v>
      </c>
      <c r="AY2057" s="6" t="s">
        <v>18438</v>
      </c>
      <c r="AZ2057" s="6" t="s">
        <v>18438</v>
      </c>
      <c r="BA2057" s="6" t="s">
        <v>18439</v>
      </c>
      <c r="BB2057" s="28"/>
      <c r="BC2057" s="6" t="s">
        <v>18440</v>
      </c>
      <c r="BE2057" s="15" t="s">
        <v>2145</v>
      </c>
      <c r="BF2057" s="6" t="s">
        <v>18441</v>
      </c>
    </row>
    <row r="2058" customFormat="false" ht="94" hidden="false" customHeight="false" outlineLevel="0" collapsed="false">
      <c r="A2058" s="26" t="s">
        <v>63</v>
      </c>
      <c r="B2058" s="27" t="s">
        <v>2129</v>
      </c>
      <c r="C2058" s="27" t="s">
        <v>2130</v>
      </c>
      <c r="D2058" s="27" t="s">
        <v>18442</v>
      </c>
      <c r="E2058" s="27" t="s">
        <v>18443</v>
      </c>
      <c r="F2058" s="27" t="s">
        <v>18444</v>
      </c>
      <c r="G2058" s="28"/>
      <c r="H2058" s="6" t="s">
        <v>63</v>
      </c>
      <c r="I2058" s="6" t="s">
        <v>62</v>
      </c>
      <c r="J2058" s="6" t="s">
        <v>63</v>
      </c>
      <c r="K2058" s="6" t="s">
        <v>63</v>
      </c>
      <c r="L2058" s="6" t="s">
        <v>64</v>
      </c>
      <c r="M2058" s="27" t="s">
        <v>18445</v>
      </c>
      <c r="N2058" s="27" t="s">
        <v>18446</v>
      </c>
      <c r="O2058" s="6" t="s">
        <v>264</v>
      </c>
      <c r="P2058" s="28"/>
      <c r="Q2058" s="6" t="s">
        <v>67</v>
      </c>
      <c r="R2058" s="6" t="s">
        <v>181</v>
      </c>
      <c r="S2058" s="27" t="s">
        <v>18447</v>
      </c>
      <c r="T2058" s="6" t="s">
        <v>6138</v>
      </c>
      <c r="U2058" s="7" t="n">
        <v>3</v>
      </c>
      <c r="V2058" s="7" t="n">
        <v>3</v>
      </c>
      <c r="W2058" s="8" t="s">
        <v>3986</v>
      </c>
      <c r="X2058" s="8" t="s">
        <v>3986</v>
      </c>
      <c r="Y2058" s="8" t="s">
        <v>18364</v>
      </c>
      <c r="Z2058" s="8" t="s">
        <v>18364</v>
      </c>
      <c r="AA2058" s="7" t="n">
        <v>155</v>
      </c>
      <c r="AB2058" s="7" t="n">
        <v>136</v>
      </c>
      <c r="AC2058" s="7" t="n">
        <v>544</v>
      </c>
      <c r="AD2058" s="7" t="n">
        <v>2</v>
      </c>
      <c r="AE2058" s="7" t="n">
        <v>4</v>
      </c>
      <c r="AF2058" s="7" t="n">
        <v>9</v>
      </c>
      <c r="AG2058" s="7" t="n">
        <v>28</v>
      </c>
      <c r="AH2058" s="7" t="n">
        <v>4</v>
      </c>
      <c r="AI2058" s="7" t="n">
        <v>9</v>
      </c>
      <c r="AJ2058" s="7" t="n">
        <v>3</v>
      </c>
      <c r="AK2058" s="7" t="n">
        <v>8</v>
      </c>
      <c r="AL2058" s="7" t="n">
        <v>3</v>
      </c>
      <c r="AM2058" s="7" t="n">
        <v>14</v>
      </c>
      <c r="AN2058" s="7" t="n">
        <v>1</v>
      </c>
      <c r="AO2058" s="7" t="n">
        <v>2</v>
      </c>
      <c r="AP2058" s="7" t="n">
        <v>0</v>
      </c>
      <c r="AQ2058" s="7" t="n">
        <v>0</v>
      </c>
      <c r="AR2058" s="6" t="s">
        <v>63</v>
      </c>
      <c r="AS2058" s="6" t="s">
        <v>63</v>
      </c>
      <c r="AT2058" s="28"/>
      <c r="AU2058" s="9" t="str">
        <f aca="false">HYPERLINK("https://creighton-primo.hosted.exlibrisgroup.com/primo-explore/search?tab=default_tab&amp;search_scope=EVERYTHING&amp;vid=01CRU&amp;lang=en_US&amp;offset=0&amp;query=any,contains,991000624749702656","Catalog Record")</f>
        <v>Catalog Record</v>
      </c>
      <c r="AV2058" s="9" t="str">
        <f aca="false">HYPERLINK("http://www.worldcat.org/oclc/103741","WorldCat Record")</f>
        <v>WorldCat Record</v>
      </c>
      <c r="AW2058" s="6" t="s">
        <v>18448</v>
      </c>
      <c r="AX2058" s="6" t="s">
        <v>18449</v>
      </c>
      <c r="AY2058" s="6" t="s">
        <v>18450</v>
      </c>
      <c r="AZ2058" s="6" t="s">
        <v>18450</v>
      </c>
      <c r="BA2058" s="6" t="s">
        <v>18451</v>
      </c>
      <c r="BB2058" s="6" t="s">
        <v>18452</v>
      </c>
      <c r="BC2058" s="6" t="s">
        <v>18453</v>
      </c>
      <c r="BE2058" s="15" t="s">
        <v>2145</v>
      </c>
      <c r="BF2058" s="6" t="s">
        <v>18454</v>
      </c>
    </row>
    <row r="2059" customFormat="false" ht="94" hidden="false" customHeight="false" outlineLevel="0" collapsed="false">
      <c r="A2059" s="26" t="s">
        <v>63</v>
      </c>
      <c r="B2059" s="27" t="s">
        <v>2129</v>
      </c>
      <c r="C2059" s="27" t="s">
        <v>2130</v>
      </c>
      <c r="D2059" s="27" t="s">
        <v>18455</v>
      </c>
      <c r="E2059" s="27" t="s">
        <v>18456</v>
      </c>
      <c r="F2059" s="27" t="s">
        <v>18457</v>
      </c>
      <c r="G2059" s="28"/>
      <c r="H2059" s="6" t="s">
        <v>63</v>
      </c>
      <c r="I2059" s="6" t="s">
        <v>62</v>
      </c>
      <c r="J2059" s="6" t="s">
        <v>63</v>
      </c>
      <c r="K2059" s="6" t="s">
        <v>63</v>
      </c>
      <c r="L2059" s="6" t="s">
        <v>64</v>
      </c>
      <c r="M2059" s="28"/>
      <c r="N2059" s="27" t="s">
        <v>18458</v>
      </c>
      <c r="O2059" s="6" t="s">
        <v>2221</v>
      </c>
      <c r="P2059" s="28"/>
      <c r="Q2059" s="6" t="s">
        <v>67</v>
      </c>
      <c r="R2059" s="6" t="s">
        <v>384</v>
      </c>
      <c r="S2059" s="27" t="s">
        <v>5820</v>
      </c>
      <c r="T2059" s="6" t="s">
        <v>6138</v>
      </c>
      <c r="U2059" s="7" t="n">
        <v>1</v>
      </c>
      <c r="V2059" s="7" t="n">
        <v>1</v>
      </c>
      <c r="W2059" s="8" t="s">
        <v>18459</v>
      </c>
      <c r="X2059" s="8" t="s">
        <v>18459</v>
      </c>
      <c r="Y2059" s="8" t="s">
        <v>4948</v>
      </c>
      <c r="Z2059" s="8" t="s">
        <v>4948</v>
      </c>
      <c r="AA2059" s="7" t="n">
        <v>388</v>
      </c>
      <c r="AB2059" s="7" t="n">
        <v>254</v>
      </c>
      <c r="AC2059" s="7" t="n">
        <v>256</v>
      </c>
      <c r="AD2059" s="7" t="n">
        <v>1</v>
      </c>
      <c r="AE2059" s="7" t="n">
        <v>1</v>
      </c>
      <c r="AF2059" s="7" t="n">
        <v>15</v>
      </c>
      <c r="AG2059" s="7" t="n">
        <v>15</v>
      </c>
      <c r="AH2059" s="7" t="n">
        <v>6</v>
      </c>
      <c r="AI2059" s="7" t="n">
        <v>6</v>
      </c>
      <c r="AJ2059" s="7" t="n">
        <v>6</v>
      </c>
      <c r="AK2059" s="7" t="n">
        <v>6</v>
      </c>
      <c r="AL2059" s="7" t="n">
        <v>11</v>
      </c>
      <c r="AM2059" s="7" t="n">
        <v>11</v>
      </c>
      <c r="AN2059" s="7" t="n">
        <v>0</v>
      </c>
      <c r="AO2059" s="7" t="n">
        <v>0</v>
      </c>
      <c r="AP2059" s="7" t="n">
        <v>0</v>
      </c>
      <c r="AQ2059" s="7" t="n">
        <v>0</v>
      </c>
      <c r="AR2059" s="6" t="s">
        <v>63</v>
      </c>
      <c r="AS2059" s="6" t="s">
        <v>57</v>
      </c>
      <c r="AT2059" s="9" t="str">
        <f aca="false">HYPERLINK("http://catalog.hathitrust.org/Record/000919515","HathiTrust Record")</f>
        <v>HathiTrust Record</v>
      </c>
      <c r="AU2059" s="9" t="str">
        <f aca="false">HYPERLINK("https://creighton-primo.hosted.exlibrisgroup.com/primo-explore/search?tab=default_tab&amp;search_scope=EVERYTHING&amp;vid=01CRU&amp;lang=en_US&amp;offset=0&amp;query=any,contains,991001197739702656","Catalog Record")</f>
        <v>Catalog Record</v>
      </c>
      <c r="AV2059" s="9" t="str">
        <f aca="false">HYPERLINK("http://www.worldcat.org/oclc/17297769","WorldCat Record")</f>
        <v>WorldCat Record</v>
      </c>
      <c r="AW2059" s="6" t="s">
        <v>18460</v>
      </c>
      <c r="AX2059" s="6" t="s">
        <v>18461</v>
      </c>
      <c r="AY2059" s="6" t="s">
        <v>18462</v>
      </c>
      <c r="AZ2059" s="6" t="s">
        <v>18462</v>
      </c>
      <c r="BA2059" s="6" t="s">
        <v>18463</v>
      </c>
      <c r="BB2059" s="6" t="s">
        <v>18464</v>
      </c>
      <c r="BC2059" s="6" t="s">
        <v>18465</v>
      </c>
      <c r="BE2059" s="15" t="s">
        <v>2145</v>
      </c>
      <c r="BF2059" s="6" t="s">
        <v>18466</v>
      </c>
    </row>
    <row r="2060" customFormat="false" ht="105.5" hidden="false" customHeight="false" outlineLevel="0" collapsed="false">
      <c r="A2060" s="26" t="s">
        <v>63</v>
      </c>
      <c r="B2060" s="27" t="s">
        <v>2129</v>
      </c>
      <c r="C2060" s="27" t="s">
        <v>2130</v>
      </c>
      <c r="D2060" s="27" t="s">
        <v>18467</v>
      </c>
      <c r="E2060" s="27" t="s">
        <v>18468</v>
      </c>
      <c r="F2060" s="27" t="s">
        <v>18469</v>
      </c>
      <c r="G2060" s="28"/>
      <c r="H2060" s="6" t="s">
        <v>63</v>
      </c>
      <c r="I2060" s="6" t="s">
        <v>62</v>
      </c>
      <c r="J2060" s="6" t="s">
        <v>63</v>
      </c>
      <c r="K2060" s="6" t="s">
        <v>63</v>
      </c>
      <c r="L2060" s="6" t="s">
        <v>64</v>
      </c>
      <c r="M2060" s="27" t="s">
        <v>18470</v>
      </c>
      <c r="N2060" s="27" t="s">
        <v>18471</v>
      </c>
      <c r="O2060" s="6" t="s">
        <v>152</v>
      </c>
      <c r="P2060" s="28"/>
      <c r="Q2060" s="6" t="s">
        <v>67</v>
      </c>
      <c r="R2060" s="6" t="s">
        <v>300</v>
      </c>
      <c r="S2060" s="28"/>
      <c r="T2060" s="6" t="s">
        <v>6138</v>
      </c>
      <c r="U2060" s="7" t="n">
        <v>2</v>
      </c>
      <c r="V2060" s="7" t="n">
        <v>2</v>
      </c>
      <c r="W2060" s="8" t="s">
        <v>18472</v>
      </c>
      <c r="X2060" s="8" t="s">
        <v>18472</v>
      </c>
      <c r="Y2060" s="8" t="s">
        <v>18364</v>
      </c>
      <c r="Z2060" s="8" t="s">
        <v>18364</v>
      </c>
      <c r="AA2060" s="7" t="n">
        <v>476</v>
      </c>
      <c r="AB2060" s="7" t="n">
        <v>400</v>
      </c>
      <c r="AC2060" s="7" t="n">
        <v>825</v>
      </c>
      <c r="AD2060" s="7" t="n">
        <v>3</v>
      </c>
      <c r="AE2060" s="7" t="n">
        <v>6</v>
      </c>
      <c r="AF2060" s="7" t="n">
        <v>25</v>
      </c>
      <c r="AG2060" s="7" t="n">
        <v>44</v>
      </c>
      <c r="AH2060" s="7" t="n">
        <v>8</v>
      </c>
      <c r="AI2060" s="7" t="n">
        <v>16</v>
      </c>
      <c r="AJ2060" s="7" t="n">
        <v>8</v>
      </c>
      <c r="AK2060" s="7" t="n">
        <v>11</v>
      </c>
      <c r="AL2060" s="7" t="n">
        <v>16</v>
      </c>
      <c r="AM2060" s="7" t="n">
        <v>22</v>
      </c>
      <c r="AN2060" s="7" t="n">
        <v>2</v>
      </c>
      <c r="AO2060" s="7" t="n">
        <v>5</v>
      </c>
      <c r="AP2060" s="7" t="n">
        <v>0</v>
      </c>
      <c r="AQ2060" s="7" t="n">
        <v>1</v>
      </c>
      <c r="AR2060" s="6" t="s">
        <v>63</v>
      </c>
      <c r="AS2060" s="6" t="s">
        <v>63</v>
      </c>
      <c r="AT2060" s="28"/>
      <c r="AU2060" s="9" t="str">
        <f aca="false">HYPERLINK("https://creighton-primo.hosted.exlibrisgroup.com/primo-explore/search?tab=default_tab&amp;search_scope=EVERYTHING&amp;vid=01CRU&amp;lang=en_US&amp;offset=0&amp;query=any,contains,991000262489702656","Catalog Record")</f>
        <v>Catalog Record</v>
      </c>
      <c r="AV2060" s="9" t="str">
        <f aca="false">HYPERLINK("http://www.worldcat.org/oclc/9826830","WorldCat Record")</f>
        <v>WorldCat Record</v>
      </c>
      <c r="AW2060" s="6" t="s">
        <v>18473</v>
      </c>
      <c r="AX2060" s="6" t="s">
        <v>18474</v>
      </c>
      <c r="AY2060" s="6" t="s">
        <v>18475</v>
      </c>
      <c r="AZ2060" s="6" t="s">
        <v>18475</v>
      </c>
      <c r="BA2060" s="6" t="s">
        <v>18476</v>
      </c>
      <c r="BB2060" s="6" t="s">
        <v>18477</v>
      </c>
      <c r="BC2060" s="6" t="s">
        <v>18478</v>
      </c>
      <c r="BE2060" s="15" t="s">
        <v>2145</v>
      </c>
      <c r="BF2060" s="6" t="s">
        <v>18479</v>
      </c>
    </row>
    <row r="2061" customFormat="false" ht="128.5" hidden="false" customHeight="false" outlineLevel="0" collapsed="false">
      <c r="A2061" s="26" t="s">
        <v>63</v>
      </c>
      <c r="B2061" s="27" t="s">
        <v>2129</v>
      </c>
      <c r="C2061" s="27" t="s">
        <v>2130</v>
      </c>
      <c r="D2061" s="27" t="s">
        <v>18480</v>
      </c>
      <c r="E2061" s="27" t="s">
        <v>18481</v>
      </c>
      <c r="F2061" s="27" t="s">
        <v>18482</v>
      </c>
      <c r="G2061" s="28"/>
      <c r="H2061" s="6" t="s">
        <v>63</v>
      </c>
      <c r="I2061" s="6" t="s">
        <v>62</v>
      </c>
      <c r="J2061" s="6" t="s">
        <v>63</v>
      </c>
      <c r="K2061" s="6" t="s">
        <v>63</v>
      </c>
      <c r="L2061" s="6" t="s">
        <v>64</v>
      </c>
      <c r="M2061" s="27" t="s">
        <v>12922</v>
      </c>
      <c r="N2061" s="27" t="s">
        <v>18483</v>
      </c>
      <c r="O2061" s="6" t="s">
        <v>152</v>
      </c>
      <c r="P2061" s="28"/>
      <c r="Q2061" s="6" t="s">
        <v>67</v>
      </c>
      <c r="R2061" s="6" t="s">
        <v>384</v>
      </c>
      <c r="S2061" s="28"/>
      <c r="T2061" s="6" t="s">
        <v>6138</v>
      </c>
      <c r="U2061" s="7" t="n">
        <v>3</v>
      </c>
      <c r="V2061" s="7" t="n">
        <v>3</v>
      </c>
      <c r="W2061" s="8" t="s">
        <v>18142</v>
      </c>
      <c r="X2061" s="8" t="s">
        <v>18142</v>
      </c>
      <c r="Y2061" s="8" t="s">
        <v>18364</v>
      </c>
      <c r="Z2061" s="8" t="s">
        <v>18364</v>
      </c>
      <c r="AA2061" s="7" t="n">
        <v>463</v>
      </c>
      <c r="AB2061" s="7" t="n">
        <v>325</v>
      </c>
      <c r="AC2061" s="7" t="n">
        <v>356</v>
      </c>
      <c r="AD2061" s="7" t="n">
        <v>2</v>
      </c>
      <c r="AE2061" s="7" t="n">
        <v>2</v>
      </c>
      <c r="AF2061" s="7" t="n">
        <v>18</v>
      </c>
      <c r="AG2061" s="7" t="n">
        <v>18</v>
      </c>
      <c r="AH2061" s="7" t="n">
        <v>6</v>
      </c>
      <c r="AI2061" s="7" t="n">
        <v>6</v>
      </c>
      <c r="AJ2061" s="7" t="n">
        <v>6</v>
      </c>
      <c r="AK2061" s="7" t="n">
        <v>6</v>
      </c>
      <c r="AL2061" s="7" t="n">
        <v>13</v>
      </c>
      <c r="AM2061" s="7" t="n">
        <v>13</v>
      </c>
      <c r="AN2061" s="7" t="n">
        <v>1</v>
      </c>
      <c r="AO2061" s="7" t="n">
        <v>1</v>
      </c>
      <c r="AP2061" s="7" t="n">
        <v>0</v>
      </c>
      <c r="AQ2061" s="7" t="n">
        <v>0</v>
      </c>
      <c r="AR2061" s="6" t="s">
        <v>63</v>
      </c>
      <c r="AS2061" s="6" t="s">
        <v>57</v>
      </c>
      <c r="AT2061" s="9" t="str">
        <f aca="false">HYPERLINK("http://catalog.hathitrust.org/Record/000600885","HathiTrust Record")</f>
        <v>HathiTrust Record</v>
      </c>
      <c r="AU2061" s="9" t="str">
        <f aca="false">HYPERLINK("https://creighton-primo.hosted.exlibrisgroup.com/primo-explore/search?tab=default_tab&amp;search_scope=EVERYTHING&amp;vid=01CRU&amp;lang=en_US&amp;offset=0&amp;query=any,contains,991000389299702656","Catalog Record")</f>
        <v>Catalog Record</v>
      </c>
      <c r="AV2061" s="9" t="str">
        <f aca="false">HYPERLINK("http://www.worldcat.org/oclc/10533638","WorldCat Record")</f>
        <v>WorldCat Record</v>
      </c>
      <c r="AW2061" s="6" t="s">
        <v>18484</v>
      </c>
      <c r="AX2061" s="6" t="s">
        <v>18485</v>
      </c>
      <c r="AY2061" s="6" t="s">
        <v>18486</v>
      </c>
      <c r="AZ2061" s="6" t="s">
        <v>18486</v>
      </c>
      <c r="BA2061" s="6" t="s">
        <v>18487</v>
      </c>
      <c r="BB2061" s="6" t="s">
        <v>18488</v>
      </c>
      <c r="BC2061" s="6" t="s">
        <v>18489</v>
      </c>
      <c r="BE2061" s="15" t="s">
        <v>2145</v>
      </c>
      <c r="BF2061" s="6" t="s">
        <v>18490</v>
      </c>
    </row>
    <row r="2062" customFormat="false" ht="94" hidden="false" customHeight="false" outlineLevel="0" collapsed="false">
      <c r="A2062" s="26" t="s">
        <v>63</v>
      </c>
      <c r="B2062" s="27" t="s">
        <v>2129</v>
      </c>
      <c r="C2062" s="27" t="s">
        <v>2130</v>
      </c>
      <c r="D2062" s="27" t="s">
        <v>18491</v>
      </c>
      <c r="E2062" s="27" t="s">
        <v>18492</v>
      </c>
      <c r="F2062" s="27" t="s">
        <v>18493</v>
      </c>
      <c r="G2062" s="28"/>
      <c r="H2062" s="6" t="s">
        <v>63</v>
      </c>
      <c r="I2062" s="6" t="s">
        <v>62</v>
      </c>
      <c r="J2062" s="6" t="s">
        <v>63</v>
      </c>
      <c r="K2062" s="6" t="s">
        <v>63</v>
      </c>
      <c r="L2062" s="6" t="s">
        <v>64</v>
      </c>
      <c r="M2062" s="27" t="s">
        <v>18494</v>
      </c>
      <c r="N2062" s="27" t="s">
        <v>18495</v>
      </c>
      <c r="O2062" s="6" t="s">
        <v>7428</v>
      </c>
      <c r="P2062" s="28"/>
      <c r="Q2062" s="6" t="s">
        <v>67</v>
      </c>
      <c r="R2062" s="6" t="s">
        <v>2894</v>
      </c>
      <c r="S2062" s="28"/>
      <c r="T2062" s="6" t="s">
        <v>6138</v>
      </c>
      <c r="U2062" s="7" t="n">
        <v>1</v>
      </c>
      <c r="V2062" s="7" t="n">
        <v>1</v>
      </c>
      <c r="W2062" s="8" t="s">
        <v>13591</v>
      </c>
      <c r="X2062" s="8" t="s">
        <v>13591</v>
      </c>
      <c r="Y2062" s="8" t="s">
        <v>16816</v>
      </c>
      <c r="Z2062" s="8" t="s">
        <v>16816</v>
      </c>
      <c r="AA2062" s="7" t="n">
        <v>551</v>
      </c>
      <c r="AB2062" s="7" t="n">
        <v>465</v>
      </c>
      <c r="AC2062" s="7" t="n">
        <v>469</v>
      </c>
      <c r="AD2062" s="7" t="n">
        <v>3</v>
      </c>
      <c r="AE2062" s="7" t="n">
        <v>3</v>
      </c>
      <c r="AF2062" s="7" t="n">
        <v>25</v>
      </c>
      <c r="AG2062" s="7" t="n">
        <v>25</v>
      </c>
      <c r="AH2062" s="7" t="n">
        <v>6</v>
      </c>
      <c r="AI2062" s="7" t="n">
        <v>6</v>
      </c>
      <c r="AJ2062" s="7" t="n">
        <v>7</v>
      </c>
      <c r="AK2062" s="7" t="n">
        <v>7</v>
      </c>
      <c r="AL2062" s="7" t="n">
        <v>16</v>
      </c>
      <c r="AM2062" s="7" t="n">
        <v>16</v>
      </c>
      <c r="AN2062" s="7" t="n">
        <v>2</v>
      </c>
      <c r="AO2062" s="7" t="n">
        <v>2</v>
      </c>
      <c r="AP2062" s="7" t="n">
        <v>0</v>
      </c>
      <c r="AQ2062" s="7" t="n">
        <v>0</v>
      </c>
      <c r="AR2062" s="6" t="s">
        <v>63</v>
      </c>
      <c r="AS2062" s="6" t="s">
        <v>57</v>
      </c>
      <c r="AT2062" s="9" t="str">
        <f aca="false">HYPERLINK("http://catalog.hathitrust.org/Record/000084990","HathiTrust Record")</f>
        <v>HathiTrust Record</v>
      </c>
      <c r="AU2062" s="9" t="str">
        <f aca="false">HYPERLINK("https://creighton-primo.hosted.exlibrisgroup.com/primo-explore/search?tab=default_tab&amp;search_scope=EVERYTHING&amp;vid=01CRU&amp;lang=en_US&amp;offset=0&amp;query=any,contains,991004163489702656","Catalog Record")</f>
        <v>Catalog Record</v>
      </c>
      <c r="AV2062" s="9" t="str">
        <f aca="false">HYPERLINK("http://www.worldcat.org/oclc/2558022","WorldCat Record")</f>
        <v>WorldCat Record</v>
      </c>
      <c r="AW2062" s="6" t="s">
        <v>18496</v>
      </c>
      <c r="AX2062" s="6" t="s">
        <v>18497</v>
      </c>
      <c r="AY2062" s="6" t="s">
        <v>18498</v>
      </c>
      <c r="AZ2062" s="6" t="s">
        <v>18498</v>
      </c>
      <c r="BA2062" s="6" t="s">
        <v>18499</v>
      </c>
      <c r="BB2062" s="6" t="s">
        <v>18500</v>
      </c>
      <c r="BC2062" s="6" t="s">
        <v>18501</v>
      </c>
      <c r="BE2062" s="15" t="s">
        <v>2145</v>
      </c>
      <c r="BF2062" s="6" t="s">
        <v>18502</v>
      </c>
    </row>
    <row r="2063" customFormat="false" ht="128.5" hidden="false" customHeight="false" outlineLevel="0" collapsed="false">
      <c r="A2063" s="26" t="s">
        <v>63</v>
      </c>
      <c r="B2063" s="27" t="s">
        <v>2129</v>
      </c>
      <c r="C2063" s="27" t="s">
        <v>2130</v>
      </c>
      <c r="D2063" s="27" t="s">
        <v>18503</v>
      </c>
      <c r="E2063" s="27" t="s">
        <v>18504</v>
      </c>
      <c r="F2063" s="27" t="s">
        <v>18505</v>
      </c>
      <c r="G2063" s="28"/>
      <c r="H2063" s="6" t="s">
        <v>63</v>
      </c>
      <c r="I2063" s="6" t="s">
        <v>62</v>
      </c>
      <c r="J2063" s="6" t="s">
        <v>63</v>
      </c>
      <c r="K2063" s="6" t="s">
        <v>63</v>
      </c>
      <c r="L2063" s="6" t="s">
        <v>64</v>
      </c>
      <c r="M2063" s="28"/>
      <c r="N2063" s="27" t="s">
        <v>18506</v>
      </c>
      <c r="O2063" s="6" t="s">
        <v>108</v>
      </c>
      <c r="P2063" s="28"/>
      <c r="Q2063" s="6" t="s">
        <v>67</v>
      </c>
      <c r="R2063" s="6" t="s">
        <v>802</v>
      </c>
      <c r="S2063" s="28"/>
      <c r="T2063" s="6" t="s">
        <v>6138</v>
      </c>
      <c r="U2063" s="7" t="n">
        <v>2</v>
      </c>
      <c r="V2063" s="7" t="n">
        <v>2</v>
      </c>
      <c r="W2063" s="8" t="s">
        <v>13591</v>
      </c>
      <c r="X2063" s="8" t="s">
        <v>13591</v>
      </c>
      <c r="Y2063" s="8" t="s">
        <v>16816</v>
      </c>
      <c r="Z2063" s="8" t="s">
        <v>16816</v>
      </c>
      <c r="AA2063" s="7" t="n">
        <v>250</v>
      </c>
      <c r="AB2063" s="7" t="n">
        <v>160</v>
      </c>
      <c r="AC2063" s="7" t="n">
        <v>171</v>
      </c>
      <c r="AD2063" s="7" t="n">
        <v>2</v>
      </c>
      <c r="AE2063" s="7" t="n">
        <v>2</v>
      </c>
      <c r="AF2063" s="7" t="n">
        <v>15</v>
      </c>
      <c r="AG2063" s="7" t="n">
        <v>16</v>
      </c>
      <c r="AH2063" s="7" t="n">
        <v>5</v>
      </c>
      <c r="AI2063" s="7" t="n">
        <v>6</v>
      </c>
      <c r="AJ2063" s="7" t="n">
        <v>3</v>
      </c>
      <c r="AK2063" s="7" t="n">
        <v>3</v>
      </c>
      <c r="AL2063" s="7" t="n">
        <v>11</v>
      </c>
      <c r="AM2063" s="7" t="n">
        <v>12</v>
      </c>
      <c r="AN2063" s="7" t="n">
        <v>1</v>
      </c>
      <c r="AO2063" s="7" t="n">
        <v>1</v>
      </c>
      <c r="AP2063" s="7" t="n">
        <v>0</v>
      </c>
      <c r="AQ2063" s="7" t="n">
        <v>0</v>
      </c>
      <c r="AR2063" s="6" t="s">
        <v>63</v>
      </c>
      <c r="AS2063" s="6" t="s">
        <v>57</v>
      </c>
      <c r="AT2063" s="9" t="str">
        <f aca="false">HYPERLINK("http://catalog.hathitrust.org/Record/000216509","HathiTrust Record")</f>
        <v>HathiTrust Record</v>
      </c>
      <c r="AU2063" s="9" t="str">
        <f aca="false">HYPERLINK("https://creighton-primo.hosted.exlibrisgroup.com/primo-explore/search?tab=default_tab&amp;search_scope=EVERYTHING&amp;vid=01CRU&amp;lang=en_US&amp;offset=0&amp;query=any,contains,991004610359702656","Catalog Record")</f>
        <v>Catalog Record</v>
      </c>
      <c r="AV2063" s="9" t="str">
        <f aca="false">HYPERLINK("http://www.worldcat.org/oclc/4211136","WorldCat Record")</f>
        <v>WorldCat Record</v>
      </c>
      <c r="AW2063" s="6" t="s">
        <v>18507</v>
      </c>
      <c r="AX2063" s="6" t="s">
        <v>18508</v>
      </c>
      <c r="AY2063" s="6" t="s">
        <v>18509</v>
      </c>
      <c r="AZ2063" s="6" t="s">
        <v>18509</v>
      </c>
      <c r="BA2063" s="6" t="s">
        <v>18510</v>
      </c>
      <c r="BB2063" s="6" t="s">
        <v>18511</v>
      </c>
      <c r="BC2063" s="6" t="s">
        <v>18512</v>
      </c>
      <c r="BE2063" s="15" t="s">
        <v>2145</v>
      </c>
      <c r="BF2063" s="6" t="s">
        <v>18513</v>
      </c>
    </row>
    <row r="2064" customFormat="false" ht="163" hidden="false" customHeight="false" outlineLevel="0" collapsed="false">
      <c r="A2064" s="26" t="s">
        <v>63</v>
      </c>
      <c r="B2064" s="27" t="s">
        <v>2129</v>
      </c>
      <c r="C2064" s="27" t="s">
        <v>2130</v>
      </c>
      <c r="D2064" s="27" t="s">
        <v>18514</v>
      </c>
      <c r="E2064" s="27" t="s">
        <v>18515</v>
      </c>
      <c r="F2064" s="27" t="s">
        <v>18516</v>
      </c>
      <c r="G2064" s="28"/>
      <c r="H2064" s="6" t="s">
        <v>63</v>
      </c>
      <c r="I2064" s="6" t="s">
        <v>62</v>
      </c>
      <c r="J2064" s="6" t="s">
        <v>63</v>
      </c>
      <c r="K2064" s="6" t="s">
        <v>63</v>
      </c>
      <c r="L2064" s="6" t="s">
        <v>64</v>
      </c>
      <c r="M2064" s="28"/>
      <c r="N2064" s="27" t="s">
        <v>18517</v>
      </c>
      <c r="O2064" s="6" t="s">
        <v>254</v>
      </c>
      <c r="P2064" s="28"/>
      <c r="Q2064" s="6" t="s">
        <v>67</v>
      </c>
      <c r="R2064" s="6" t="s">
        <v>802</v>
      </c>
      <c r="S2064" s="27" t="s">
        <v>18518</v>
      </c>
      <c r="T2064" s="6" t="s">
        <v>6138</v>
      </c>
      <c r="U2064" s="7" t="n">
        <v>1</v>
      </c>
      <c r="V2064" s="7" t="n">
        <v>1</v>
      </c>
      <c r="W2064" s="8" t="s">
        <v>18519</v>
      </c>
      <c r="X2064" s="8" t="s">
        <v>18519</v>
      </c>
      <c r="Y2064" s="8" t="s">
        <v>16816</v>
      </c>
      <c r="Z2064" s="8" t="s">
        <v>16816</v>
      </c>
      <c r="AA2064" s="7" t="n">
        <v>327</v>
      </c>
      <c r="AB2064" s="7" t="n">
        <v>228</v>
      </c>
      <c r="AC2064" s="7" t="n">
        <v>233</v>
      </c>
      <c r="AD2064" s="7" t="n">
        <v>2</v>
      </c>
      <c r="AE2064" s="7" t="n">
        <v>2</v>
      </c>
      <c r="AF2064" s="7" t="n">
        <v>20</v>
      </c>
      <c r="AG2064" s="7" t="n">
        <v>20</v>
      </c>
      <c r="AH2064" s="7" t="n">
        <v>4</v>
      </c>
      <c r="AI2064" s="7" t="n">
        <v>4</v>
      </c>
      <c r="AJ2064" s="7" t="n">
        <v>7</v>
      </c>
      <c r="AK2064" s="7" t="n">
        <v>7</v>
      </c>
      <c r="AL2064" s="7" t="n">
        <v>14</v>
      </c>
      <c r="AM2064" s="7" t="n">
        <v>14</v>
      </c>
      <c r="AN2064" s="7" t="n">
        <v>1</v>
      </c>
      <c r="AO2064" s="7" t="n">
        <v>1</v>
      </c>
      <c r="AP2064" s="7" t="n">
        <v>0</v>
      </c>
      <c r="AQ2064" s="7" t="n">
        <v>0</v>
      </c>
      <c r="AR2064" s="6" t="s">
        <v>63</v>
      </c>
      <c r="AS2064" s="6" t="s">
        <v>63</v>
      </c>
      <c r="AT2064" s="28"/>
      <c r="AU2064" s="9" t="str">
        <f aca="false">HYPERLINK("https://creighton-primo.hosted.exlibrisgroup.com/primo-explore/search?tab=default_tab&amp;search_scope=EVERYTHING&amp;vid=01CRU&amp;lang=en_US&amp;offset=0&amp;query=any,contains,991003265169702656","Catalog Record")</f>
        <v>Catalog Record</v>
      </c>
      <c r="AV2064" s="9" t="str">
        <f aca="false">HYPERLINK("http://www.worldcat.org/oclc/790732","WorldCat Record")</f>
        <v>WorldCat Record</v>
      </c>
      <c r="AW2064" s="6" t="s">
        <v>18520</v>
      </c>
      <c r="AX2064" s="6" t="s">
        <v>18521</v>
      </c>
      <c r="AY2064" s="6" t="s">
        <v>18522</v>
      </c>
      <c r="AZ2064" s="6" t="s">
        <v>18522</v>
      </c>
      <c r="BA2064" s="6" t="s">
        <v>18523</v>
      </c>
      <c r="BB2064" s="6" t="s">
        <v>18524</v>
      </c>
      <c r="BC2064" s="6" t="s">
        <v>18525</v>
      </c>
      <c r="BE2064" s="15" t="s">
        <v>2145</v>
      </c>
      <c r="BF2064" s="6" t="s">
        <v>18526</v>
      </c>
    </row>
    <row r="2065" customFormat="false" ht="117" hidden="false" customHeight="false" outlineLevel="0" collapsed="false">
      <c r="A2065" s="26" t="s">
        <v>63</v>
      </c>
      <c r="B2065" s="27" t="s">
        <v>2129</v>
      </c>
      <c r="C2065" s="27" t="s">
        <v>2130</v>
      </c>
      <c r="D2065" s="27" t="s">
        <v>18527</v>
      </c>
      <c r="E2065" s="27" t="s">
        <v>18528</v>
      </c>
      <c r="F2065" s="27" t="s">
        <v>18529</v>
      </c>
      <c r="G2065" s="28"/>
      <c r="H2065" s="6" t="s">
        <v>63</v>
      </c>
      <c r="I2065" s="6" t="s">
        <v>62</v>
      </c>
      <c r="J2065" s="6" t="s">
        <v>63</v>
      </c>
      <c r="K2065" s="6" t="s">
        <v>63</v>
      </c>
      <c r="L2065" s="6" t="s">
        <v>64</v>
      </c>
      <c r="M2065" s="27" t="s">
        <v>18530</v>
      </c>
      <c r="N2065" s="27" t="s">
        <v>18531</v>
      </c>
      <c r="O2065" s="6" t="s">
        <v>2343</v>
      </c>
      <c r="P2065" s="28"/>
      <c r="Q2065" s="6" t="s">
        <v>67</v>
      </c>
      <c r="R2065" s="6" t="s">
        <v>802</v>
      </c>
      <c r="S2065" s="27" t="s">
        <v>18532</v>
      </c>
      <c r="T2065" s="6" t="s">
        <v>6138</v>
      </c>
      <c r="U2065" s="7" t="n">
        <v>1</v>
      </c>
      <c r="V2065" s="7" t="n">
        <v>1</v>
      </c>
      <c r="W2065" s="8" t="s">
        <v>9523</v>
      </c>
      <c r="X2065" s="8" t="s">
        <v>9523</v>
      </c>
      <c r="Y2065" s="8" t="s">
        <v>18533</v>
      </c>
      <c r="Z2065" s="8" t="s">
        <v>18533</v>
      </c>
      <c r="AA2065" s="7" t="n">
        <v>319</v>
      </c>
      <c r="AB2065" s="7" t="n">
        <v>217</v>
      </c>
      <c r="AC2065" s="7" t="n">
        <v>227</v>
      </c>
      <c r="AD2065" s="7" t="n">
        <v>3</v>
      </c>
      <c r="AE2065" s="7" t="n">
        <v>3</v>
      </c>
      <c r="AF2065" s="7" t="n">
        <v>18</v>
      </c>
      <c r="AG2065" s="7" t="n">
        <v>18</v>
      </c>
      <c r="AH2065" s="7" t="n">
        <v>5</v>
      </c>
      <c r="AI2065" s="7" t="n">
        <v>5</v>
      </c>
      <c r="AJ2065" s="7" t="n">
        <v>5</v>
      </c>
      <c r="AK2065" s="7" t="n">
        <v>5</v>
      </c>
      <c r="AL2065" s="7" t="n">
        <v>13</v>
      </c>
      <c r="AM2065" s="7" t="n">
        <v>13</v>
      </c>
      <c r="AN2065" s="7" t="n">
        <v>2</v>
      </c>
      <c r="AO2065" s="7" t="n">
        <v>2</v>
      </c>
      <c r="AP2065" s="7" t="n">
        <v>0</v>
      </c>
      <c r="AQ2065" s="7" t="n">
        <v>0</v>
      </c>
      <c r="AR2065" s="6" t="s">
        <v>63</v>
      </c>
      <c r="AS2065" s="6" t="s">
        <v>63</v>
      </c>
      <c r="AT2065" s="28"/>
      <c r="AU2065" s="9" t="str">
        <f aca="false">HYPERLINK("https://creighton-primo.hosted.exlibrisgroup.com/primo-explore/search?tab=default_tab&amp;search_scope=EVERYTHING&amp;vid=01CRU&amp;lang=en_US&amp;offset=0&amp;query=any,contains,991005175109702656","Catalog Record")</f>
        <v>Catalog Record</v>
      </c>
      <c r="AV2065" s="9" t="str">
        <f aca="false">HYPERLINK("http://www.worldcat.org/oclc/16538874","WorldCat Record")</f>
        <v>WorldCat Record</v>
      </c>
      <c r="AW2065" s="6" t="s">
        <v>18534</v>
      </c>
      <c r="AX2065" s="6" t="s">
        <v>18535</v>
      </c>
      <c r="AY2065" s="6" t="s">
        <v>18536</v>
      </c>
      <c r="AZ2065" s="6" t="s">
        <v>18536</v>
      </c>
      <c r="BA2065" s="6" t="s">
        <v>18537</v>
      </c>
      <c r="BB2065" s="6" t="s">
        <v>18538</v>
      </c>
      <c r="BC2065" s="6" t="s">
        <v>18539</v>
      </c>
      <c r="BE2065" s="15" t="s">
        <v>2145</v>
      </c>
      <c r="BF2065" s="6" t="s">
        <v>18540</v>
      </c>
    </row>
    <row r="2066" customFormat="false" ht="94" hidden="false" customHeight="false" outlineLevel="0" collapsed="false">
      <c r="A2066" s="26" t="s">
        <v>63</v>
      </c>
      <c r="B2066" s="27" t="s">
        <v>2129</v>
      </c>
      <c r="C2066" s="27" t="s">
        <v>2130</v>
      </c>
      <c r="D2066" s="27" t="s">
        <v>18541</v>
      </c>
      <c r="E2066" s="27" t="s">
        <v>18542</v>
      </c>
      <c r="F2066" s="27" t="s">
        <v>18543</v>
      </c>
      <c r="G2066" s="28"/>
      <c r="H2066" s="6" t="s">
        <v>57</v>
      </c>
      <c r="I2066" s="6" t="s">
        <v>62</v>
      </c>
      <c r="J2066" s="6" t="s">
        <v>57</v>
      </c>
      <c r="K2066" s="6" t="s">
        <v>57</v>
      </c>
      <c r="L2066" s="6" t="s">
        <v>64</v>
      </c>
      <c r="M2066" s="27" t="s">
        <v>18530</v>
      </c>
      <c r="N2066" s="27" t="s">
        <v>18544</v>
      </c>
      <c r="O2066" s="6" t="s">
        <v>233</v>
      </c>
      <c r="P2066" s="28"/>
      <c r="Q2066" s="6" t="s">
        <v>67</v>
      </c>
      <c r="R2066" s="6" t="s">
        <v>123</v>
      </c>
      <c r="S2066" s="27" t="s">
        <v>18545</v>
      </c>
      <c r="T2066" s="6" t="s">
        <v>6138</v>
      </c>
      <c r="U2066" s="7" t="n">
        <v>1</v>
      </c>
      <c r="V2066" s="7" t="n">
        <v>6</v>
      </c>
      <c r="W2066" s="8" t="s">
        <v>18546</v>
      </c>
      <c r="X2066" s="8" t="s">
        <v>18547</v>
      </c>
      <c r="Y2066" s="8" t="s">
        <v>18533</v>
      </c>
      <c r="Z2066" s="8" t="s">
        <v>18533</v>
      </c>
      <c r="AA2066" s="7" t="n">
        <v>421</v>
      </c>
      <c r="AB2066" s="7" t="n">
        <v>330</v>
      </c>
      <c r="AC2066" s="7" t="n">
        <v>954</v>
      </c>
      <c r="AD2066" s="7" t="n">
        <v>3</v>
      </c>
      <c r="AE2066" s="7" t="n">
        <v>5</v>
      </c>
      <c r="AF2066" s="7" t="n">
        <v>27</v>
      </c>
      <c r="AG2066" s="7" t="n">
        <v>52</v>
      </c>
      <c r="AH2066" s="7" t="n">
        <v>6</v>
      </c>
      <c r="AI2066" s="7" t="n">
        <v>24</v>
      </c>
      <c r="AJ2066" s="7" t="n">
        <v>7</v>
      </c>
      <c r="AK2066" s="7" t="n">
        <v>11</v>
      </c>
      <c r="AL2066" s="7" t="n">
        <v>17</v>
      </c>
      <c r="AM2066" s="7" t="n">
        <v>27</v>
      </c>
      <c r="AN2066" s="7" t="n">
        <v>2</v>
      </c>
      <c r="AO2066" s="7" t="n">
        <v>4</v>
      </c>
      <c r="AP2066" s="7" t="n">
        <v>0</v>
      </c>
      <c r="AQ2066" s="7" t="n">
        <v>0</v>
      </c>
      <c r="AR2066" s="6" t="s">
        <v>63</v>
      </c>
      <c r="AS2066" s="6" t="s">
        <v>57</v>
      </c>
      <c r="AT2066" s="9" t="str">
        <f aca="false">HYPERLINK("http://catalog.hathitrust.org/Record/004461673","HathiTrust Record")</f>
        <v>HathiTrust Record</v>
      </c>
      <c r="AU2066" s="9" t="str">
        <f aca="false">HYPERLINK("https://creighton-primo.hosted.exlibrisgroup.com/primo-explore/search?tab=default_tab&amp;search_scope=EVERYTHING&amp;vid=01CRU&amp;lang=en_US&amp;offset=0&amp;query=any,contains,991003681949702656","Catalog Record")</f>
        <v>Catalog Record</v>
      </c>
      <c r="AV2066" s="9" t="str">
        <f aca="false">HYPERLINK("http://www.worldcat.org/oclc/1308246","WorldCat Record")</f>
        <v>WorldCat Record</v>
      </c>
      <c r="AW2066" s="6" t="s">
        <v>18548</v>
      </c>
      <c r="AX2066" s="6" t="s">
        <v>18549</v>
      </c>
      <c r="AY2066" s="6" t="s">
        <v>18550</v>
      </c>
      <c r="AZ2066" s="6" t="s">
        <v>18550</v>
      </c>
      <c r="BA2066" s="6" t="s">
        <v>18551</v>
      </c>
      <c r="BB2066" s="28"/>
      <c r="BC2066" s="6" t="s">
        <v>18552</v>
      </c>
      <c r="BE2066" s="15" t="s">
        <v>2145</v>
      </c>
      <c r="BF2066" s="6" t="s">
        <v>18553</v>
      </c>
    </row>
    <row r="2067" customFormat="false" ht="94" hidden="false" customHeight="false" outlineLevel="0" collapsed="false">
      <c r="A2067" s="26" t="s">
        <v>63</v>
      </c>
      <c r="B2067" s="27" t="s">
        <v>2129</v>
      </c>
      <c r="C2067" s="27" t="s">
        <v>2130</v>
      </c>
      <c r="D2067" s="27" t="s">
        <v>18554</v>
      </c>
      <c r="E2067" s="27" t="s">
        <v>18555</v>
      </c>
      <c r="F2067" s="27" t="s">
        <v>18543</v>
      </c>
      <c r="G2067" s="28"/>
      <c r="H2067" s="6" t="s">
        <v>63</v>
      </c>
      <c r="I2067" s="6" t="s">
        <v>62</v>
      </c>
      <c r="J2067" s="6" t="s">
        <v>63</v>
      </c>
      <c r="K2067" s="6" t="s">
        <v>57</v>
      </c>
      <c r="L2067" s="6" t="s">
        <v>64</v>
      </c>
      <c r="M2067" s="27" t="s">
        <v>18530</v>
      </c>
      <c r="N2067" s="27" t="s">
        <v>18556</v>
      </c>
      <c r="O2067" s="6" t="s">
        <v>167</v>
      </c>
      <c r="P2067" s="27" t="s">
        <v>4146</v>
      </c>
      <c r="Q2067" s="6" t="s">
        <v>67</v>
      </c>
      <c r="R2067" s="6" t="s">
        <v>68</v>
      </c>
      <c r="S2067" s="27" t="s">
        <v>18557</v>
      </c>
      <c r="T2067" s="6" t="s">
        <v>6138</v>
      </c>
      <c r="U2067" s="7" t="n">
        <v>1</v>
      </c>
      <c r="V2067" s="7" t="n">
        <v>1</v>
      </c>
      <c r="W2067" s="8" t="s">
        <v>184</v>
      </c>
      <c r="X2067" s="8" t="s">
        <v>184</v>
      </c>
      <c r="Y2067" s="8" t="s">
        <v>18533</v>
      </c>
      <c r="Z2067" s="8" t="s">
        <v>18533</v>
      </c>
      <c r="AA2067" s="7" t="n">
        <v>453</v>
      </c>
      <c r="AB2067" s="7" t="n">
        <v>380</v>
      </c>
      <c r="AC2067" s="7" t="n">
        <v>954</v>
      </c>
      <c r="AD2067" s="7" t="n">
        <v>3</v>
      </c>
      <c r="AE2067" s="7" t="n">
        <v>5</v>
      </c>
      <c r="AF2067" s="7" t="n">
        <v>25</v>
      </c>
      <c r="AG2067" s="7" t="n">
        <v>52</v>
      </c>
      <c r="AH2067" s="7" t="n">
        <v>9</v>
      </c>
      <c r="AI2067" s="7" t="n">
        <v>24</v>
      </c>
      <c r="AJ2067" s="7" t="n">
        <v>6</v>
      </c>
      <c r="AK2067" s="7" t="n">
        <v>11</v>
      </c>
      <c r="AL2067" s="7" t="n">
        <v>15</v>
      </c>
      <c r="AM2067" s="7" t="n">
        <v>27</v>
      </c>
      <c r="AN2067" s="7" t="n">
        <v>2</v>
      </c>
      <c r="AO2067" s="7" t="n">
        <v>4</v>
      </c>
      <c r="AP2067" s="7" t="n">
        <v>0</v>
      </c>
      <c r="AQ2067" s="7" t="n">
        <v>0</v>
      </c>
      <c r="AR2067" s="6" t="s">
        <v>63</v>
      </c>
      <c r="AS2067" s="6" t="s">
        <v>63</v>
      </c>
      <c r="AT2067" s="28"/>
      <c r="AU2067" s="9" t="str">
        <f aca="false">HYPERLINK("https://creighton-primo.hosted.exlibrisgroup.com/primo-explore/search?tab=default_tab&amp;search_scope=EVERYTHING&amp;vid=01CRU&amp;lang=en_US&amp;offset=0&amp;query=any,contains,991003821629702656","Catalog Record")</f>
        <v>Catalog Record</v>
      </c>
      <c r="AV2067" s="9" t="str">
        <f aca="false">HYPERLINK("http://www.worldcat.org/oclc/1560230","WorldCat Record")</f>
        <v>WorldCat Record</v>
      </c>
      <c r="AW2067" s="6" t="s">
        <v>18548</v>
      </c>
      <c r="AX2067" s="6" t="s">
        <v>18558</v>
      </c>
      <c r="AY2067" s="6" t="s">
        <v>18559</v>
      </c>
      <c r="AZ2067" s="6" t="s">
        <v>18559</v>
      </c>
      <c r="BA2067" s="6" t="s">
        <v>18560</v>
      </c>
      <c r="BB2067" s="28"/>
      <c r="BC2067" s="6" t="s">
        <v>18561</v>
      </c>
      <c r="BE2067" s="15" t="s">
        <v>2145</v>
      </c>
      <c r="BF2067" s="6" t="s">
        <v>18562</v>
      </c>
    </row>
    <row r="2068" customFormat="false" ht="71" hidden="false" customHeight="false" outlineLevel="0" collapsed="false">
      <c r="A2068" s="26" t="s">
        <v>63</v>
      </c>
      <c r="B2068" s="27" t="s">
        <v>2129</v>
      </c>
      <c r="C2068" s="27" t="s">
        <v>2130</v>
      </c>
      <c r="D2068" s="27" t="s">
        <v>18563</v>
      </c>
      <c r="E2068" s="27" t="s">
        <v>18564</v>
      </c>
      <c r="F2068" s="27" t="s">
        <v>18565</v>
      </c>
      <c r="G2068" s="28"/>
      <c r="H2068" s="6" t="s">
        <v>63</v>
      </c>
      <c r="I2068" s="6" t="s">
        <v>62</v>
      </c>
      <c r="J2068" s="6" t="s">
        <v>63</v>
      </c>
      <c r="K2068" s="6" t="s">
        <v>63</v>
      </c>
      <c r="L2068" s="6" t="s">
        <v>64</v>
      </c>
      <c r="M2068" s="27" t="s">
        <v>18566</v>
      </c>
      <c r="N2068" s="27" t="s">
        <v>18567</v>
      </c>
      <c r="O2068" s="6" t="s">
        <v>3029</v>
      </c>
      <c r="P2068" s="28"/>
      <c r="Q2068" s="6" t="s">
        <v>67</v>
      </c>
      <c r="R2068" s="6" t="s">
        <v>1224</v>
      </c>
      <c r="S2068" s="28"/>
      <c r="T2068" s="6" t="s">
        <v>6138</v>
      </c>
      <c r="U2068" s="7" t="n">
        <v>1</v>
      </c>
      <c r="V2068" s="7" t="n">
        <v>1</v>
      </c>
      <c r="W2068" s="8" t="s">
        <v>17667</v>
      </c>
      <c r="X2068" s="8" t="s">
        <v>17667</v>
      </c>
      <c r="Y2068" s="8" t="s">
        <v>18533</v>
      </c>
      <c r="Z2068" s="8" t="s">
        <v>18533</v>
      </c>
      <c r="AA2068" s="7" t="n">
        <v>895</v>
      </c>
      <c r="AB2068" s="7" t="n">
        <v>796</v>
      </c>
      <c r="AC2068" s="7" t="n">
        <v>910</v>
      </c>
      <c r="AD2068" s="7" t="n">
        <v>4</v>
      </c>
      <c r="AE2068" s="7" t="n">
        <v>6</v>
      </c>
      <c r="AF2068" s="7" t="n">
        <v>37</v>
      </c>
      <c r="AG2068" s="7" t="n">
        <v>42</v>
      </c>
      <c r="AH2068" s="7" t="n">
        <v>15</v>
      </c>
      <c r="AI2068" s="7" t="n">
        <v>18</v>
      </c>
      <c r="AJ2068" s="7" t="n">
        <v>7</v>
      </c>
      <c r="AK2068" s="7" t="n">
        <v>8</v>
      </c>
      <c r="AL2068" s="7" t="n">
        <v>24</v>
      </c>
      <c r="AM2068" s="7" t="n">
        <v>24</v>
      </c>
      <c r="AN2068" s="7" t="n">
        <v>3</v>
      </c>
      <c r="AO2068" s="7" t="n">
        <v>5</v>
      </c>
      <c r="AP2068" s="7" t="n">
        <v>0</v>
      </c>
      <c r="AQ2068" s="7" t="n">
        <v>0</v>
      </c>
      <c r="AR2068" s="6" t="s">
        <v>63</v>
      </c>
      <c r="AS2068" s="6" t="s">
        <v>63</v>
      </c>
      <c r="AT2068" s="9" t="str">
        <f aca="false">HYPERLINK("http://catalog.hathitrust.org/Record/001382947","HathiTrust Record")</f>
        <v>HathiTrust Record</v>
      </c>
      <c r="AU2068" s="9" t="str">
        <f aca="false">HYPERLINK("https://creighton-primo.hosted.exlibrisgroup.com/primo-explore/search?tab=default_tab&amp;search_scope=EVERYTHING&amp;vid=01CRU&amp;lang=en_US&amp;offset=0&amp;query=any,contains,991002494039702656","Catalog Record")</f>
        <v>Catalog Record</v>
      </c>
      <c r="AV2068" s="9" t="str">
        <f aca="false">HYPERLINK("http://www.worldcat.org/oclc/363265","WorldCat Record")</f>
        <v>WorldCat Record</v>
      </c>
      <c r="AW2068" s="6" t="s">
        <v>18568</v>
      </c>
      <c r="AX2068" s="6" t="s">
        <v>18569</v>
      </c>
      <c r="AY2068" s="6" t="s">
        <v>18570</v>
      </c>
      <c r="AZ2068" s="6" t="s">
        <v>18570</v>
      </c>
      <c r="BA2068" s="6" t="s">
        <v>18571</v>
      </c>
      <c r="BB2068" s="28"/>
      <c r="BC2068" s="6" t="s">
        <v>18572</v>
      </c>
      <c r="BE2068" s="15" t="s">
        <v>2145</v>
      </c>
      <c r="BF2068" s="6" t="s">
        <v>18573</v>
      </c>
    </row>
    <row r="2069" customFormat="false" ht="117" hidden="false" customHeight="false" outlineLevel="0" collapsed="false">
      <c r="A2069" s="26" t="s">
        <v>63</v>
      </c>
      <c r="B2069" s="27" t="s">
        <v>2129</v>
      </c>
      <c r="C2069" s="27" t="s">
        <v>2130</v>
      </c>
      <c r="D2069" s="27" t="s">
        <v>18574</v>
      </c>
      <c r="E2069" s="27" t="s">
        <v>18575</v>
      </c>
      <c r="F2069" s="27" t="s">
        <v>18576</v>
      </c>
      <c r="G2069" s="28"/>
      <c r="H2069" s="6" t="s">
        <v>63</v>
      </c>
      <c r="I2069" s="6" t="s">
        <v>62</v>
      </c>
      <c r="J2069" s="6" t="s">
        <v>63</v>
      </c>
      <c r="K2069" s="6" t="s">
        <v>63</v>
      </c>
      <c r="L2069" s="6" t="s">
        <v>64</v>
      </c>
      <c r="M2069" s="27" t="s">
        <v>18577</v>
      </c>
      <c r="N2069" s="27" t="s">
        <v>18578</v>
      </c>
      <c r="O2069" s="6" t="s">
        <v>264</v>
      </c>
      <c r="P2069" s="28"/>
      <c r="Q2069" s="6" t="s">
        <v>67</v>
      </c>
      <c r="R2069" s="6" t="s">
        <v>68</v>
      </c>
      <c r="S2069" s="28"/>
      <c r="T2069" s="6" t="s">
        <v>6138</v>
      </c>
      <c r="U2069" s="7" t="n">
        <v>4</v>
      </c>
      <c r="V2069" s="7" t="n">
        <v>4</v>
      </c>
      <c r="W2069" s="8" t="s">
        <v>18579</v>
      </c>
      <c r="X2069" s="8" t="s">
        <v>18579</v>
      </c>
      <c r="Y2069" s="8" t="s">
        <v>18533</v>
      </c>
      <c r="Z2069" s="8" t="s">
        <v>18533</v>
      </c>
      <c r="AA2069" s="7" t="n">
        <v>695</v>
      </c>
      <c r="AB2069" s="7" t="n">
        <v>600</v>
      </c>
      <c r="AC2069" s="7" t="n">
        <v>602</v>
      </c>
      <c r="AD2069" s="7" t="n">
        <v>5</v>
      </c>
      <c r="AE2069" s="7" t="n">
        <v>5</v>
      </c>
      <c r="AF2069" s="7" t="n">
        <v>28</v>
      </c>
      <c r="AG2069" s="7" t="n">
        <v>28</v>
      </c>
      <c r="AH2069" s="7" t="n">
        <v>10</v>
      </c>
      <c r="AI2069" s="7" t="n">
        <v>10</v>
      </c>
      <c r="AJ2069" s="7" t="n">
        <v>7</v>
      </c>
      <c r="AK2069" s="7" t="n">
        <v>7</v>
      </c>
      <c r="AL2069" s="7" t="n">
        <v>17</v>
      </c>
      <c r="AM2069" s="7" t="n">
        <v>17</v>
      </c>
      <c r="AN2069" s="7" t="n">
        <v>4</v>
      </c>
      <c r="AO2069" s="7" t="n">
        <v>4</v>
      </c>
      <c r="AP2069" s="7" t="n">
        <v>0</v>
      </c>
      <c r="AQ2069" s="7" t="n">
        <v>0</v>
      </c>
      <c r="AR2069" s="6" t="s">
        <v>63</v>
      </c>
      <c r="AS2069" s="6" t="s">
        <v>57</v>
      </c>
      <c r="AT2069" s="9" t="str">
        <f aca="false">HYPERLINK("http://catalog.hathitrust.org/Record/001915098","HathiTrust Record")</f>
        <v>HathiTrust Record</v>
      </c>
      <c r="AU2069" s="9" t="str">
        <f aca="false">HYPERLINK("https://creighton-primo.hosted.exlibrisgroup.com/primo-explore/search?tab=default_tab&amp;search_scope=EVERYTHING&amp;vid=01CRU&amp;lang=en_US&amp;offset=0&amp;query=any,contains,991000544079702656","Catalog Record")</f>
        <v>Catalog Record</v>
      </c>
      <c r="AV2069" s="9" t="str">
        <f aca="false">HYPERLINK("http://www.worldcat.org/oclc/91244","WorldCat Record")</f>
        <v>WorldCat Record</v>
      </c>
      <c r="AW2069" s="6" t="s">
        <v>18580</v>
      </c>
      <c r="AX2069" s="6" t="s">
        <v>18581</v>
      </c>
      <c r="AY2069" s="6" t="s">
        <v>18582</v>
      </c>
      <c r="AZ2069" s="6" t="s">
        <v>18582</v>
      </c>
      <c r="BA2069" s="6" t="s">
        <v>18583</v>
      </c>
      <c r="BB2069" s="6" t="s">
        <v>18584</v>
      </c>
      <c r="BC2069" s="6" t="s">
        <v>18585</v>
      </c>
      <c r="BE2069" s="15" t="s">
        <v>2145</v>
      </c>
      <c r="BF2069" s="6" t="s">
        <v>18586</v>
      </c>
    </row>
    <row r="2070" customFormat="false" ht="94" hidden="false" customHeight="false" outlineLevel="0" collapsed="false">
      <c r="A2070" s="26" t="s">
        <v>63</v>
      </c>
      <c r="B2070" s="27" t="s">
        <v>2129</v>
      </c>
      <c r="C2070" s="27" t="s">
        <v>2130</v>
      </c>
      <c r="D2070" s="27" t="s">
        <v>18587</v>
      </c>
      <c r="E2070" s="27" t="s">
        <v>18588</v>
      </c>
      <c r="F2070" s="27" t="s">
        <v>18589</v>
      </c>
      <c r="G2070" s="28"/>
      <c r="H2070" s="6" t="s">
        <v>63</v>
      </c>
      <c r="I2070" s="6" t="s">
        <v>62</v>
      </c>
      <c r="J2070" s="6" t="s">
        <v>63</v>
      </c>
      <c r="K2070" s="6" t="s">
        <v>63</v>
      </c>
      <c r="L2070" s="6" t="s">
        <v>64</v>
      </c>
      <c r="M2070" s="27" t="s">
        <v>18590</v>
      </c>
      <c r="N2070" s="27" t="s">
        <v>18591</v>
      </c>
      <c r="O2070" s="6" t="s">
        <v>208</v>
      </c>
      <c r="P2070" s="28"/>
      <c r="Q2070" s="6" t="s">
        <v>67</v>
      </c>
      <c r="R2070" s="6" t="s">
        <v>1108</v>
      </c>
      <c r="S2070" s="28"/>
      <c r="T2070" s="6" t="s">
        <v>6138</v>
      </c>
      <c r="U2070" s="7" t="n">
        <v>2</v>
      </c>
      <c r="V2070" s="7" t="n">
        <v>2</v>
      </c>
      <c r="W2070" s="8" t="s">
        <v>18592</v>
      </c>
      <c r="X2070" s="8" t="s">
        <v>18592</v>
      </c>
      <c r="Y2070" s="8" t="s">
        <v>6522</v>
      </c>
      <c r="Z2070" s="8" t="s">
        <v>6522</v>
      </c>
      <c r="AA2070" s="7" t="n">
        <v>253</v>
      </c>
      <c r="AB2070" s="7" t="n">
        <v>192</v>
      </c>
      <c r="AC2070" s="7" t="n">
        <v>194</v>
      </c>
      <c r="AD2070" s="7" t="n">
        <v>2</v>
      </c>
      <c r="AE2070" s="7" t="n">
        <v>2</v>
      </c>
      <c r="AF2070" s="7" t="n">
        <v>15</v>
      </c>
      <c r="AG2070" s="7" t="n">
        <v>15</v>
      </c>
      <c r="AH2070" s="7" t="n">
        <v>5</v>
      </c>
      <c r="AI2070" s="7" t="n">
        <v>5</v>
      </c>
      <c r="AJ2070" s="7" t="n">
        <v>4</v>
      </c>
      <c r="AK2070" s="7" t="n">
        <v>4</v>
      </c>
      <c r="AL2070" s="7" t="n">
        <v>9</v>
      </c>
      <c r="AM2070" s="7" t="n">
        <v>9</v>
      </c>
      <c r="AN2070" s="7" t="n">
        <v>1</v>
      </c>
      <c r="AO2070" s="7" t="n">
        <v>1</v>
      </c>
      <c r="AP2070" s="7" t="n">
        <v>0</v>
      </c>
      <c r="AQ2070" s="7" t="n">
        <v>0</v>
      </c>
      <c r="AR2070" s="6" t="s">
        <v>63</v>
      </c>
      <c r="AS2070" s="6" t="s">
        <v>57</v>
      </c>
      <c r="AT2070" s="9" t="str">
        <f aca="false">HYPERLINK("http://catalog.hathitrust.org/Record/000843204","HathiTrust Record")</f>
        <v>HathiTrust Record</v>
      </c>
      <c r="AU2070" s="9" t="str">
        <f aca="false">HYPERLINK("https://creighton-primo.hosted.exlibrisgroup.com/primo-explore/search?tab=default_tab&amp;search_scope=EVERYTHING&amp;vid=01CRU&amp;lang=en_US&amp;offset=0&amp;query=any,contains,991000840449702656","Catalog Record")</f>
        <v>Catalog Record</v>
      </c>
      <c r="AV2070" s="9" t="str">
        <f aca="false">HYPERLINK("http://www.worldcat.org/oclc/13525380","WorldCat Record")</f>
        <v>WorldCat Record</v>
      </c>
      <c r="AW2070" s="6" t="s">
        <v>18593</v>
      </c>
      <c r="AX2070" s="6" t="s">
        <v>18594</v>
      </c>
      <c r="AY2070" s="6" t="s">
        <v>18595</v>
      </c>
      <c r="AZ2070" s="6" t="s">
        <v>18595</v>
      </c>
      <c r="BA2070" s="6" t="s">
        <v>18596</v>
      </c>
      <c r="BB2070" s="6" t="s">
        <v>18597</v>
      </c>
      <c r="BC2070" s="6" t="s">
        <v>18598</v>
      </c>
      <c r="BE2070" s="15" t="s">
        <v>2145</v>
      </c>
      <c r="BF2070" s="6" t="s">
        <v>18599</v>
      </c>
    </row>
    <row r="2071" customFormat="false" ht="105.5" hidden="false" customHeight="false" outlineLevel="0" collapsed="false">
      <c r="A2071" s="26" t="s">
        <v>63</v>
      </c>
      <c r="B2071" s="27" t="s">
        <v>2129</v>
      </c>
      <c r="C2071" s="27" t="s">
        <v>2130</v>
      </c>
      <c r="D2071" s="27" t="s">
        <v>18600</v>
      </c>
      <c r="E2071" s="27" t="s">
        <v>18601</v>
      </c>
      <c r="F2071" s="27" t="s">
        <v>18602</v>
      </c>
      <c r="G2071" s="28"/>
      <c r="H2071" s="6" t="s">
        <v>63</v>
      </c>
      <c r="I2071" s="6" t="s">
        <v>62</v>
      </c>
      <c r="J2071" s="6" t="s">
        <v>63</v>
      </c>
      <c r="K2071" s="6" t="s">
        <v>63</v>
      </c>
      <c r="L2071" s="6" t="s">
        <v>64</v>
      </c>
      <c r="M2071" s="27" t="s">
        <v>18603</v>
      </c>
      <c r="N2071" s="27" t="s">
        <v>13087</v>
      </c>
      <c r="O2071" s="6" t="s">
        <v>108</v>
      </c>
      <c r="P2071" s="28"/>
      <c r="Q2071" s="6" t="s">
        <v>67</v>
      </c>
      <c r="R2071" s="6" t="s">
        <v>181</v>
      </c>
      <c r="S2071" s="28"/>
      <c r="T2071" s="6" t="s">
        <v>6138</v>
      </c>
      <c r="U2071" s="7" t="n">
        <v>1</v>
      </c>
      <c r="V2071" s="7" t="n">
        <v>1</v>
      </c>
      <c r="W2071" s="8" t="s">
        <v>18604</v>
      </c>
      <c r="X2071" s="8" t="s">
        <v>18604</v>
      </c>
      <c r="Y2071" s="8" t="s">
        <v>18605</v>
      </c>
      <c r="Z2071" s="8" t="s">
        <v>18605</v>
      </c>
      <c r="AA2071" s="7" t="n">
        <v>789</v>
      </c>
      <c r="AB2071" s="7" t="n">
        <v>697</v>
      </c>
      <c r="AC2071" s="7" t="n">
        <v>762</v>
      </c>
      <c r="AD2071" s="7" t="n">
        <v>5</v>
      </c>
      <c r="AE2071" s="7" t="n">
        <v>5</v>
      </c>
      <c r="AF2071" s="7" t="n">
        <v>38</v>
      </c>
      <c r="AG2071" s="7" t="n">
        <v>41</v>
      </c>
      <c r="AH2071" s="7" t="n">
        <v>14</v>
      </c>
      <c r="AI2071" s="7" t="n">
        <v>16</v>
      </c>
      <c r="AJ2071" s="7" t="n">
        <v>9</v>
      </c>
      <c r="AK2071" s="7" t="n">
        <v>10</v>
      </c>
      <c r="AL2071" s="7" t="n">
        <v>23</v>
      </c>
      <c r="AM2071" s="7" t="n">
        <v>25</v>
      </c>
      <c r="AN2071" s="7" t="n">
        <v>3</v>
      </c>
      <c r="AO2071" s="7" t="n">
        <v>3</v>
      </c>
      <c r="AP2071" s="7" t="n">
        <v>0</v>
      </c>
      <c r="AQ2071" s="7" t="n">
        <v>0</v>
      </c>
      <c r="AR2071" s="6" t="s">
        <v>63</v>
      </c>
      <c r="AS2071" s="6" t="s">
        <v>63</v>
      </c>
      <c r="AT2071" s="28"/>
      <c r="AU2071" s="9" t="str">
        <f aca="false">HYPERLINK("https://creighton-primo.hosted.exlibrisgroup.com/primo-explore/search?tab=default_tab&amp;search_scope=EVERYTHING&amp;vid=01CRU&amp;lang=en_US&amp;offset=0&amp;query=any,contains,991004482079702656","Catalog Record")</f>
        <v>Catalog Record</v>
      </c>
      <c r="AV2071" s="9" t="str">
        <f aca="false">HYPERLINK("http://www.worldcat.org/oclc/3627809","WorldCat Record")</f>
        <v>WorldCat Record</v>
      </c>
      <c r="AW2071" s="6" t="s">
        <v>18606</v>
      </c>
      <c r="AX2071" s="6" t="s">
        <v>18607</v>
      </c>
      <c r="AY2071" s="6" t="s">
        <v>18608</v>
      </c>
      <c r="AZ2071" s="6" t="s">
        <v>18608</v>
      </c>
      <c r="BA2071" s="6" t="s">
        <v>18609</v>
      </c>
      <c r="BB2071" s="6" t="s">
        <v>18610</v>
      </c>
      <c r="BC2071" s="6" t="s">
        <v>18611</v>
      </c>
      <c r="BE2071" s="15" t="s">
        <v>2145</v>
      </c>
      <c r="BF2071" s="6" t="s">
        <v>18612</v>
      </c>
    </row>
    <row r="2072" customFormat="false" ht="105.5" hidden="false" customHeight="false" outlineLevel="0" collapsed="false">
      <c r="A2072" s="26" t="s">
        <v>63</v>
      </c>
      <c r="B2072" s="27" t="s">
        <v>2129</v>
      </c>
      <c r="C2072" s="27" t="s">
        <v>2130</v>
      </c>
      <c r="D2072" s="27" t="s">
        <v>18613</v>
      </c>
      <c r="E2072" s="27" t="s">
        <v>18614</v>
      </c>
      <c r="F2072" s="27" t="s">
        <v>18615</v>
      </c>
      <c r="G2072" s="28"/>
      <c r="H2072" s="6" t="s">
        <v>63</v>
      </c>
      <c r="I2072" s="6" t="s">
        <v>62</v>
      </c>
      <c r="J2072" s="6" t="s">
        <v>63</v>
      </c>
      <c r="K2072" s="6" t="s">
        <v>63</v>
      </c>
      <c r="L2072" s="6" t="s">
        <v>64</v>
      </c>
      <c r="M2072" s="27" t="s">
        <v>18616</v>
      </c>
      <c r="N2072" s="27" t="s">
        <v>18617</v>
      </c>
      <c r="O2072" s="6" t="s">
        <v>2693</v>
      </c>
      <c r="P2072" s="28"/>
      <c r="Q2072" s="6" t="s">
        <v>67</v>
      </c>
      <c r="R2072" s="6" t="s">
        <v>500</v>
      </c>
      <c r="S2072" s="28"/>
      <c r="T2072" s="6" t="s">
        <v>6138</v>
      </c>
      <c r="U2072" s="7" t="n">
        <v>4</v>
      </c>
      <c r="V2072" s="7" t="n">
        <v>4</v>
      </c>
      <c r="W2072" s="8" t="s">
        <v>15961</v>
      </c>
      <c r="X2072" s="8" t="s">
        <v>15961</v>
      </c>
      <c r="Y2072" s="8" t="s">
        <v>18605</v>
      </c>
      <c r="Z2072" s="8" t="s">
        <v>18605</v>
      </c>
      <c r="AA2072" s="7" t="n">
        <v>909</v>
      </c>
      <c r="AB2072" s="7" t="n">
        <v>795</v>
      </c>
      <c r="AC2072" s="7" t="n">
        <v>926</v>
      </c>
      <c r="AD2072" s="7" t="n">
        <v>6</v>
      </c>
      <c r="AE2072" s="7" t="n">
        <v>8</v>
      </c>
      <c r="AF2072" s="7" t="n">
        <v>38</v>
      </c>
      <c r="AG2072" s="7" t="n">
        <v>47</v>
      </c>
      <c r="AH2072" s="7" t="n">
        <v>14</v>
      </c>
      <c r="AI2072" s="7" t="n">
        <v>18</v>
      </c>
      <c r="AJ2072" s="7" t="n">
        <v>8</v>
      </c>
      <c r="AK2072" s="7" t="n">
        <v>10</v>
      </c>
      <c r="AL2072" s="7" t="n">
        <v>21</v>
      </c>
      <c r="AM2072" s="7" t="n">
        <v>25</v>
      </c>
      <c r="AN2072" s="7" t="n">
        <v>4</v>
      </c>
      <c r="AO2072" s="7" t="n">
        <v>6</v>
      </c>
      <c r="AP2072" s="7" t="n">
        <v>0</v>
      </c>
      <c r="AQ2072" s="7" t="n">
        <v>1</v>
      </c>
      <c r="AR2072" s="6" t="s">
        <v>63</v>
      </c>
      <c r="AS2072" s="6" t="s">
        <v>57</v>
      </c>
      <c r="AT2072" s="9" t="str">
        <f aca="false">HYPERLINK("http://catalog.hathitrust.org/Record/001382954","HathiTrust Record")</f>
        <v>HathiTrust Record</v>
      </c>
      <c r="AU2072" s="9" t="str">
        <f aca="false">HYPERLINK("https://creighton-primo.hosted.exlibrisgroup.com/primo-explore/search?tab=default_tab&amp;search_scope=EVERYTHING&amp;vid=01CRU&amp;lang=en_US&amp;offset=0&amp;query=any,contains,991000914969702656","Catalog Record")</f>
        <v>Catalog Record</v>
      </c>
      <c r="AV2072" s="9" t="str">
        <f aca="false">HYPERLINK("http://www.worldcat.org/oclc/160366","WorldCat Record")</f>
        <v>WorldCat Record</v>
      </c>
      <c r="AW2072" s="6" t="s">
        <v>18618</v>
      </c>
      <c r="AX2072" s="6" t="s">
        <v>18619</v>
      </c>
      <c r="AY2072" s="6" t="s">
        <v>18620</v>
      </c>
      <c r="AZ2072" s="6" t="s">
        <v>18620</v>
      </c>
      <c r="BA2072" s="6" t="s">
        <v>18621</v>
      </c>
      <c r="BB2072" s="28"/>
      <c r="BC2072" s="6" t="s">
        <v>18622</v>
      </c>
      <c r="BE2072" s="15" t="s">
        <v>2145</v>
      </c>
      <c r="BF2072" s="6" t="s">
        <v>18623</v>
      </c>
    </row>
    <row r="2073" customFormat="false" ht="128.5" hidden="false" customHeight="false" outlineLevel="0" collapsed="false">
      <c r="A2073" s="26" t="s">
        <v>63</v>
      </c>
      <c r="B2073" s="27" t="s">
        <v>2129</v>
      </c>
      <c r="C2073" s="27" t="s">
        <v>2130</v>
      </c>
      <c r="D2073" s="27" t="s">
        <v>18624</v>
      </c>
      <c r="E2073" s="27" t="s">
        <v>18625</v>
      </c>
      <c r="F2073" s="27" t="s">
        <v>18626</v>
      </c>
      <c r="G2073" s="28"/>
      <c r="H2073" s="6" t="s">
        <v>63</v>
      </c>
      <c r="I2073" s="6" t="s">
        <v>62</v>
      </c>
      <c r="J2073" s="6" t="s">
        <v>63</v>
      </c>
      <c r="K2073" s="6" t="s">
        <v>63</v>
      </c>
      <c r="L2073" s="6" t="s">
        <v>64</v>
      </c>
      <c r="M2073" s="27" t="s">
        <v>18627</v>
      </c>
      <c r="N2073" s="27" t="s">
        <v>14193</v>
      </c>
      <c r="O2073" s="6" t="s">
        <v>2262</v>
      </c>
      <c r="P2073" s="28"/>
      <c r="Q2073" s="6" t="s">
        <v>67</v>
      </c>
      <c r="R2073" s="6" t="s">
        <v>384</v>
      </c>
      <c r="S2073" s="27" t="s">
        <v>18628</v>
      </c>
      <c r="T2073" s="6" t="s">
        <v>6138</v>
      </c>
      <c r="U2073" s="7" t="n">
        <v>3</v>
      </c>
      <c r="V2073" s="7" t="n">
        <v>3</v>
      </c>
      <c r="W2073" s="8" t="s">
        <v>18604</v>
      </c>
      <c r="X2073" s="8" t="s">
        <v>18604</v>
      </c>
      <c r="Y2073" s="8" t="s">
        <v>18605</v>
      </c>
      <c r="Z2073" s="8" t="s">
        <v>18605</v>
      </c>
      <c r="AA2073" s="7" t="n">
        <v>453</v>
      </c>
      <c r="AB2073" s="7" t="n">
        <v>352</v>
      </c>
      <c r="AC2073" s="7" t="n">
        <v>733</v>
      </c>
      <c r="AD2073" s="7" t="n">
        <v>3</v>
      </c>
      <c r="AE2073" s="7" t="n">
        <v>5</v>
      </c>
      <c r="AF2073" s="7" t="n">
        <v>26</v>
      </c>
      <c r="AG2073" s="7" t="n">
        <v>31</v>
      </c>
      <c r="AH2073" s="7" t="n">
        <v>11</v>
      </c>
      <c r="AI2073" s="7" t="n">
        <v>14</v>
      </c>
      <c r="AJ2073" s="7" t="n">
        <v>6</v>
      </c>
      <c r="AK2073" s="7" t="n">
        <v>6</v>
      </c>
      <c r="AL2073" s="7" t="n">
        <v>18</v>
      </c>
      <c r="AM2073" s="7" t="n">
        <v>18</v>
      </c>
      <c r="AN2073" s="7" t="n">
        <v>2</v>
      </c>
      <c r="AO2073" s="7" t="n">
        <v>4</v>
      </c>
      <c r="AP2073" s="7" t="n">
        <v>0</v>
      </c>
      <c r="AQ2073" s="7" t="n">
        <v>0</v>
      </c>
      <c r="AR2073" s="6" t="s">
        <v>63</v>
      </c>
      <c r="AS2073" s="6" t="s">
        <v>63</v>
      </c>
      <c r="AT2073" s="28"/>
      <c r="AU2073" s="9" t="str">
        <f aca="false">HYPERLINK("https://creighton-primo.hosted.exlibrisgroup.com/primo-explore/search?tab=default_tab&amp;search_scope=EVERYTHING&amp;vid=01CRU&amp;lang=en_US&amp;offset=0&amp;query=any,contains,991000850359702656","Catalog Record")</f>
        <v>Catalog Record</v>
      </c>
      <c r="AV2073" s="9" t="str">
        <f aca="false">HYPERLINK("http://www.worldcat.org/oclc/13581978","WorldCat Record")</f>
        <v>WorldCat Record</v>
      </c>
      <c r="AW2073" s="6" t="s">
        <v>18629</v>
      </c>
      <c r="AX2073" s="6" t="s">
        <v>18630</v>
      </c>
      <c r="AY2073" s="6" t="s">
        <v>18631</v>
      </c>
      <c r="AZ2073" s="6" t="s">
        <v>18631</v>
      </c>
      <c r="BA2073" s="6" t="s">
        <v>18632</v>
      </c>
      <c r="BB2073" s="6" t="s">
        <v>18633</v>
      </c>
      <c r="BC2073" s="6" t="s">
        <v>18634</v>
      </c>
      <c r="BE2073" s="15" t="s">
        <v>2145</v>
      </c>
      <c r="BF2073" s="6" t="s">
        <v>18635</v>
      </c>
    </row>
    <row r="2074" customFormat="false" ht="105.5" hidden="false" customHeight="false" outlineLevel="0" collapsed="false">
      <c r="A2074" s="26" t="s">
        <v>63</v>
      </c>
      <c r="B2074" s="27" t="s">
        <v>2129</v>
      </c>
      <c r="C2074" s="27" t="s">
        <v>2130</v>
      </c>
      <c r="D2074" s="27" t="s">
        <v>18636</v>
      </c>
      <c r="E2074" s="27" t="s">
        <v>18637</v>
      </c>
      <c r="F2074" s="27" t="s">
        <v>18638</v>
      </c>
      <c r="G2074" s="28"/>
      <c r="H2074" s="6" t="s">
        <v>63</v>
      </c>
      <c r="I2074" s="6" t="s">
        <v>62</v>
      </c>
      <c r="J2074" s="6" t="s">
        <v>63</v>
      </c>
      <c r="K2074" s="6" t="s">
        <v>63</v>
      </c>
      <c r="L2074" s="6" t="s">
        <v>64</v>
      </c>
      <c r="M2074" s="27" t="s">
        <v>18639</v>
      </c>
      <c r="N2074" s="27" t="s">
        <v>13820</v>
      </c>
      <c r="O2074" s="6" t="s">
        <v>2221</v>
      </c>
      <c r="P2074" s="28"/>
      <c r="Q2074" s="6" t="s">
        <v>67</v>
      </c>
      <c r="R2074" s="6" t="s">
        <v>384</v>
      </c>
      <c r="S2074" s="27" t="s">
        <v>6299</v>
      </c>
      <c r="T2074" s="6" t="s">
        <v>6138</v>
      </c>
      <c r="U2074" s="7" t="n">
        <v>5</v>
      </c>
      <c r="V2074" s="7" t="n">
        <v>5</v>
      </c>
      <c r="W2074" s="8" t="s">
        <v>12963</v>
      </c>
      <c r="X2074" s="8" t="s">
        <v>12963</v>
      </c>
      <c r="Y2074" s="8" t="s">
        <v>10486</v>
      </c>
      <c r="Z2074" s="8" t="s">
        <v>10486</v>
      </c>
      <c r="AA2074" s="7" t="n">
        <v>309</v>
      </c>
      <c r="AB2074" s="7" t="n">
        <v>212</v>
      </c>
      <c r="AC2074" s="7" t="n">
        <v>217</v>
      </c>
      <c r="AD2074" s="7" t="n">
        <v>1</v>
      </c>
      <c r="AE2074" s="7" t="n">
        <v>1</v>
      </c>
      <c r="AF2074" s="7" t="n">
        <v>16</v>
      </c>
      <c r="AG2074" s="7" t="n">
        <v>16</v>
      </c>
      <c r="AH2074" s="7" t="n">
        <v>7</v>
      </c>
      <c r="AI2074" s="7" t="n">
        <v>7</v>
      </c>
      <c r="AJ2074" s="7" t="n">
        <v>6</v>
      </c>
      <c r="AK2074" s="7" t="n">
        <v>6</v>
      </c>
      <c r="AL2074" s="7" t="n">
        <v>10</v>
      </c>
      <c r="AM2074" s="7" t="n">
        <v>10</v>
      </c>
      <c r="AN2074" s="7" t="n">
        <v>0</v>
      </c>
      <c r="AO2074" s="7" t="n">
        <v>0</v>
      </c>
      <c r="AP2074" s="7" t="n">
        <v>0</v>
      </c>
      <c r="AQ2074" s="7" t="n">
        <v>0</v>
      </c>
      <c r="AR2074" s="6" t="s">
        <v>63</v>
      </c>
      <c r="AS2074" s="6" t="s">
        <v>63</v>
      </c>
      <c r="AT2074" s="28"/>
      <c r="AU2074" s="9" t="str">
        <f aca="false">HYPERLINK("https://creighton-primo.hosted.exlibrisgroup.com/primo-explore/search?tab=default_tab&amp;search_scope=EVERYTHING&amp;vid=01CRU&amp;lang=en_US&amp;offset=0&amp;query=any,contains,991001259279702656","Catalog Record")</f>
        <v>Catalog Record</v>
      </c>
      <c r="AV2074" s="9" t="str">
        <f aca="false">HYPERLINK("http://www.worldcat.org/oclc/17764583","WorldCat Record")</f>
        <v>WorldCat Record</v>
      </c>
      <c r="AW2074" s="6" t="s">
        <v>18640</v>
      </c>
      <c r="AX2074" s="6" t="s">
        <v>18641</v>
      </c>
      <c r="AY2074" s="6" t="s">
        <v>18642</v>
      </c>
      <c r="AZ2074" s="6" t="s">
        <v>18642</v>
      </c>
      <c r="BA2074" s="6" t="s">
        <v>18643</v>
      </c>
      <c r="BB2074" s="6" t="s">
        <v>18644</v>
      </c>
      <c r="BC2074" s="6" t="s">
        <v>18645</v>
      </c>
      <c r="BE2074" s="15" t="s">
        <v>2145</v>
      </c>
      <c r="BF2074" s="6" t="s">
        <v>18646</v>
      </c>
    </row>
    <row r="2075" customFormat="false" ht="163" hidden="false" customHeight="false" outlineLevel="0" collapsed="false">
      <c r="A2075" s="26" t="s">
        <v>63</v>
      </c>
      <c r="B2075" s="27" t="s">
        <v>2129</v>
      </c>
      <c r="C2075" s="27" t="s">
        <v>2130</v>
      </c>
      <c r="D2075" s="27" t="s">
        <v>18647</v>
      </c>
      <c r="E2075" s="27" t="s">
        <v>18648</v>
      </c>
      <c r="F2075" s="27" t="s">
        <v>18649</v>
      </c>
      <c r="G2075" s="28"/>
      <c r="H2075" s="6" t="s">
        <v>63</v>
      </c>
      <c r="I2075" s="6" t="s">
        <v>62</v>
      </c>
      <c r="J2075" s="6" t="s">
        <v>63</v>
      </c>
      <c r="K2075" s="6" t="s">
        <v>63</v>
      </c>
      <c r="L2075" s="6" t="s">
        <v>64</v>
      </c>
      <c r="M2075" s="27" t="s">
        <v>18650</v>
      </c>
      <c r="N2075" s="27" t="s">
        <v>18651</v>
      </c>
      <c r="O2075" s="6" t="s">
        <v>2315</v>
      </c>
      <c r="P2075" s="28"/>
      <c r="Q2075" s="6" t="s">
        <v>67</v>
      </c>
      <c r="R2075" s="6" t="s">
        <v>384</v>
      </c>
      <c r="S2075" s="28"/>
      <c r="T2075" s="6" t="s">
        <v>6138</v>
      </c>
      <c r="U2075" s="7" t="n">
        <v>4</v>
      </c>
      <c r="V2075" s="7" t="n">
        <v>4</v>
      </c>
      <c r="W2075" s="8" t="s">
        <v>18652</v>
      </c>
      <c r="X2075" s="8" t="s">
        <v>18652</v>
      </c>
      <c r="Y2075" s="8" t="s">
        <v>18605</v>
      </c>
      <c r="Z2075" s="8" t="s">
        <v>18605</v>
      </c>
      <c r="AA2075" s="7" t="n">
        <v>711</v>
      </c>
      <c r="AB2075" s="7" t="n">
        <v>533</v>
      </c>
      <c r="AC2075" s="7" t="n">
        <v>537</v>
      </c>
      <c r="AD2075" s="7" t="n">
        <v>5</v>
      </c>
      <c r="AE2075" s="7" t="n">
        <v>5</v>
      </c>
      <c r="AF2075" s="7" t="n">
        <v>28</v>
      </c>
      <c r="AG2075" s="7" t="n">
        <v>28</v>
      </c>
      <c r="AH2075" s="7" t="n">
        <v>10</v>
      </c>
      <c r="AI2075" s="7" t="n">
        <v>10</v>
      </c>
      <c r="AJ2075" s="7" t="n">
        <v>6</v>
      </c>
      <c r="AK2075" s="7" t="n">
        <v>6</v>
      </c>
      <c r="AL2075" s="7" t="n">
        <v>18</v>
      </c>
      <c r="AM2075" s="7" t="n">
        <v>18</v>
      </c>
      <c r="AN2075" s="7" t="n">
        <v>3</v>
      </c>
      <c r="AO2075" s="7" t="n">
        <v>3</v>
      </c>
      <c r="AP2075" s="7" t="n">
        <v>0</v>
      </c>
      <c r="AQ2075" s="7" t="n">
        <v>0</v>
      </c>
      <c r="AR2075" s="6" t="s">
        <v>63</v>
      </c>
      <c r="AS2075" s="6" t="s">
        <v>63</v>
      </c>
      <c r="AT2075" s="28"/>
      <c r="AU2075" s="9" t="str">
        <f aca="false">HYPERLINK("https://creighton-primo.hosted.exlibrisgroup.com/primo-explore/search?tab=default_tab&amp;search_scope=EVERYTHING&amp;vid=01CRU&amp;lang=en_US&amp;offset=0&amp;query=any,contains,991000505079702656","Catalog Record")</f>
        <v>Catalog Record</v>
      </c>
      <c r="AV2075" s="9" t="str">
        <f aca="false">HYPERLINK("http://www.worldcat.org/oclc/11210281","WorldCat Record")</f>
        <v>WorldCat Record</v>
      </c>
      <c r="AW2075" s="6" t="s">
        <v>18653</v>
      </c>
      <c r="AX2075" s="6" t="s">
        <v>18654</v>
      </c>
      <c r="AY2075" s="6" t="s">
        <v>18655</v>
      </c>
      <c r="AZ2075" s="6" t="s">
        <v>18655</v>
      </c>
      <c r="BA2075" s="6" t="s">
        <v>18656</v>
      </c>
      <c r="BB2075" s="6" t="s">
        <v>18657</v>
      </c>
      <c r="BC2075" s="6" t="s">
        <v>18658</v>
      </c>
      <c r="BE2075" s="15" t="s">
        <v>2145</v>
      </c>
      <c r="BF2075" s="6" t="s">
        <v>18659</v>
      </c>
    </row>
    <row r="2076" customFormat="false" ht="117" hidden="false" customHeight="false" outlineLevel="0" collapsed="false">
      <c r="A2076" s="26" t="s">
        <v>63</v>
      </c>
      <c r="B2076" s="27" t="s">
        <v>2129</v>
      </c>
      <c r="C2076" s="27" t="s">
        <v>2130</v>
      </c>
      <c r="D2076" s="27" t="s">
        <v>18660</v>
      </c>
      <c r="E2076" s="27" t="s">
        <v>18661</v>
      </c>
      <c r="F2076" s="27" t="s">
        <v>18662</v>
      </c>
      <c r="G2076" s="28"/>
      <c r="H2076" s="6" t="s">
        <v>63</v>
      </c>
      <c r="I2076" s="6" t="s">
        <v>62</v>
      </c>
      <c r="J2076" s="6" t="s">
        <v>63</v>
      </c>
      <c r="K2076" s="6" t="s">
        <v>63</v>
      </c>
      <c r="L2076" s="6" t="s">
        <v>64</v>
      </c>
      <c r="M2076" s="27" t="s">
        <v>18663</v>
      </c>
      <c r="N2076" s="27" t="s">
        <v>18664</v>
      </c>
      <c r="O2076" s="6" t="s">
        <v>208</v>
      </c>
      <c r="P2076" s="28"/>
      <c r="Q2076" s="6" t="s">
        <v>67</v>
      </c>
      <c r="R2076" s="6" t="s">
        <v>6745</v>
      </c>
      <c r="S2076" s="28"/>
      <c r="T2076" s="6" t="s">
        <v>6138</v>
      </c>
      <c r="U2076" s="7" t="n">
        <v>3</v>
      </c>
      <c r="V2076" s="7" t="n">
        <v>3</v>
      </c>
      <c r="W2076" s="8" t="s">
        <v>18665</v>
      </c>
      <c r="X2076" s="8" t="s">
        <v>18665</v>
      </c>
      <c r="Y2076" s="8" t="s">
        <v>6974</v>
      </c>
      <c r="Z2076" s="8" t="s">
        <v>6974</v>
      </c>
      <c r="AA2076" s="7" t="n">
        <v>229</v>
      </c>
      <c r="AB2076" s="7" t="n">
        <v>178</v>
      </c>
      <c r="AC2076" s="7" t="n">
        <v>180</v>
      </c>
      <c r="AD2076" s="7" t="n">
        <v>2</v>
      </c>
      <c r="AE2076" s="7" t="n">
        <v>2</v>
      </c>
      <c r="AF2076" s="7" t="n">
        <v>20</v>
      </c>
      <c r="AG2076" s="7" t="n">
        <v>20</v>
      </c>
      <c r="AH2076" s="7" t="n">
        <v>7</v>
      </c>
      <c r="AI2076" s="7" t="n">
        <v>7</v>
      </c>
      <c r="AJ2076" s="7" t="n">
        <v>6</v>
      </c>
      <c r="AK2076" s="7" t="n">
        <v>6</v>
      </c>
      <c r="AL2076" s="7" t="n">
        <v>15</v>
      </c>
      <c r="AM2076" s="7" t="n">
        <v>15</v>
      </c>
      <c r="AN2076" s="7" t="n">
        <v>1</v>
      </c>
      <c r="AO2076" s="7" t="n">
        <v>1</v>
      </c>
      <c r="AP2076" s="7" t="n">
        <v>0</v>
      </c>
      <c r="AQ2076" s="7" t="n">
        <v>0</v>
      </c>
      <c r="AR2076" s="6" t="s">
        <v>63</v>
      </c>
      <c r="AS2076" s="6" t="s">
        <v>57</v>
      </c>
      <c r="AT2076" s="9" t="str">
        <f aca="false">HYPERLINK("http://catalog.hathitrust.org/Record/000849802","HathiTrust Record")</f>
        <v>HathiTrust Record</v>
      </c>
      <c r="AU2076" s="9" t="str">
        <f aca="false">HYPERLINK("https://creighton-primo.hosted.exlibrisgroup.com/primo-explore/search?tab=default_tab&amp;search_scope=EVERYTHING&amp;vid=01CRU&amp;lang=en_US&amp;offset=0&amp;query=any,contains,991001021669702656","Catalog Record")</f>
        <v>Catalog Record</v>
      </c>
      <c r="AV2076" s="9" t="str">
        <f aca="false">HYPERLINK("http://www.worldcat.org/oclc/15367326","WorldCat Record")</f>
        <v>WorldCat Record</v>
      </c>
      <c r="AW2076" s="6" t="s">
        <v>18666</v>
      </c>
      <c r="AX2076" s="6" t="s">
        <v>18667</v>
      </c>
      <c r="AY2076" s="6" t="s">
        <v>18668</v>
      </c>
      <c r="AZ2076" s="6" t="s">
        <v>18668</v>
      </c>
      <c r="BA2076" s="6" t="s">
        <v>18669</v>
      </c>
      <c r="BB2076" s="6" t="s">
        <v>18670</v>
      </c>
      <c r="BC2076" s="6" t="s">
        <v>18671</v>
      </c>
      <c r="BE2076" s="15" t="s">
        <v>2145</v>
      </c>
      <c r="BF2076" s="6" t="s">
        <v>18672</v>
      </c>
    </row>
    <row r="2077" customFormat="false" ht="151.5" hidden="false" customHeight="false" outlineLevel="0" collapsed="false">
      <c r="A2077" s="26" t="s">
        <v>63</v>
      </c>
      <c r="B2077" s="27" t="s">
        <v>2129</v>
      </c>
      <c r="C2077" s="27" t="s">
        <v>2130</v>
      </c>
      <c r="D2077" s="27" t="s">
        <v>18673</v>
      </c>
      <c r="E2077" s="27" t="s">
        <v>18674</v>
      </c>
      <c r="F2077" s="27" t="s">
        <v>18675</v>
      </c>
      <c r="G2077" s="28"/>
      <c r="H2077" s="6" t="s">
        <v>63</v>
      </c>
      <c r="I2077" s="6" t="s">
        <v>62</v>
      </c>
      <c r="J2077" s="6" t="s">
        <v>63</v>
      </c>
      <c r="K2077" s="6" t="s">
        <v>63</v>
      </c>
      <c r="L2077" s="6" t="s">
        <v>64</v>
      </c>
      <c r="M2077" s="28"/>
      <c r="N2077" s="27" t="s">
        <v>18676</v>
      </c>
      <c r="O2077" s="6" t="s">
        <v>9321</v>
      </c>
      <c r="P2077" s="28"/>
      <c r="Q2077" s="6" t="s">
        <v>67</v>
      </c>
      <c r="R2077" s="6" t="s">
        <v>123</v>
      </c>
      <c r="S2077" s="28"/>
      <c r="T2077" s="6" t="s">
        <v>6138</v>
      </c>
      <c r="U2077" s="7" t="n">
        <v>1</v>
      </c>
      <c r="V2077" s="7" t="n">
        <v>1</v>
      </c>
      <c r="W2077" s="8" t="s">
        <v>18677</v>
      </c>
      <c r="X2077" s="8" t="s">
        <v>18677</v>
      </c>
      <c r="Y2077" s="8" t="s">
        <v>6974</v>
      </c>
      <c r="Z2077" s="8" t="s">
        <v>6974</v>
      </c>
      <c r="AA2077" s="7" t="n">
        <v>103</v>
      </c>
      <c r="AB2077" s="7" t="n">
        <v>95</v>
      </c>
      <c r="AC2077" s="7" t="n">
        <v>96</v>
      </c>
      <c r="AD2077" s="7" t="n">
        <v>2</v>
      </c>
      <c r="AE2077" s="7" t="n">
        <v>2</v>
      </c>
      <c r="AF2077" s="7" t="n">
        <v>17</v>
      </c>
      <c r="AG2077" s="7" t="n">
        <v>17</v>
      </c>
      <c r="AH2077" s="7" t="n">
        <v>4</v>
      </c>
      <c r="AI2077" s="7" t="n">
        <v>4</v>
      </c>
      <c r="AJ2077" s="7" t="n">
        <v>6</v>
      </c>
      <c r="AK2077" s="7" t="n">
        <v>6</v>
      </c>
      <c r="AL2077" s="7" t="n">
        <v>15</v>
      </c>
      <c r="AM2077" s="7" t="n">
        <v>15</v>
      </c>
      <c r="AN2077" s="7" t="n">
        <v>0</v>
      </c>
      <c r="AO2077" s="7" t="n">
        <v>0</v>
      </c>
      <c r="AP2077" s="7" t="n">
        <v>0</v>
      </c>
      <c r="AQ2077" s="7" t="n">
        <v>0</v>
      </c>
      <c r="AR2077" s="6" t="s">
        <v>63</v>
      </c>
      <c r="AS2077" s="6" t="s">
        <v>63</v>
      </c>
      <c r="AT2077" s="9" t="str">
        <f aca="false">HYPERLINK("http://catalog.hathitrust.org/Record/001382999","HathiTrust Record")</f>
        <v>HathiTrust Record</v>
      </c>
      <c r="AU2077" s="9" t="str">
        <f aca="false">HYPERLINK("https://creighton-primo.hosted.exlibrisgroup.com/primo-explore/search?tab=default_tab&amp;search_scope=EVERYTHING&amp;vid=01CRU&amp;lang=en_US&amp;offset=0&amp;query=any,contains,991003905439702656","Catalog Record")</f>
        <v>Catalog Record</v>
      </c>
      <c r="AV2077" s="9" t="str">
        <f aca="false">HYPERLINK("http://www.worldcat.org/oclc/1836588","WorldCat Record")</f>
        <v>WorldCat Record</v>
      </c>
      <c r="AW2077" s="6" t="s">
        <v>18678</v>
      </c>
      <c r="AX2077" s="6" t="s">
        <v>18679</v>
      </c>
      <c r="AY2077" s="6" t="s">
        <v>18680</v>
      </c>
      <c r="AZ2077" s="6" t="s">
        <v>18680</v>
      </c>
      <c r="BA2077" s="6" t="s">
        <v>18681</v>
      </c>
      <c r="BB2077" s="28"/>
      <c r="BC2077" s="6" t="s">
        <v>18682</v>
      </c>
      <c r="BE2077" s="15" t="s">
        <v>2145</v>
      </c>
      <c r="BF2077" s="6" t="s">
        <v>18683</v>
      </c>
    </row>
    <row r="2078" customFormat="false" ht="163" hidden="false" customHeight="false" outlineLevel="0" collapsed="false">
      <c r="A2078" s="26" t="s">
        <v>63</v>
      </c>
      <c r="B2078" s="27" t="s">
        <v>2129</v>
      </c>
      <c r="C2078" s="27" t="s">
        <v>2130</v>
      </c>
      <c r="D2078" s="27" t="s">
        <v>18684</v>
      </c>
      <c r="E2078" s="27" t="s">
        <v>18685</v>
      </c>
      <c r="F2078" s="27" t="s">
        <v>18686</v>
      </c>
      <c r="G2078" s="28"/>
      <c r="H2078" s="6" t="s">
        <v>63</v>
      </c>
      <c r="I2078" s="6" t="s">
        <v>62</v>
      </c>
      <c r="J2078" s="6" t="s">
        <v>63</v>
      </c>
      <c r="K2078" s="6" t="s">
        <v>63</v>
      </c>
      <c r="L2078" s="6" t="s">
        <v>64</v>
      </c>
      <c r="M2078" s="28"/>
      <c r="N2078" s="27" t="s">
        <v>18687</v>
      </c>
      <c r="O2078" s="6" t="s">
        <v>2343</v>
      </c>
      <c r="P2078" s="28"/>
      <c r="Q2078" s="6" t="s">
        <v>67</v>
      </c>
      <c r="R2078" s="6" t="s">
        <v>6745</v>
      </c>
      <c r="S2078" s="28"/>
      <c r="T2078" s="6" t="s">
        <v>6138</v>
      </c>
      <c r="U2078" s="7" t="n">
        <v>2</v>
      </c>
      <c r="V2078" s="7" t="n">
        <v>2</v>
      </c>
      <c r="W2078" s="8" t="s">
        <v>18688</v>
      </c>
      <c r="X2078" s="8" t="s">
        <v>18688</v>
      </c>
      <c r="Y2078" s="8" t="s">
        <v>6974</v>
      </c>
      <c r="Z2078" s="8" t="s">
        <v>6974</v>
      </c>
      <c r="AA2078" s="7" t="n">
        <v>272</v>
      </c>
      <c r="AB2078" s="7" t="n">
        <v>229</v>
      </c>
      <c r="AC2078" s="7" t="n">
        <v>235</v>
      </c>
      <c r="AD2078" s="7" t="n">
        <v>3</v>
      </c>
      <c r="AE2078" s="7" t="n">
        <v>3</v>
      </c>
      <c r="AF2078" s="7" t="n">
        <v>27</v>
      </c>
      <c r="AG2078" s="7" t="n">
        <v>27</v>
      </c>
      <c r="AH2078" s="7" t="n">
        <v>8</v>
      </c>
      <c r="AI2078" s="7" t="n">
        <v>8</v>
      </c>
      <c r="AJ2078" s="7" t="n">
        <v>8</v>
      </c>
      <c r="AK2078" s="7" t="n">
        <v>8</v>
      </c>
      <c r="AL2078" s="7" t="n">
        <v>21</v>
      </c>
      <c r="AM2078" s="7" t="n">
        <v>21</v>
      </c>
      <c r="AN2078" s="7" t="n">
        <v>0</v>
      </c>
      <c r="AO2078" s="7" t="n">
        <v>0</v>
      </c>
      <c r="AP2078" s="7" t="n">
        <v>0</v>
      </c>
      <c r="AQ2078" s="7" t="n">
        <v>0</v>
      </c>
      <c r="AR2078" s="6" t="s">
        <v>63</v>
      </c>
      <c r="AS2078" s="6" t="s">
        <v>57</v>
      </c>
      <c r="AT2078" s="9" t="str">
        <f aca="false">HYPERLINK("http://catalog.hathitrust.org/Record/000227505","HathiTrust Record")</f>
        <v>HathiTrust Record</v>
      </c>
      <c r="AU2078" s="9" t="str">
        <f aca="false">HYPERLINK("https://creighton-primo.hosted.exlibrisgroup.com/primo-explore/search?tab=default_tab&amp;search_scope=EVERYTHING&amp;vid=01CRU&amp;lang=en_US&amp;offset=0&amp;query=any,contains,991005122119702656","Catalog Record")</f>
        <v>Catalog Record</v>
      </c>
      <c r="AV2078" s="9" t="str">
        <f aca="false">HYPERLINK("http://www.worldcat.org/oclc/7534405","WorldCat Record")</f>
        <v>WorldCat Record</v>
      </c>
      <c r="AW2078" s="6" t="s">
        <v>18689</v>
      </c>
      <c r="AX2078" s="6" t="s">
        <v>18690</v>
      </c>
      <c r="AY2078" s="6" t="s">
        <v>18691</v>
      </c>
      <c r="AZ2078" s="6" t="s">
        <v>18691</v>
      </c>
      <c r="BA2078" s="6" t="s">
        <v>18692</v>
      </c>
      <c r="BB2078" s="6" t="s">
        <v>18693</v>
      </c>
      <c r="BC2078" s="6" t="s">
        <v>18694</v>
      </c>
      <c r="BE2078" s="15" t="s">
        <v>2145</v>
      </c>
      <c r="BF2078" s="6" t="s">
        <v>18695</v>
      </c>
    </row>
    <row r="2079" customFormat="false" ht="48" hidden="false" customHeight="false" outlineLevel="0" collapsed="false">
      <c r="A2079" s="26" t="s">
        <v>63</v>
      </c>
      <c r="B2079" s="27" t="s">
        <v>2129</v>
      </c>
      <c r="C2079" s="27" t="s">
        <v>2130</v>
      </c>
      <c r="D2079" s="27" t="s">
        <v>18696</v>
      </c>
      <c r="E2079" s="27" t="s">
        <v>18697</v>
      </c>
      <c r="F2079" s="27" t="s">
        <v>18698</v>
      </c>
      <c r="G2079" s="28"/>
      <c r="H2079" s="6" t="s">
        <v>63</v>
      </c>
      <c r="I2079" s="6" t="s">
        <v>62</v>
      </c>
      <c r="J2079" s="6" t="s">
        <v>63</v>
      </c>
      <c r="K2079" s="6" t="s">
        <v>63</v>
      </c>
      <c r="L2079" s="6" t="s">
        <v>64</v>
      </c>
      <c r="M2079" s="27" t="s">
        <v>18699</v>
      </c>
      <c r="N2079" s="27" t="s">
        <v>18700</v>
      </c>
      <c r="O2079" s="6" t="s">
        <v>2693</v>
      </c>
      <c r="P2079" s="28"/>
      <c r="Q2079" s="6" t="s">
        <v>67</v>
      </c>
      <c r="R2079" s="6" t="s">
        <v>68</v>
      </c>
      <c r="S2079" s="27" t="s">
        <v>18701</v>
      </c>
      <c r="T2079" s="6" t="s">
        <v>6138</v>
      </c>
      <c r="U2079" s="7" t="n">
        <v>2</v>
      </c>
      <c r="V2079" s="7" t="n">
        <v>2</v>
      </c>
      <c r="W2079" s="8" t="s">
        <v>18702</v>
      </c>
      <c r="X2079" s="8" t="s">
        <v>18702</v>
      </c>
      <c r="Y2079" s="8" t="s">
        <v>6974</v>
      </c>
      <c r="Z2079" s="8" t="s">
        <v>6974</v>
      </c>
      <c r="AA2079" s="7" t="n">
        <v>754</v>
      </c>
      <c r="AB2079" s="7" t="n">
        <v>676</v>
      </c>
      <c r="AC2079" s="7" t="n">
        <v>789</v>
      </c>
      <c r="AD2079" s="7" t="n">
        <v>8</v>
      </c>
      <c r="AE2079" s="7" t="n">
        <v>8</v>
      </c>
      <c r="AF2079" s="7" t="n">
        <v>33</v>
      </c>
      <c r="AG2079" s="7" t="n">
        <v>36</v>
      </c>
      <c r="AH2079" s="7" t="n">
        <v>9</v>
      </c>
      <c r="AI2079" s="7" t="n">
        <v>11</v>
      </c>
      <c r="AJ2079" s="7" t="n">
        <v>7</v>
      </c>
      <c r="AK2079" s="7" t="n">
        <v>7</v>
      </c>
      <c r="AL2079" s="7" t="n">
        <v>18</v>
      </c>
      <c r="AM2079" s="7" t="n">
        <v>18</v>
      </c>
      <c r="AN2079" s="7" t="n">
        <v>6</v>
      </c>
      <c r="AO2079" s="7" t="n">
        <v>6</v>
      </c>
      <c r="AP2079" s="7" t="n">
        <v>0</v>
      </c>
      <c r="AQ2079" s="7" t="n">
        <v>1</v>
      </c>
      <c r="AR2079" s="6" t="s">
        <v>63</v>
      </c>
      <c r="AS2079" s="6" t="s">
        <v>57</v>
      </c>
      <c r="AT2079" s="9" t="str">
        <f aca="false">HYPERLINK("http://catalog.hathitrust.org/Record/001434637","HathiTrust Record")</f>
        <v>HathiTrust Record</v>
      </c>
      <c r="AU2079" s="9" t="str">
        <f aca="false">HYPERLINK("https://creighton-primo.hosted.exlibrisgroup.com/primo-explore/search?tab=default_tab&amp;search_scope=EVERYTHING&amp;vid=01CRU&amp;lang=en_US&amp;offset=0&amp;query=any,contains,991002555189702656","Catalog Record")</f>
        <v>Catalog Record</v>
      </c>
      <c r="AV2079" s="9" t="str">
        <f aca="false">HYPERLINK("http://www.worldcat.org/oclc/371007","WorldCat Record")</f>
        <v>WorldCat Record</v>
      </c>
      <c r="AW2079" s="6" t="s">
        <v>18703</v>
      </c>
      <c r="AX2079" s="6" t="s">
        <v>18704</v>
      </c>
      <c r="AY2079" s="6" t="s">
        <v>18705</v>
      </c>
      <c r="AZ2079" s="6" t="s">
        <v>18705</v>
      </c>
      <c r="BA2079" s="6" t="s">
        <v>18706</v>
      </c>
      <c r="BB2079" s="28"/>
      <c r="BC2079" s="6" t="s">
        <v>18707</v>
      </c>
      <c r="BE2079" s="15" t="s">
        <v>2145</v>
      </c>
      <c r="BF2079" s="6" t="s">
        <v>18708</v>
      </c>
    </row>
    <row r="2080" customFormat="false" ht="71" hidden="false" customHeight="false" outlineLevel="0" collapsed="false">
      <c r="A2080" s="26" t="s">
        <v>63</v>
      </c>
      <c r="B2080" s="27" t="s">
        <v>2129</v>
      </c>
      <c r="C2080" s="27" t="s">
        <v>2130</v>
      </c>
      <c r="D2080" s="27" t="s">
        <v>18709</v>
      </c>
      <c r="E2080" s="27" t="s">
        <v>18710</v>
      </c>
      <c r="F2080" s="27" t="s">
        <v>18711</v>
      </c>
      <c r="G2080" s="28"/>
      <c r="H2080" s="6" t="s">
        <v>63</v>
      </c>
      <c r="I2080" s="6" t="s">
        <v>62</v>
      </c>
      <c r="J2080" s="6" t="s">
        <v>63</v>
      </c>
      <c r="K2080" s="6" t="s">
        <v>63</v>
      </c>
      <c r="L2080" s="6" t="s">
        <v>64</v>
      </c>
      <c r="M2080" s="27" t="s">
        <v>18699</v>
      </c>
      <c r="N2080" s="27" t="s">
        <v>18712</v>
      </c>
      <c r="O2080" s="6" t="s">
        <v>2136</v>
      </c>
      <c r="P2080" s="28"/>
      <c r="Q2080" s="6" t="s">
        <v>67</v>
      </c>
      <c r="R2080" s="6" t="s">
        <v>68</v>
      </c>
      <c r="S2080" s="28"/>
      <c r="T2080" s="6" t="s">
        <v>6138</v>
      </c>
      <c r="U2080" s="7" t="n">
        <v>5</v>
      </c>
      <c r="V2080" s="7" t="n">
        <v>5</v>
      </c>
      <c r="W2080" s="8" t="s">
        <v>18702</v>
      </c>
      <c r="X2080" s="8" t="s">
        <v>18702</v>
      </c>
      <c r="Y2080" s="8" t="s">
        <v>6974</v>
      </c>
      <c r="Z2080" s="8" t="s">
        <v>6974</v>
      </c>
      <c r="AA2080" s="7" t="n">
        <v>864</v>
      </c>
      <c r="AB2080" s="7" t="n">
        <v>725</v>
      </c>
      <c r="AC2080" s="7" t="n">
        <v>796</v>
      </c>
      <c r="AD2080" s="7" t="n">
        <v>6</v>
      </c>
      <c r="AE2080" s="7" t="n">
        <v>6</v>
      </c>
      <c r="AF2080" s="7" t="n">
        <v>44</v>
      </c>
      <c r="AG2080" s="7" t="n">
        <v>44</v>
      </c>
      <c r="AH2080" s="7" t="n">
        <v>17</v>
      </c>
      <c r="AI2080" s="7" t="n">
        <v>17</v>
      </c>
      <c r="AJ2080" s="7" t="n">
        <v>10</v>
      </c>
      <c r="AK2080" s="7" t="n">
        <v>10</v>
      </c>
      <c r="AL2080" s="7" t="n">
        <v>22</v>
      </c>
      <c r="AM2080" s="7" t="n">
        <v>22</v>
      </c>
      <c r="AN2080" s="7" t="n">
        <v>5</v>
      </c>
      <c r="AO2080" s="7" t="n">
        <v>5</v>
      </c>
      <c r="AP2080" s="7" t="n">
        <v>0</v>
      </c>
      <c r="AQ2080" s="7" t="n">
        <v>0</v>
      </c>
      <c r="AR2080" s="6" t="s">
        <v>63</v>
      </c>
      <c r="AS2080" s="6" t="s">
        <v>57</v>
      </c>
      <c r="AT2080" s="9" t="str">
        <f aca="false">HYPERLINK("http://catalog.hathitrust.org/Record/001383008","HathiTrust Record")</f>
        <v>HathiTrust Record</v>
      </c>
      <c r="AU2080" s="9" t="str">
        <f aca="false">HYPERLINK("https://creighton-primo.hosted.exlibrisgroup.com/primo-explore/search?tab=default_tab&amp;search_scope=EVERYTHING&amp;vid=01CRU&amp;lang=en_US&amp;offset=0&amp;query=any,contains,991002555409702656","Catalog Record")</f>
        <v>Catalog Record</v>
      </c>
      <c r="AV2080" s="9" t="str">
        <f aca="false">HYPERLINK("http://www.worldcat.org/oclc/371039","WorldCat Record")</f>
        <v>WorldCat Record</v>
      </c>
      <c r="AW2080" s="6" t="s">
        <v>18713</v>
      </c>
      <c r="AX2080" s="6" t="s">
        <v>18714</v>
      </c>
      <c r="AY2080" s="6" t="s">
        <v>18715</v>
      </c>
      <c r="AZ2080" s="6" t="s">
        <v>18715</v>
      </c>
      <c r="BA2080" s="6" t="s">
        <v>18716</v>
      </c>
      <c r="BB2080" s="28"/>
      <c r="BC2080" s="6" t="s">
        <v>18717</v>
      </c>
      <c r="BE2080" s="15" t="s">
        <v>2145</v>
      </c>
      <c r="BF2080" s="6" t="s">
        <v>18718</v>
      </c>
    </row>
    <row r="2081" customFormat="false" ht="82.5" hidden="false" customHeight="false" outlineLevel="0" collapsed="false">
      <c r="A2081" s="26" t="s">
        <v>63</v>
      </c>
      <c r="B2081" s="27" t="s">
        <v>2129</v>
      </c>
      <c r="C2081" s="27" t="s">
        <v>2130</v>
      </c>
      <c r="D2081" s="27" t="s">
        <v>18719</v>
      </c>
      <c r="E2081" s="27" t="s">
        <v>18720</v>
      </c>
      <c r="F2081" s="27" t="s">
        <v>18721</v>
      </c>
      <c r="G2081" s="28"/>
      <c r="H2081" s="6" t="s">
        <v>63</v>
      </c>
      <c r="I2081" s="6" t="s">
        <v>62</v>
      </c>
      <c r="J2081" s="6" t="s">
        <v>63</v>
      </c>
      <c r="K2081" s="6" t="s">
        <v>63</v>
      </c>
      <c r="L2081" s="6" t="s">
        <v>64</v>
      </c>
      <c r="M2081" s="27" t="s">
        <v>18722</v>
      </c>
      <c r="N2081" s="27" t="s">
        <v>18723</v>
      </c>
      <c r="O2081" s="6" t="s">
        <v>3029</v>
      </c>
      <c r="P2081" s="28"/>
      <c r="Q2081" s="6" t="s">
        <v>67</v>
      </c>
      <c r="R2081" s="6" t="s">
        <v>1059</v>
      </c>
      <c r="S2081" s="28"/>
      <c r="T2081" s="6" t="s">
        <v>6138</v>
      </c>
      <c r="U2081" s="7" t="n">
        <v>2</v>
      </c>
      <c r="V2081" s="7" t="n">
        <v>2</v>
      </c>
      <c r="W2081" s="8" t="s">
        <v>18702</v>
      </c>
      <c r="X2081" s="8" t="s">
        <v>18702</v>
      </c>
      <c r="Y2081" s="8" t="s">
        <v>3906</v>
      </c>
      <c r="Z2081" s="8" t="s">
        <v>3906</v>
      </c>
      <c r="AA2081" s="7" t="n">
        <v>850</v>
      </c>
      <c r="AB2081" s="7" t="n">
        <v>693</v>
      </c>
      <c r="AC2081" s="7" t="n">
        <v>701</v>
      </c>
      <c r="AD2081" s="7" t="n">
        <v>5</v>
      </c>
      <c r="AE2081" s="7" t="n">
        <v>5</v>
      </c>
      <c r="AF2081" s="7" t="n">
        <v>32</v>
      </c>
      <c r="AG2081" s="7" t="n">
        <v>32</v>
      </c>
      <c r="AH2081" s="7" t="n">
        <v>11</v>
      </c>
      <c r="AI2081" s="7" t="n">
        <v>11</v>
      </c>
      <c r="AJ2081" s="7" t="n">
        <v>6</v>
      </c>
      <c r="AK2081" s="7" t="n">
        <v>6</v>
      </c>
      <c r="AL2081" s="7" t="n">
        <v>21</v>
      </c>
      <c r="AM2081" s="7" t="n">
        <v>21</v>
      </c>
      <c r="AN2081" s="7" t="n">
        <v>4</v>
      </c>
      <c r="AO2081" s="7" t="n">
        <v>4</v>
      </c>
      <c r="AP2081" s="7" t="n">
        <v>0</v>
      </c>
      <c r="AQ2081" s="7" t="n">
        <v>0</v>
      </c>
      <c r="AR2081" s="6" t="s">
        <v>63</v>
      </c>
      <c r="AS2081" s="6" t="s">
        <v>57</v>
      </c>
      <c r="AT2081" s="9" t="str">
        <f aca="false">HYPERLINK("http://catalog.hathitrust.org/Record/001383010","HathiTrust Record")</f>
        <v>HathiTrust Record</v>
      </c>
      <c r="AU2081" s="9" t="str">
        <f aca="false">HYPERLINK("https://creighton-primo.hosted.exlibrisgroup.com/primo-explore/search?tab=default_tab&amp;search_scope=EVERYTHING&amp;vid=01CRU&amp;lang=en_US&amp;offset=0&amp;query=any,contains,991002561499702656","Catalog Record")</f>
        <v>Catalog Record</v>
      </c>
      <c r="AV2081" s="9" t="str">
        <f aca="false">HYPERLINK("http://www.worldcat.org/oclc/371791","WorldCat Record")</f>
        <v>WorldCat Record</v>
      </c>
      <c r="AW2081" s="6" t="s">
        <v>18724</v>
      </c>
      <c r="AX2081" s="6" t="s">
        <v>18725</v>
      </c>
      <c r="AY2081" s="6" t="s">
        <v>18726</v>
      </c>
      <c r="AZ2081" s="6" t="s">
        <v>18726</v>
      </c>
      <c r="BA2081" s="6" t="s">
        <v>18727</v>
      </c>
      <c r="BB2081" s="28"/>
      <c r="BC2081" s="6" t="s">
        <v>18728</v>
      </c>
      <c r="BE2081" s="15" t="s">
        <v>2145</v>
      </c>
      <c r="BF2081" s="6" t="s">
        <v>18729</v>
      </c>
    </row>
    <row r="2082" customFormat="false" ht="71" hidden="false" customHeight="false" outlineLevel="0" collapsed="false">
      <c r="A2082" s="26" t="s">
        <v>63</v>
      </c>
      <c r="B2082" s="27" t="s">
        <v>2129</v>
      </c>
      <c r="C2082" s="27" t="s">
        <v>2130</v>
      </c>
      <c r="D2082" s="27" t="s">
        <v>18730</v>
      </c>
      <c r="E2082" s="27" t="s">
        <v>18731</v>
      </c>
      <c r="F2082" s="27" t="s">
        <v>18732</v>
      </c>
      <c r="G2082" s="28"/>
      <c r="H2082" s="6" t="s">
        <v>63</v>
      </c>
      <c r="I2082" s="6" t="s">
        <v>62</v>
      </c>
      <c r="J2082" s="6" t="s">
        <v>63</v>
      </c>
      <c r="K2082" s="6" t="s">
        <v>63</v>
      </c>
      <c r="L2082" s="6" t="s">
        <v>64</v>
      </c>
      <c r="M2082" s="27" t="s">
        <v>6123</v>
      </c>
      <c r="N2082" s="27" t="s">
        <v>18733</v>
      </c>
      <c r="O2082" s="6" t="s">
        <v>3029</v>
      </c>
      <c r="P2082" s="28"/>
      <c r="Q2082" s="6" t="s">
        <v>67</v>
      </c>
      <c r="R2082" s="6" t="s">
        <v>68</v>
      </c>
      <c r="S2082" s="28"/>
      <c r="T2082" s="6" t="s">
        <v>6138</v>
      </c>
      <c r="U2082" s="7" t="n">
        <v>2</v>
      </c>
      <c r="V2082" s="7" t="n">
        <v>2</v>
      </c>
      <c r="W2082" s="8" t="s">
        <v>18702</v>
      </c>
      <c r="X2082" s="8" t="s">
        <v>18702</v>
      </c>
      <c r="Y2082" s="8" t="s">
        <v>3906</v>
      </c>
      <c r="Z2082" s="8" t="s">
        <v>3906</v>
      </c>
      <c r="AA2082" s="7" t="n">
        <v>253</v>
      </c>
      <c r="AB2082" s="7" t="n">
        <v>242</v>
      </c>
      <c r="AC2082" s="7" t="n">
        <v>439</v>
      </c>
      <c r="AD2082" s="7" t="n">
        <v>1</v>
      </c>
      <c r="AE2082" s="7" t="n">
        <v>2</v>
      </c>
      <c r="AF2082" s="7" t="n">
        <v>17</v>
      </c>
      <c r="AG2082" s="7" t="n">
        <v>28</v>
      </c>
      <c r="AH2082" s="7" t="n">
        <v>5</v>
      </c>
      <c r="AI2082" s="7" t="n">
        <v>8</v>
      </c>
      <c r="AJ2082" s="7" t="n">
        <v>4</v>
      </c>
      <c r="AK2082" s="7" t="n">
        <v>8</v>
      </c>
      <c r="AL2082" s="7" t="n">
        <v>14</v>
      </c>
      <c r="AM2082" s="7" t="n">
        <v>21</v>
      </c>
      <c r="AN2082" s="7" t="n">
        <v>0</v>
      </c>
      <c r="AO2082" s="7" t="n">
        <v>1</v>
      </c>
      <c r="AP2082" s="7" t="n">
        <v>0</v>
      </c>
      <c r="AQ2082" s="7" t="n">
        <v>0</v>
      </c>
      <c r="AR2082" s="6" t="s">
        <v>63</v>
      </c>
      <c r="AS2082" s="6" t="s">
        <v>63</v>
      </c>
      <c r="AT2082" s="9" t="str">
        <f aca="false">HYPERLINK("http://catalog.hathitrust.org/Record/102299399","HathiTrust Record")</f>
        <v>HathiTrust Record</v>
      </c>
      <c r="AU2082" s="9" t="str">
        <f aca="false">HYPERLINK("https://creighton-primo.hosted.exlibrisgroup.com/primo-explore/search?tab=default_tab&amp;search_scope=EVERYTHING&amp;vid=01CRU&amp;lang=en_US&amp;offset=0&amp;query=any,contains,991002912979702656","Catalog Record")</f>
        <v>Catalog Record</v>
      </c>
      <c r="AV2082" s="9" t="str">
        <f aca="false">HYPERLINK("http://www.worldcat.org/oclc/522942","WorldCat Record")</f>
        <v>WorldCat Record</v>
      </c>
      <c r="AW2082" s="6" t="s">
        <v>18734</v>
      </c>
      <c r="AX2082" s="6" t="s">
        <v>18735</v>
      </c>
      <c r="AY2082" s="6" t="s">
        <v>18736</v>
      </c>
      <c r="AZ2082" s="6" t="s">
        <v>18736</v>
      </c>
      <c r="BA2082" s="6" t="s">
        <v>18737</v>
      </c>
      <c r="BB2082" s="28"/>
      <c r="BC2082" s="6" t="s">
        <v>18738</v>
      </c>
      <c r="BE2082" s="15" t="s">
        <v>2145</v>
      </c>
      <c r="BF2082" s="6" t="s">
        <v>18739</v>
      </c>
    </row>
    <row r="2083" customFormat="false" ht="243.5" hidden="false" customHeight="false" outlineLevel="0" collapsed="false">
      <c r="A2083" s="26" t="s">
        <v>63</v>
      </c>
      <c r="B2083" s="27" t="s">
        <v>2129</v>
      </c>
      <c r="C2083" s="27" t="s">
        <v>2130</v>
      </c>
      <c r="D2083" s="27" t="s">
        <v>18740</v>
      </c>
      <c r="E2083" s="27" t="s">
        <v>18741</v>
      </c>
      <c r="F2083" s="27" t="s">
        <v>18742</v>
      </c>
      <c r="G2083" s="28"/>
      <c r="H2083" s="6" t="s">
        <v>63</v>
      </c>
      <c r="I2083" s="6" t="s">
        <v>62</v>
      </c>
      <c r="J2083" s="6" t="s">
        <v>63</v>
      </c>
      <c r="K2083" s="6" t="s">
        <v>63</v>
      </c>
      <c r="L2083" s="6" t="s">
        <v>64</v>
      </c>
      <c r="M2083" s="27" t="s">
        <v>18743</v>
      </c>
      <c r="N2083" s="27" t="s">
        <v>18744</v>
      </c>
      <c r="O2083" s="6" t="s">
        <v>2467</v>
      </c>
      <c r="P2083" s="27" t="s">
        <v>4343</v>
      </c>
      <c r="Q2083" s="6" t="s">
        <v>67</v>
      </c>
      <c r="R2083" s="6" t="s">
        <v>802</v>
      </c>
      <c r="S2083" s="27" t="s">
        <v>18745</v>
      </c>
      <c r="T2083" s="6" t="s">
        <v>6138</v>
      </c>
      <c r="U2083" s="7" t="n">
        <v>1</v>
      </c>
      <c r="V2083" s="7" t="n">
        <v>1</v>
      </c>
      <c r="W2083" s="8" t="s">
        <v>18746</v>
      </c>
      <c r="X2083" s="8" t="s">
        <v>18746</v>
      </c>
      <c r="Y2083" s="8" t="s">
        <v>3906</v>
      </c>
      <c r="Z2083" s="8" t="s">
        <v>3906</v>
      </c>
      <c r="AA2083" s="7" t="n">
        <v>412</v>
      </c>
      <c r="AB2083" s="7" t="n">
        <v>306</v>
      </c>
      <c r="AC2083" s="7" t="n">
        <v>328</v>
      </c>
      <c r="AD2083" s="7" t="n">
        <v>3</v>
      </c>
      <c r="AE2083" s="7" t="n">
        <v>3</v>
      </c>
      <c r="AF2083" s="7" t="n">
        <v>22</v>
      </c>
      <c r="AG2083" s="7" t="n">
        <v>23</v>
      </c>
      <c r="AH2083" s="7" t="n">
        <v>6</v>
      </c>
      <c r="AI2083" s="7" t="n">
        <v>7</v>
      </c>
      <c r="AJ2083" s="7" t="n">
        <v>8</v>
      </c>
      <c r="AK2083" s="7" t="n">
        <v>8</v>
      </c>
      <c r="AL2083" s="7" t="n">
        <v>14</v>
      </c>
      <c r="AM2083" s="7" t="n">
        <v>15</v>
      </c>
      <c r="AN2083" s="7" t="n">
        <v>2</v>
      </c>
      <c r="AO2083" s="7" t="n">
        <v>2</v>
      </c>
      <c r="AP2083" s="7" t="n">
        <v>0</v>
      </c>
      <c r="AQ2083" s="7" t="n">
        <v>0</v>
      </c>
      <c r="AR2083" s="6" t="s">
        <v>63</v>
      </c>
      <c r="AS2083" s="6" t="s">
        <v>57</v>
      </c>
      <c r="AT2083" s="9" t="str">
        <f aca="false">HYPERLINK("http://catalog.hathitrust.org/Record/008296794","HathiTrust Record")</f>
        <v>HathiTrust Record</v>
      </c>
      <c r="AU2083" s="9" t="str">
        <f aca="false">HYPERLINK("https://creighton-primo.hosted.exlibrisgroup.com/primo-explore/search?tab=default_tab&amp;search_scope=EVERYTHING&amp;vid=01CRU&amp;lang=en_US&amp;offset=0&amp;query=any,contains,991002562669702656","Catalog Record")</f>
        <v>Catalog Record</v>
      </c>
      <c r="AV2083" s="9" t="str">
        <f aca="false">HYPERLINK("http://www.worldcat.org/oclc/372033","WorldCat Record")</f>
        <v>WorldCat Record</v>
      </c>
      <c r="AW2083" s="6" t="s">
        <v>18747</v>
      </c>
      <c r="AX2083" s="6" t="s">
        <v>18748</v>
      </c>
      <c r="AY2083" s="6" t="s">
        <v>18749</v>
      </c>
      <c r="AZ2083" s="6" t="s">
        <v>18749</v>
      </c>
      <c r="BA2083" s="6" t="s">
        <v>18750</v>
      </c>
      <c r="BB2083" s="28"/>
      <c r="BC2083" s="6" t="s">
        <v>18751</v>
      </c>
      <c r="BE2083" s="15" t="s">
        <v>2145</v>
      </c>
      <c r="BF2083" s="6" t="s">
        <v>18752</v>
      </c>
    </row>
    <row r="2084" customFormat="false" ht="82.5" hidden="false" customHeight="false" outlineLevel="0" collapsed="false">
      <c r="A2084" s="26" t="s">
        <v>63</v>
      </c>
      <c r="B2084" s="27" t="s">
        <v>2129</v>
      </c>
      <c r="C2084" s="27" t="s">
        <v>2130</v>
      </c>
      <c r="D2084" s="27" t="s">
        <v>18753</v>
      </c>
      <c r="E2084" s="27" t="s">
        <v>18754</v>
      </c>
      <c r="F2084" s="27" t="s">
        <v>18755</v>
      </c>
      <c r="G2084" s="28"/>
      <c r="H2084" s="6" t="s">
        <v>63</v>
      </c>
      <c r="I2084" s="6" t="s">
        <v>62</v>
      </c>
      <c r="J2084" s="6" t="s">
        <v>63</v>
      </c>
      <c r="K2084" s="6" t="s">
        <v>63</v>
      </c>
      <c r="L2084" s="6" t="s">
        <v>64</v>
      </c>
      <c r="M2084" s="27" t="s">
        <v>18756</v>
      </c>
      <c r="N2084" s="27" t="s">
        <v>18757</v>
      </c>
      <c r="O2084" s="6" t="s">
        <v>264</v>
      </c>
      <c r="P2084" s="28"/>
      <c r="Q2084" s="6" t="s">
        <v>67</v>
      </c>
      <c r="R2084" s="6" t="s">
        <v>1108</v>
      </c>
      <c r="S2084" s="27" t="s">
        <v>18758</v>
      </c>
      <c r="T2084" s="6" t="s">
        <v>6138</v>
      </c>
      <c r="U2084" s="7" t="n">
        <v>3</v>
      </c>
      <c r="V2084" s="7" t="n">
        <v>3</v>
      </c>
      <c r="W2084" s="8" t="s">
        <v>18759</v>
      </c>
      <c r="X2084" s="8" t="s">
        <v>18759</v>
      </c>
      <c r="Y2084" s="8" t="s">
        <v>3906</v>
      </c>
      <c r="Z2084" s="8" t="s">
        <v>3906</v>
      </c>
      <c r="AA2084" s="7" t="n">
        <v>561</v>
      </c>
      <c r="AB2084" s="7" t="n">
        <v>413</v>
      </c>
      <c r="AC2084" s="7" t="n">
        <v>420</v>
      </c>
      <c r="AD2084" s="7" t="n">
        <v>4</v>
      </c>
      <c r="AE2084" s="7" t="n">
        <v>4</v>
      </c>
      <c r="AF2084" s="7" t="n">
        <v>18</v>
      </c>
      <c r="AG2084" s="7" t="n">
        <v>18</v>
      </c>
      <c r="AH2084" s="7" t="n">
        <v>6</v>
      </c>
      <c r="AI2084" s="7" t="n">
        <v>6</v>
      </c>
      <c r="AJ2084" s="7" t="n">
        <v>4</v>
      </c>
      <c r="AK2084" s="7" t="n">
        <v>4</v>
      </c>
      <c r="AL2084" s="7" t="n">
        <v>10</v>
      </c>
      <c r="AM2084" s="7" t="n">
        <v>10</v>
      </c>
      <c r="AN2084" s="7" t="n">
        <v>3</v>
      </c>
      <c r="AO2084" s="7" t="n">
        <v>3</v>
      </c>
      <c r="AP2084" s="7" t="n">
        <v>0</v>
      </c>
      <c r="AQ2084" s="7" t="n">
        <v>0</v>
      </c>
      <c r="AR2084" s="6" t="s">
        <v>63</v>
      </c>
      <c r="AS2084" s="6" t="s">
        <v>57</v>
      </c>
      <c r="AT2084" s="9" t="str">
        <f aca="false">HYPERLINK("http://catalog.hathitrust.org/Record/001383023","HathiTrust Record")</f>
        <v>HathiTrust Record</v>
      </c>
      <c r="AU2084" s="9" t="str">
        <f aca="false">HYPERLINK("https://creighton-primo.hosted.exlibrisgroup.com/primo-explore/search?tab=default_tab&amp;search_scope=EVERYTHING&amp;vid=01CRU&amp;lang=en_US&amp;offset=0&amp;query=any,contains,991000512369702656","Catalog Record")</f>
        <v>Catalog Record</v>
      </c>
      <c r="AV2084" s="9" t="str">
        <f aca="false">HYPERLINK("http://www.worldcat.org/oclc/83849","WorldCat Record")</f>
        <v>WorldCat Record</v>
      </c>
      <c r="AW2084" s="6" t="s">
        <v>18760</v>
      </c>
      <c r="AX2084" s="6" t="s">
        <v>18761</v>
      </c>
      <c r="AY2084" s="6" t="s">
        <v>18762</v>
      </c>
      <c r="AZ2084" s="6" t="s">
        <v>18762</v>
      </c>
      <c r="BA2084" s="6" t="s">
        <v>18763</v>
      </c>
      <c r="BB2084" s="6" t="s">
        <v>18764</v>
      </c>
      <c r="BC2084" s="6" t="s">
        <v>18765</v>
      </c>
      <c r="BE2084" s="15" t="s">
        <v>2145</v>
      </c>
      <c r="BF2084" s="6" t="s">
        <v>18766</v>
      </c>
    </row>
    <row r="2085" customFormat="false" ht="105.5" hidden="false" customHeight="false" outlineLevel="0" collapsed="false">
      <c r="A2085" s="26" t="s">
        <v>63</v>
      </c>
      <c r="B2085" s="27" t="s">
        <v>2129</v>
      </c>
      <c r="C2085" s="27" t="s">
        <v>2130</v>
      </c>
      <c r="D2085" s="27" t="s">
        <v>18767</v>
      </c>
      <c r="E2085" s="27" t="s">
        <v>18768</v>
      </c>
      <c r="F2085" s="27" t="s">
        <v>18769</v>
      </c>
      <c r="G2085" s="28"/>
      <c r="H2085" s="6" t="s">
        <v>63</v>
      </c>
      <c r="I2085" s="6" t="s">
        <v>62</v>
      </c>
      <c r="J2085" s="6" t="s">
        <v>63</v>
      </c>
      <c r="K2085" s="6" t="s">
        <v>63</v>
      </c>
      <c r="L2085" s="6" t="s">
        <v>64</v>
      </c>
      <c r="M2085" s="27" t="s">
        <v>18770</v>
      </c>
      <c r="N2085" s="27" t="s">
        <v>18771</v>
      </c>
      <c r="O2085" s="6" t="s">
        <v>2467</v>
      </c>
      <c r="P2085" s="28"/>
      <c r="Q2085" s="6" t="s">
        <v>67</v>
      </c>
      <c r="R2085" s="6" t="s">
        <v>384</v>
      </c>
      <c r="S2085" s="27" t="s">
        <v>3030</v>
      </c>
      <c r="T2085" s="6" t="s">
        <v>6138</v>
      </c>
      <c r="U2085" s="7" t="n">
        <v>2</v>
      </c>
      <c r="V2085" s="7" t="n">
        <v>2</v>
      </c>
      <c r="W2085" s="8" t="s">
        <v>4881</v>
      </c>
      <c r="X2085" s="8" t="s">
        <v>4881</v>
      </c>
      <c r="Y2085" s="8" t="s">
        <v>3906</v>
      </c>
      <c r="Z2085" s="8" t="s">
        <v>3906</v>
      </c>
      <c r="AA2085" s="7" t="n">
        <v>448</v>
      </c>
      <c r="AB2085" s="7" t="n">
        <v>318</v>
      </c>
      <c r="AC2085" s="7" t="n">
        <v>362</v>
      </c>
      <c r="AD2085" s="7" t="n">
        <v>4</v>
      </c>
      <c r="AE2085" s="7" t="n">
        <v>4</v>
      </c>
      <c r="AF2085" s="7" t="n">
        <v>22</v>
      </c>
      <c r="AG2085" s="7" t="n">
        <v>23</v>
      </c>
      <c r="AH2085" s="7" t="n">
        <v>7</v>
      </c>
      <c r="AI2085" s="7" t="n">
        <v>7</v>
      </c>
      <c r="AJ2085" s="7" t="n">
        <v>6</v>
      </c>
      <c r="AK2085" s="7" t="n">
        <v>6</v>
      </c>
      <c r="AL2085" s="7" t="n">
        <v>10</v>
      </c>
      <c r="AM2085" s="7" t="n">
        <v>11</v>
      </c>
      <c r="AN2085" s="7" t="n">
        <v>3</v>
      </c>
      <c r="AO2085" s="7" t="n">
        <v>3</v>
      </c>
      <c r="AP2085" s="7" t="n">
        <v>0</v>
      </c>
      <c r="AQ2085" s="7" t="n">
        <v>0</v>
      </c>
      <c r="AR2085" s="6" t="s">
        <v>63</v>
      </c>
      <c r="AS2085" s="6" t="s">
        <v>57</v>
      </c>
      <c r="AT2085" s="9" t="str">
        <f aca="false">HYPERLINK("http://catalog.hathitrust.org/Record/001383024","HathiTrust Record")</f>
        <v>HathiTrust Record</v>
      </c>
      <c r="AU2085" s="9" t="str">
        <f aca="false">HYPERLINK("https://creighton-primo.hosted.exlibrisgroup.com/primo-explore/search?tab=default_tab&amp;search_scope=EVERYTHING&amp;vid=01CRU&amp;lang=en_US&amp;offset=0&amp;query=any,contains,991002987809702656","Catalog Record")</f>
        <v>Catalog Record</v>
      </c>
      <c r="AV2085" s="9" t="str">
        <f aca="false">HYPERLINK("http://www.worldcat.org/oclc/558499","WorldCat Record")</f>
        <v>WorldCat Record</v>
      </c>
      <c r="AW2085" s="6" t="s">
        <v>18772</v>
      </c>
      <c r="AX2085" s="6" t="s">
        <v>18773</v>
      </c>
      <c r="AY2085" s="6" t="s">
        <v>18774</v>
      </c>
      <c r="AZ2085" s="6" t="s">
        <v>18774</v>
      </c>
      <c r="BA2085" s="6" t="s">
        <v>18775</v>
      </c>
      <c r="BB2085" s="28"/>
      <c r="BC2085" s="6" t="s">
        <v>18776</v>
      </c>
      <c r="BE2085" s="15" t="s">
        <v>2145</v>
      </c>
      <c r="BF2085" s="6" t="s">
        <v>18777</v>
      </c>
    </row>
    <row r="2086" customFormat="false" ht="140" hidden="false" customHeight="false" outlineLevel="0" collapsed="false">
      <c r="A2086" s="26" t="s">
        <v>63</v>
      </c>
      <c r="B2086" s="27" t="s">
        <v>2129</v>
      </c>
      <c r="C2086" s="27" t="s">
        <v>2130</v>
      </c>
      <c r="D2086" s="27" t="s">
        <v>18778</v>
      </c>
      <c r="E2086" s="27" t="s">
        <v>18779</v>
      </c>
      <c r="F2086" s="27" t="s">
        <v>18780</v>
      </c>
      <c r="G2086" s="28"/>
      <c r="H2086" s="6" t="s">
        <v>63</v>
      </c>
      <c r="I2086" s="6" t="s">
        <v>62</v>
      </c>
      <c r="J2086" s="6" t="s">
        <v>63</v>
      </c>
      <c r="K2086" s="6" t="s">
        <v>63</v>
      </c>
      <c r="L2086" s="6" t="s">
        <v>64</v>
      </c>
      <c r="M2086" s="27" t="s">
        <v>18577</v>
      </c>
      <c r="N2086" s="27" t="s">
        <v>18781</v>
      </c>
      <c r="O2086" s="6" t="s">
        <v>2975</v>
      </c>
      <c r="P2086" s="28"/>
      <c r="Q2086" s="6" t="s">
        <v>67</v>
      </c>
      <c r="R2086" s="6" t="s">
        <v>123</v>
      </c>
      <c r="S2086" s="27" t="s">
        <v>18782</v>
      </c>
      <c r="T2086" s="6" t="s">
        <v>6138</v>
      </c>
      <c r="U2086" s="7" t="n">
        <v>1</v>
      </c>
      <c r="V2086" s="7" t="n">
        <v>1</v>
      </c>
      <c r="W2086" s="8" t="s">
        <v>18783</v>
      </c>
      <c r="X2086" s="8" t="s">
        <v>18783</v>
      </c>
      <c r="Y2086" s="8" t="s">
        <v>3906</v>
      </c>
      <c r="Z2086" s="8" t="s">
        <v>3906</v>
      </c>
      <c r="AA2086" s="7" t="n">
        <v>65</v>
      </c>
      <c r="AB2086" s="7" t="n">
        <v>42</v>
      </c>
      <c r="AC2086" s="7" t="n">
        <v>603</v>
      </c>
      <c r="AD2086" s="7" t="n">
        <v>2</v>
      </c>
      <c r="AE2086" s="7" t="n">
        <v>4</v>
      </c>
      <c r="AF2086" s="7" t="n">
        <v>1</v>
      </c>
      <c r="AG2086" s="7" t="n">
        <v>35</v>
      </c>
      <c r="AH2086" s="7" t="n">
        <v>0</v>
      </c>
      <c r="AI2086" s="7" t="n">
        <v>13</v>
      </c>
      <c r="AJ2086" s="7" t="n">
        <v>0</v>
      </c>
      <c r="AK2086" s="7" t="n">
        <v>9</v>
      </c>
      <c r="AL2086" s="7" t="n">
        <v>1</v>
      </c>
      <c r="AM2086" s="7" t="n">
        <v>23</v>
      </c>
      <c r="AN2086" s="7" t="n">
        <v>0</v>
      </c>
      <c r="AO2086" s="7" t="n">
        <v>2</v>
      </c>
      <c r="AP2086" s="7" t="n">
        <v>0</v>
      </c>
      <c r="AQ2086" s="7" t="n">
        <v>0</v>
      </c>
      <c r="AR2086" s="6" t="s">
        <v>63</v>
      </c>
      <c r="AS2086" s="6" t="s">
        <v>63</v>
      </c>
      <c r="AT2086" s="28"/>
      <c r="AU2086" s="9" t="str">
        <f aca="false">HYPERLINK("https://creighton-primo.hosted.exlibrisgroup.com/primo-explore/search?tab=default_tab&amp;search_scope=EVERYTHING&amp;vid=01CRU&amp;lang=en_US&amp;offset=0&amp;query=any,contains,991004146449702656","Catalog Record")</f>
        <v>Catalog Record</v>
      </c>
      <c r="AV2086" s="9" t="str">
        <f aca="false">HYPERLINK("http://www.worldcat.org/oclc/2512024","WorldCat Record")</f>
        <v>WorldCat Record</v>
      </c>
      <c r="AW2086" s="6" t="s">
        <v>18784</v>
      </c>
      <c r="AX2086" s="6" t="s">
        <v>18785</v>
      </c>
      <c r="AY2086" s="6" t="s">
        <v>18786</v>
      </c>
      <c r="AZ2086" s="6" t="s">
        <v>18786</v>
      </c>
      <c r="BA2086" s="6" t="s">
        <v>18787</v>
      </c>
      <c r="BB2086" s="6" t="s">
        <v>18788</v>
      </c>
      <c r="BC2086" s="6" t="s">
        <v>18789</v>
      </c>
      <c r="BE2086" s="15" t="s">
        <v>2145</v>
      </c>
      <c r="BF2086" s="6" t="s">
        <v>18790</v>
      </c>
    </row>
    <row r="2087" customFormat="false" ht="174.5" hidden="false" customHeight="false" outlineLevel="0" collapsed="false">
      <c r="A2087" s="26" t="s">
        <v>63</v>
      </c>
      <c r="B2087" s="27" t="s">
        <v>2129</v>
      </c>
      <c r="C2087" s="27" t="s">
        <v>2130</v>
      </c>
      <c r="D2087" s="27" t="s">
        <v>18791</v>
      </c>
      <c r="E2087" s="27" t="s">
        <v>18792</v>
      </c>
      <c r="F2087" s="27" t="s">
        <v>18793</v>
      </c>
      <c r="G2087" s="28"/>
      <c r="H2087" s="6" t="s">
        <v>63</v>
      </c>
      <c r="I2087" s="6" t="s">
        <v>62</v>
      </c>
      <c r="J2087" s="6" t="s">
        <v>63</v>
      </c>
      <c r="K2087" s="6" t="s">
        <v>63</v>
      </c>
      <c r="L2087" s="6" t="s">
        <v>64</v>
      </c>
      <c r="M2087" s="27" t="s">
        <v>18794</v>
      </c>
      <c r="N2087" s="27" t="s">
        <v>18795</v>
      </c>
      <c r="O2087" s="6" t="s">
        <v>264</v>
      </c>
      <c r="P2087" s="27" t="s">
        <v>4343</v>
      </c>
      <c r="Q2087" s="6" t="s">
        <v>67</v>
      </c>
      <c r="R2087" s="6" t="s">
        <v>18796</v>
      </c>
      <c r="S2087" s="28"/>
      <c r="T2087" s="6" t="s">
        <v>6138</v>
      </c>
      <c r="U2087" s="7" t="n">
        <v>3</v>
      </c>
      <c r="V2087" s="7" t="n">
        <v>3</v>
      </c>
      <c r="W2087" s="8" t="s">
        <v>18797</v>
      </c>
      <c r="X2087" s="8" t="s">
        <v>18797</v>
      </c>
      <c r="Y2087" s="8" t="s">
        <v>3906</v>
      </c>
      <c r="Z2087" s="8" t="s">
        <v>3906</v>
      </c>
      <c r="AA2087" s="7" t="n">
        <v>512</v>
      </c>
      <c r="AB2087" s="7" t="n">
        <v>424</v>
      </c>
      <c r="AC2087" s="7" t="n">
        <v>684</v>
      </c>
      <c r="AD2087" s="7" t="n">
        <v>4</v>
      </c>
      <c r="AE2087" s="7" t="n">
        <v>8</v>
      </c>
      <c r="AF2087" s="7" t="n">
        <v>27</v>
      </c>
      <c r="AG2087" s="7" t="n">
        <v>40</v>
      </c>
      <c r="AH2087" s="7" t="n">
        <v>8</v>
      </c>
      <c r="AI2087" s="7" t="n">
        <v>13</v>
      </c>
      <c r="AJ2087" s="7" t="n">
        <v>8</v>
      </c>
      <c r="AK2087" s="7" t="n">
        <v>9</v>
      </c>
      <c r="AL2087" s="7" t="n">
        <v>17</v>
      </c>
      <c r="AM2087" s="7" t="n">
        <v>22</v>
      </c>
      <c r="AN2087" s="7" t="n">
        <v>3</v>
      </c>
      <c r="AO2087" s="7" t="n">
        <v>7</v>
      </c>
      <c r="AP2087" s="7" t="n">
        <v>0</v>
      </c>
      <c r="AQ2087" s="7" t="n">
        <v>0</v>
      </c>
      <c r="AR2087" s="6" t="s">
        <v>63</v>
      </c>
      <c r="AS2087" s="6" t="s">
        <v>57</v>
      </c>
      <c r="AT2087" s="9" t="str">
        <f aca="false">HYPERLINK("http://catalog.hathitrust.org/Record/001915149","HathiTrust Record")</f>
        <v>HathiTrust Record</v>
      </c>
      <c r="AU2087" s="9" t="str">
        <f aca="false">HYPERLINK("https://creighton-primo.hosted.exlibrisgroup.com/primo-explore/search?tab=default_tab&amp;search_scope=EVERYTHING&amp;vid=01CRU&amp;lang=en_US&amp;offset=0&amp;query=any,contains,991000763889702656","Catalog Record")</f>
        <v>Catalog Record</v>
      </c>
      <c r="AV2087" s="9" t="str">
        <f aca="false">HYPERLINK("http://www.worldcat.org/oclc/130998","WorldCat Record")</f>
        <v>WorldCat Record</v>
      </c>
      <c r="AW2087" s="6" t="s">
        <v>18798</v>
      </c>
      <c r="AX2087" s="6" t="s">
        <v>18799</v>
      </c>
      <c r="AY2087" s="6" t="s">
        <v>18800</v>
      </c>
      <c r="AZ2087" s="6" t="s">
        <v>18800</v>
      </c>
      <c r="BA2087" s="6" t="s">
        <v>18801</v>
      </c>
      <c r="BB2087" s="6" t="s">
        <v>18802</v>
      </c>
      <c r="BC2087" s="6" t="s">
        <v>18803</v>
      </c>
      <c r="BE2087" s="15" t="s">
        <v>2145</v>
      </c>
      <c r="BF2087" s="6" t="s">
        <v>18804</v>
      </c>
    </row>
    <row r="2088" customFormat="false" ht="174.5" hidden="false" customHeight="false" outlineLevel="0" collapsed="false">
      <c r="A2088" s="26" t="s">
        <v>63</v>
      </c>
      <c r="B2088" s="27" t="s">
        <v>2129</v>
      </c>
      <c r="C2088" s="27" t="s">
        <v>2130</v>
      </c>
      <c r="D2088" s="27" t="s">
        <v>18805</v>
      </c>
      <c r="E2088" s="27" t="s">
        <v>18806</v>
      </c>
      <c r="F2088" s="27" t="s">
        <v>18807</v>
      </c>
      <c r="G2088" s="28"/>
      <c r="H2088" s="6" t="s">
        <v>63</v>
      </c>
      <c r="I2088" s="6" t="s">
        <v>62</v>
      </c>
      <c r="J2088" s="6" t="s">
        <v>63</v>
      </c>
      <c r="K2088" s="6" t="s">
        <v>63</v>
      </c>
      <c r="L2088" s="6" t="s">
        <v>64</v>
      </c>
      <c r="M2088" s="27" t="s">
        <v>18808</v>
      </c>
      <c r="N2088" s="27" t="s">
        <v>18809</v>
      </c>
      <c r="O2088" s="6" t="s">
        <v>2343</v>
      </c>
      <c r="P2088" s="28"/>
      <c r="Q2088" s="6" t="s">
        <v>67</v>
      </c>
      <c r="R2088" s="6" t="s">
        <v>384</v>
      </c>
      <c r="S2088" s="28"/>
      <c r="T2088" s="6" t="s">
        <v>6138</v>
      </c>
      <c r="U2088" s="7" t="n">
        <v>1</v>
      </c>
      <c r="V2088" s="7" t="n">
        <v>1</v>
      </c>
      <c r="W2088" s="8" t="s">
        <v>10206</v>
      </c>
      <c r="X2088" s="8" t="s">
        <v>10206</v>
      </c>
      <c r="Y2088" s="8" t="s">
        <v>16765</v>
      </c>
      <c r="Z2088" s="8" t="s">
        <v>16765</v>
      </c>
      <c r="AA2088" s="7" t="n">
        <v>526</v>
      </c>
      <c r="AB2088" s="7" t="n">
        <v>345</v>
      </c>
      <c r="AC2088" s="7" t="n">
        <v>348</v>
      </c>
      <c r="AD2088" s="7" t="n">
        <v>3</v>
      </c>
      <c r="AE2088" s="7" t="n">
        <v>3</v>
      </c>
      <c r="AF2088" s="7" t="n">
        <v>22</v>
      </c>
      <c r="AG2088" s="7" t="n">
        <v>22</v>
      </c>
      <c r="AH2088" s="7" t="n">
        <v>9</v>
      </c>
      <c r="AI2088" s="7" t="n">
        <v>9</v>
      </c>
      <c r="AJ2088" s="7" t="n">
        <v>7</v>
      </c>
      <c r="AK2088" s="7" t="n">
        <v>7</v>
      </c>
      <c r="AL2088" s="7" t="n">
        <v>13</v>
      </c>
      <c r="AM2088" s="7" t="n">
        <v>13</v>
      </c>
      <c r="AN2088" s="7" t="n">
        <v>2</v>
      </c>
      <c r="AO2088" s="7" t="n">
        <v>2</v>
      </c>
      <c r="AP2088" s="7" t="n">
        <v>0</v>
      </c>
      <c r="AQ2088" s="7" t="n">
        <v>0</v>
      </c>
      <c r="AR2088" s="6" t="s">
        <v>63</v>
      </c>
      <c r="AS2088" s="6" t="s">
        <v>57</v>
      </c>
      <c r="AT2088" s="9" t="str">
        <f aca="false">HYPERLINK("http://catalog.hathitrust.org/Record/000143779","HathiTrust Record")</f>
        <v>HathiTrust Record</v>
      </c>
      <c r="AU2088" s="9" t="str">
        <f aca="false">HYPERLINK("https://creighton-primo.hosted.exlibrisgroup.com/primo-explore/search?tab=default_tab&amp;search_scope=EVERYTHING&amp;vid=01CRU&amp;lang=en_US&amp;offset=0&amp;query=any,contains,991005165359702656","Catalog Record")</f>
        <v>Catalog Record</v>
      </c>
      <c r="AV2088" s="9" t="str">
        <f aca="false">HYPERLINK("http://www.worldcat.org/oclc/8281995","WorldCat Record")</f>
        <v>WorldCat Record</v>
      </c>
      <c r="AW2088" s="6" t="s">
        <v>18810</v>
      </c>
      <c r="AX2088" s="6" t="s">
        <v>18811</v>
      </c>
      <c r="AY2088" s="6" t="s">
        <v>18812</v>
      </c>
      <c r="AZ2088" s="6" t="s">
        <v>18812</v>
      </c>
      <c r="BA2088" s="6" t="s">
        <v>18813</v>
      </c>
      <c r="BB2088" s="6" t="s">
        <v>18814</v>
      </c>
      <c r="BC2088" s="6" t="s">
        <v>18815</v>
      </c>
      <c r="BE2088" s="15" t="s">
        <v>2145</v>
      </c>
      <c r="BF2088" s="6" t="s">
        <v>18816</v>
      </c>
    </row>
    <row r="2089" customFormat="false" ht="71" hidden="false" customHeight="false" outlineLevel="0" collapsed="false">
      <c r="A2089" s="26" t="s">
        <v>63</v>
      </c>
      <c r="B2089" s="27" t="s">
        <v>2129</v>
      </c>
      <c r="C2089" s="27" t="s">
        <v>2130</v>
      </c>
      <c r="D2089" s="27" t="s">
        <v>18817</v>
      </c>
      <c r="E2089" s="27" t="s">
        <v>18818</v>
      </c>
      <c r="F2089" s="27" t="s">
        <v>18819</v>
      </c>
      <c r="G2089" s="28"/>
      <c r="H2089" s="6" t="s">
        <v>63</v>
      </c>
      <c r="I2089" s="6" t="s">
        <v>62</v>
      </c>
      <c r="J2089" s="6" t="s">
        <v>63</v>
      </c>
      <c r="K2089" s="6" t="s">
        <v>63</v>
      </c>
      <c r="L2089" s="6" t="s">
        <v>64</v>
      </c>
      <c r="M2089" s="27" t="s">
        <v>18820</v>
      </c>
      <c r="N2089" s="27" t="s">
        <v>18821</v>
      </c>
      <c r="O2089" s="6" t="s">
        <v>3301</v>
      </c>
      <c r="P2089" s="28"/>
      <c r="Q2089" s="6" t="s">
        <v>67</v>
      </c>
      <c r="R2089" s="6" t="s">
        <v>68</v>
      </c>
      <c r="S2089" s="28"/>
      <c r="T2089" s="6" t="s">
        <v>6138</v>
      </c>
      <c r="U2089" s="7" t="n">
        <v>1</v>
      </c>
      <c r="V2089" s="7" t="n">
        <v>1</v>
      </c>
      <c r="W2089" s="8" t="s">
        <v>14690</v>
      </c>
      <c r="X2089" s="8" t="s">
        <v>14690</v>
      </c>
      <c r="Y2089" s="8" t="s">
        <v>16765</v>
      </c>
      <c r="Z2089" s="8" t="s">
        <v>16765</v>
      </c>
      <c r="AA2089" s="7" t="n">
        <v>696</v>
      </c>
      <c r="AB2089" s="7" t="n">
        <v>546</v>
      </c>
      <c r="AC2089" s="7" t="n">
        <v>557</v>
      </c>
      <c r="AD2089" s="7" t="n">
        <v>4</v>
      </c>
      <c r="AE2089" s="7" t="n">
        <v>4</v>
      </c>
      <c r="AF2089" s="7" t="n">
        <v>34</v>
      </c>
      <c r="AG2089" s="7" t="n">
        <v>35</v>
      </c>
      <c r="AH2089" s="7" t="n">
        <v>13</v>
      </c>
      <c r="AI2089" s="7" t="n">
        <v>13</v>
      </c>
      <c r="AJ2089" s="7" t="n">
        <v>8</v>
      </c>
      <c r="AK2089" s="7" t="n">
        <v>9</v>
      </c>
      <c r="AL2089" s="7" t="n">
        <v>21</v>
      </c>
      <c r="AM2089" s="7" t="n">
        <v>22</v>
      </c>
      <c r="AN2089" s="7" t="n">
        <v>3</v>
      </c>
      <c r="AO2089" s="7" t="n">
        <v>3</v>
      </c>
      <c r="AP2089" s="7" t="n">
        <v>0</v>
      </c>
      <c r="AQ2089" s="7" t="n">
        <v>0</v>
      </c>
      <c r="AR2089" s="6" t="s">
        <v>63</v>
      </c>
      <c r="AS2089" s="6" t="s">
        <v>63</v>
      </c>
      <c r="AT2089" s="28"/>
      <c r="AU2089" s="9" t="str">
        <f aca="false">HYPERLINK("https://creighton-primo.hosted.exlibrisgroup.com/primo-explore/search?tab=default_tab&amp;search_scope=EVERYTHING&amp;vid=01CRU&amp;lang=en_US&amp;offset=0&amp;query=any,contains,991005147819702656","Catalog Record")</f>
        <v>Catalog Record</v>
      </c>
      <c r="AV2089" s="9" t="str">
        <f aca="false">HYPERLINK("http://www.worldcat.org/oclc/7672557","WorldCat Record")</f>
        <v>WorldCat Record</v>
      </c>
      <c r="AW2089" s="6" t="s">
        <v>18822</v>
      </c>
      <c r="AX2089" s="6" t="s">
        <v>18823</v>
      </c>
      <c r="AY2089" s="6" t="s">
        <v>18824</v>
      </c>
      <c r="AZ2089" s="6" t="s">
        <v>18824</v>
      </c>
      <c r="BA2089" s="6" t="s">
        <v>18825</v>
      </c>
      <c r="BB2089" s="6" t="s">
        <v>18826</v>
      </c>
      <c r="BC2089" s="6" t="s">
        <v>18827</v>
      </c>
      <c r="BE2089" s="15" t="s">
        <v>2145</v>
      </c>
      <c r="BF2089" s="6" t="s">
        <v>18828</v>
      </c>
    </row>
    <row r="2090" customFormat="false" ht="128.5" hidden="false" customHeight="false" outlineLevel="0" collapsed="false">
      <c r="A2090" s="26" t="s">
        <v>63</v>
      </c>
      <c r="B2090" s="27" t="s">
        <v>2129</v>
      </c>
      <c r="C2090" s="27" t="s">
        <v>2130</v>
      </c>
      <c r="D2090" s="27" t="s">
        <v>18829</v>
      </c>
      <c r="E2090" s="27" t="s">
        <v>18830</v>
      </c>
      <c r="F2090" s="27" t="s">
        <v>18831</v>
      </c>
      <c r="G2090" s="28"/>
      <c r="H2090" s="6" t="s">
        <v>63</v>
      </c>
      <c r="I2090" s="6" t="s">
        <v>62</v>
      </c>
      <c r="J2090" s="6" t="s">
        <v>63</v>
      </c>
      <c r="K2090" s="6" t="s">
        <v>63</v>
      </c>
      <c r="L2090" s="6" t="s">
        <v>64</v>
      </c>
      <c r="M2090" s="27" t="s">
        <v>18832</v>
      </c>
      <c r="N2090" s="27" t="s">
        <v>18833</v>
      </c>
      <c r="O2090" s="6" t="s">
        <v>2693</v>
      </c>
      <c r="P2090" s="28"/>
      <c r="Q2090" s="6" t="s">
        <v>4501</v>
      </c>
      <c r="R2090" s="6" t="s">
        <v>671</v>
      </c>
      <c r="S2090" s="27" t="s">
        <v>18834</v>
      </c>
      <c r="T2090" s="6" t="s">
        <v>6138</v>
      </c>
      <c r="U2090" s="7" t="n">
        <v>1</v>
      </c>
      <c r="V2090" s="7" t="n">
        <v>1</v>
      </c>
      <c r="W2090" s="8" t="s">
        <v>3106</v>
      </c>
      <c r="X2090" s="8" t="s">
        <v>3106</v>
      </c>
      <c r="Y2090" s="8" t="s">
        <v>3906</v>
      </c>
      <c r="Z2090" s="8" t="s">
        <v>3906</v>
      </c>
      <c r="AA2090" s="7" t="n">
        <v>163</v>
      </c>
      <c r="AB2090" s="7" t="n">
        <v>102</v>
      </c>
      <c r="AC2090" s="7" t="n">
        <v>117</v>
      </c>
      <c r="AD2090" s="7" t="n">
        <v>1</v>
      </c>
      <c r="AE2090" s="7" t="n">
        <v>2</v>
      </c>
      <c r="AF2090" s="7" t="n">
        <v>8</v>
      </c>
      <c r="AG2090" s="7" t="n">
        <v>9</v>
      </c>
      <c r="AH2090" s="7" t="n">
        <v>2</v>
      </c>
      <c r="AI2090" s="7" t="n">
        <v>2</v>
      </c>
      <c r="AJ2090" s="7" t="n">
        <v>2</v>
      </c>
      <c r="AK2090" s="7" t="n">
        <v>2</v>
      </c>
      <c r="AL2090" s="7" t="n">
        <v>8</v>
      </c>
      <c r="AM2090" s="7" t="n">
        <v>8</v>
      </c>
      <c r="AN2090" s="7" t="n">
        <v>0</v>
      </c>
      <c r="AO2090" s="7" t="n">
        <v>1</v>
      </c>
      <c r="AP2090" s="7" t="n">
        <v>0</v>
      </c>
      <c r="AQ2090" s="7" t="n">
        <v>0</v>
      </c>
      <c r="AR2090" s="6" t="s">
        <v>63</v>
      </c>
      <c r="AS2090" s="6" t="s">
        <v>57</v>
      </c>
      <c r="AT2090" s="9" t="str">
        <f aca="false">HYPERLINK("http://catalog.hathitrust.org/Record/001383086","HathiTrust Record")</f>
        <v>HathiTrust Record</v>
      </c>
      <c r="AU2090" s="9" t="str">
        <f aca="false">HYPERLINK("https://creighton-primo.hosted.exlibrisgroup.com/primo-explore/search?tab=default_tab&amp;search_scope=EVERYTHING&amp;vid=01CRU&amp;lang=en_US&amp;offset=0&amp;query=any,contains,991003856929702656","Catalog Record")</f>
        <v>Catalog Record</v>
      </c>
      <c r="AV2090" s="9" t="str">
        <f aca="false">HYPERLINK("http://www.worldcat.org/oclc/1656459","WorldCat Record")</f>
        <v>WorldCat Record</v>
      </c>
      <c r="AW2090" s="6" t="s">
        <v>18835</v>
      </c>
      <c r="AX2090" s="6" t="s">
        <v>18836</v>
      </c>
      <c r="AY2090" s="6" t="s">
        <v>18837</v>
      </c>
      <c r="AZ2090" s="6" t="s">
        <v>18837</v>
      </c>
      <c r="BA2090" s="6" t="s">
        <v>18838</v>
      </c>
      <c r="BB2090" s="28"/>
      <c r="BC2090" s="6" t="s">
        <v>18839</v>
      </c>
      <c r="BE2090" s="15" t="s">
        <v>2145</v>
      </c>
      <c r="BF2090" s="6" t="s">
        <v>18840</v>
      </c>
    </row>
    <row r="2091" customFormat="false" ht="163" hidden="false" customHeight="false" outlineLevel="0" collapsed="false">
      <c r="A2091" s="26" t="s">
        <v>63</v>
      </c>
      <c r="B2091" s="27" t="s">
        <v>2129</v>
      </c>
      <c r="C2091" s="27" t="s">
        <v>2130</v>
      </c>
      <c r="D2091" s="27" t="s">
        <v>18841</v>
      </c>
      <c r="E2091" s="27" t="s">
        <v>18842</v>
      </c>
      <c r="F2091" s="27" t="s">
        <v>18843</v>
      </c>
      <c r="G2091" s="28"/>
      <c r="H2091" s="6" t="s">
        <v>63</v>
      </c>
      <c r="I2091" s="6" t="s">
        <v>62</v>
      </c>
      <c r="J2091" s="6" t="s">
        <v>63</v>
      </c>
      <c r="K2091" s="6" t="s">
        <v>63</v>
      </c>
      <c r="L2091" s="6" t="s">
        <v>64</v>
      </c>
      <c r="M2091" s="27" t="s">
        <v>18844</v>
      </c>
      <c r="N2091" s="27" t="s">
        <v>18845</v>
      </c>
      <c r="O2091" s="6" t="s">
        <v>2893</v>
      </c>
      <c r="P2091" s="28"/>
      <c r="Q2091" s="6" t="s">
        <v>67</v>
      </c>
      <c r="R2091" s="6" t="s">
        <v>272</v>
      </c>
      <c r="S2091" s="27" t="s">
        <v>18846</v>
      </c>
      <c r="T2091" s="6" t="s">
        <v>6138</v>
      </c>
      <c r="U2091" s="7" t="n">
        <v>6</v>
      </c>
      <c r="V2091" s="7" t="n">
        <v>6</v>
      </c>
      <c r="W2091" s="8" t="s">
        <v>18847</v>
      </c>
      <c r="X2091" s="8" t="s">
        <v>18847</v>
      </c>
      <c r="Y2091" s="8" t="s">
        <v>4421</v>
      </c>
      <c r="Z2091" s="8" t="s">
        <v>4421</v>
      </c>
      <c r="AA2091" s="7" t="n">
        <v>411</v>
      </c>
      <c r="AB2091" s="7" t="n">
        <v>335</v>
      </c>
      <c r="AC2091" s="7" t="n">
        <v>340</v>
      </c>
      <c r="AD2091" s="7" t="n">
        <v>3</v>
      </c>
      <c r="AE2091" s="7" t="n">
        <v>3</v>
      </c>
      <c r="AF2091" s="7" t="n">
        <v>24</v>
      </c>
      <c r="AG2091" s="7" t="n">
        <v>24</v>
      </c>
      <c r="AH2091" s="7" t="n">
        <v>9</v>
      </c>
      <c r="AI2091" s="7" t="n">
        <v>9</v>
      </c>
      <c r="AJ2091" s="7" t="n">
        <v>5</v>
      </c>
      <c r="AK2091" s="7" t="n">
        <v>5</v>
      </c>
      <c r="AL2091" s="7" t="n">
        <v>13</v>
      </c>
      <c r="AM2091" s="7" t="n">
        <v>13</v>
      </c>
      <c r="AN2091" s="7" t="n">
        <v>2</v>
      </c>
      <c r="AO2091" s="7" t="n">
        <v>2</v>
      </c>
      <c r="AP2091" s="7" t="n">
        <v>3</v>
      </c>
      <c r="AQ2091" s="7" t="n">
        <v>3</v>
      </c>
      <c r="AR2091" s="6" t="s">
        <v>63</v>
      </c>
      <c r="AS2091" s="6" t="s">
        <v>57</v>
      </c>
      <c r="AT2091" s="9" t="str">
        <f aca="false">HYPERLINK("http://catalog.hathitrust.org/Record/000037680","HathiTrust Record")</f>
        <v>HathiTrust Record</v>
      </c>
      <c r="AU2091" s="9" t="str">
        <f aca="false">HYPERLINK("https://creighton-primo.hosted.exlibrisgroup.com/primo-explore/search?tab=default_tab&amp;search_scope=EVERYTHING&amp;vid=01CRU&amp;lang=en_US&amp;offset=0&amp;query=any,contains,991003699879702656","Catalog Record")</f>
        <v>Catalog Record</v>
      </c>
      <c r="AV2091" s="9" t="str">
        <f aca="false">HYPERLINK("http://www.worldcat.org/oclc/1335131","WorldCat Record")</f>
        <v>WorldCat Record</v>
      </c>
      <c r="AW2091" s="6" t="s">
        <v>18848</v>
      </c>
      <c r="AX2091" s="6" t="s">
        <v>18849</v>
      </c>
      <c r="AY2091" s="6" t="s">
        <v>18850</v>
      </c>
      <c r="AZ2091" s="6" t="s">
        <v>18850</v>
      </c>
      <c r="BA2091" s="6" t="s">
        <v>18851</v>
      </c>
      <c r="BB2091" s="6" t="s">
        <v>18852</v>
      </c>
      <c r="BC2091" s="6" t="s">
        <v>18853</v>
      </c>
      <c r="BE2091" s="15" t="s">
        <v>2145</v>
      </c>
      <c r="BF2091" s="6" t="s">
        <v>18854</v>
      </c>
    </row>
    <row r="2092" customFormat="false" ht="140" hidden="false" customHeight="false" outlineLevel="0" collapsed="false">
      <c r="A2092" s="26" t="s">
        <v>63</v>
      </c>
      <c r="B2092" s="27" t="s">
        <v>2129</v>
      </c>
      <c r="C2092" s="27" t="s">
        <v>2130</v>
      </c>
      <c r="D2092" s="27" t="s">
        <v>18855</v>
      </c>
      <c r="E2092" s="27" t="s">
        <v>18856</v>
      </c>
      <c r="F2092" s="27" t="s">
        <v>18857</v>
      </c>
      <c r="G2092" s="28"/>
      <c r="H2092" s="6" t="s">
        <v>57</v>
      </c>
      <c r="I2092" s="6" t="s">
        <v>62</v>
      </c>
      <c r="J2092" s="6" t="s">
        <v>57</v>
      </c>
      <c r="K2092" s="6" t="s">
        <v>63</v>
      </c>
      <c r="L2092" s="6" t="s">
        <v>64</v>
      </c>
      <c r="M2092" s="27" t="s">
        <v>18858</v>
      </c>
      <c r="N2092" s="27" t="s">
        <v>18859</v>
      </c>
      <c r="O2092" s="6" t="s">
        <v>3340</v>
      </c>
      <c r="P2092" s="28"/>
      <c r="Q2092" s="6" t="s">
        <v>67</v>
      </c>
      <c r="R2092" s="6" t="s">
        <v>68</v>
      </c>
      <c r="S2092" s="28"/>
      <c r="T2092" s="6" t="s">
        <v>6138</v>
      </c>
      <c r="U2092" s="7" t="n">
        <v>3</v>
      </c>
      <c r="V2092" s="7" t="n">
        <v>5</v>
      </c>
      <c r="W2092" s="8" t="s">
        <v>18860</v>
      </c>
      <c r="X2092" s="8" t="s">
        <v>18860</v>
      </c>
      <c r="Y2092" s="8" t="s">
        <v>2223</v>
      </c>
      <c r="Z2092" s="8" t="s">
        <v>2223</v>
      </c>
      <c r="AA2092" s="7" t="n">
        <v>1221</v>
      </c>
      <c r="AB2092" s="7" t="n">
        <v>1103</v>
      </c>
      <c r="AC2092" s="7" t="n">
        <v>1173</v>
      </c>
      <c r="AD2092" s="7" t="n">
        <v>10</v>
      </c>
      <c r="AE2092" s="7" t="n">
        <v>10</v>
      </c>
      <c r="AF2092" s="7" t="n">
        <v>48</v>
      </c>
      <c r="AG2092" s="7" t="n">
        <v>49</v>
      </c>
      <c r="AH2092" s="7" t="n">
        <v>19</v>
      </c>
      <c r="AI2092" s="7" t="n">
        <v>20</v>
      </c>
      <c r="AJ2092" s="7" t="n">
        <v>9</v>
      </c>
      <c r="AK2092" s="7" t="n">
        <v>10</v>
      </c>
      <c r="AL2092" s="7" t="n">
        <v>23</v>
      </c>
      <c r="AM2092" s="7" t="n">
        <v>23</v>
      </c>
      <c r="AN2092" s="7" t="n">
        <v>8</v>
      </c>
      <c r="AO2092" s="7" t="n">
        <v>8</v>
      </c>
      <c r="AP2092" s="7" t="n">
        <v>0</v>
      </c>
      <c r="AQ2092" s="7" t="n">
        <v>0</v>
      </c>
      <c r="AR2092" s="6" t="s">
        <v>63</v>
      </c>
      <c r="AS2092" s="6" t="s">
        <v>63</v>
      </c>
      <c r="AT2092" s="28"/>
      <c r="AU2092" s="9" t="str">
        <f aca="false">HYPERLINK("https://creighton-primo.hosted.exlibrisgroup.com/primo-explore/search?tab=default_tab&amp;search_scope=EVERYTHING&amp;vid=01CRU&amp;lang=en_US&amp;offset=0&amp;query=any,contains,991003951839702656","Catalog Record")</f>
        <v>Catalog Record</v>
      </c>
      <c r="AV2092" s="9" t="str">
        <f aca="false">HYPERLINK("http://www.worldcat.org/oclc/1958381","WorldCat Record")</f>
        <v>WorldCat Record</v>
      </c>
      <c r="AW2092" s="6" t="s">
        <v>18861</v>
      </c>
      <c r="AX2092" s="6" t="s">
        <v>18862</v>
      </c>
      <c r="AY2092" s="6" t="s">
        <v>18863</v>
      </c>
      <c r="AZ2092" s="6" t="s">
        <v>18863</v>
      </c>
      <c r="BA2092" s="6" t="s">
        <v>18864</v>
      </c>
      <c r="BB2092" s="6" t="s">
        <v>18865</v>
      </c>
      <c r="BC2092" s="6" t="s">
        <v>18866</v>
      </c>
      <c r="BE2092" s="15" t="s">
        <v>2145</v>
      </c>
      <c r="BF2092" s="6" t="s">
        <v>18867</v>
      </c>
    </row>
    <row r="2093" customFormat="false" ht="140" hidden="false" customHeight="false" outlineLevel="0" collapsed="false">
      <c r="A2093" s="26" t="s">
        <v>63</v>
      </c>
      <c r="B2093" s="27" t="s">
        <v>2129</v>
      </c>
      <c r="C2093" s="27" t="s">
        <v>2130</v>
      </c>
      <c r="D2093" s="27" t="s">
        <v>18868</v>
      </c>
      <c r="E2093" s="27" t="s">
        <v>18869</v>
      </c>
      <c r="F2093" s="27" t="s">
        <v>18857</v>
      </c>
      <c r="G2093" s="28"/>
      <c r="H2093" s="6" t="s">
        <v>57</v>
      </c>
      <c r="I2093" s="6" t="s">
        <v>62</v>
      </c>
      <c r="J2093" s="6" t="s">
        <v>57</v>
      </c>
      <c r="K2093" s="6" t="s">
        <v>63</v>
      </c>
      <c r="L2093" s="6" t="s">
        <v>64</v>
      </c>
      <c r="M2093" s="27" t="s">
        <v>18858</v>
      </c>
      <c r="N2093" s="27" t="s">
        <v>18859</v>
      </c>
      <c r="O2093" s="6" t="s">
        <v>3340</v>
      </c>
      <c r="P2093" s="28"/>
      <c r="Q2093" s="6" t="s">
        <v>67</v>
      </c>
      <c r="R2093" s="6" t="s">
        <v>68</v>
      </c>
      <c r="S2093" s="28"/>
      <c r="T2093" s="6" t="s">
        <v>6138</v>
      </c>
      <c r="U2093" s="7" t="n">
        <v>2</v>
      </c>
      <c r="V2093" s="7" t="n">
        <v>5</v>
      </c>
      <c r="W2093" s="28"/>
      <c r="X2093" s="8" t="s">
        <v>18860</v>
      </c>
      <c r="Y2093" s="8" t="s">
        <v>2223</v>
      </c>
      <c r="Z2093" s="8" t="s">
        <v>2223</v>
      </c>
      <c r="AA2093" s="7" t="n">
        <v>1221</v>
      </c>
      <c r="AB2093" s="7" t="n">
        <v>1103</v>
      </c>
      <c r="AC2093" s="7" t="n">
        <v>1173</v>
      </c>
      <c r="AD2093" s="7" t="n">
        <v>10</v>
      </c>
      <c r="AE2093" s="7" t="n">
        <v>10</v>
      </c>
      <c r="AF2093" s="7" t="n">
        <v>48</v>
      </c>
      <c r="AG2093" s="7" t="n">
        <v>49</v>
      </c>
      <c r="AH2093" s="7" t="n">
        <v>19</v>
      </c>
      <c r="AI2093" s="7" t="n">
        <v>20</v>
      </c>
      <c r="AJ2093" s="7" t="n">
        <v>9</v>
      </c>
      <c r="AK2093" s="7" t="n">
        <v>10</v>
      </c>
      <c r="AL2093" s="7" t="n">
        <v>23</v>
      </c>
      <c r="AM2093" s="7" t="n">
        <v>23</v>
      </c>
      <c r="AN2093" s="7" t="n">
        <v>8</v>
      </c>
      <c r="AO2093" s="7" t="n">
        <v>8</v>
      </c>
      <c r="AP2093" s="7" t="n">
        <v>0</v>
      </c>
      <c r="AQ2093" s="7" t="n">
        <v>0</v>
      </c>
      <c r="AR2093" s="6" t="s">
        <v>63</v>
      </c>
      <c r="AS2093" s="6" t="s">
        <v>63</v>
      </c>
      <c r="AT2093" s="28"/>
      <c r="AU2093" s="9" t="str">
        <f aca="false">HYPERLINK("https://creighton-primo.hosted.exlibrisgroup.com/primo-explore/search?tab=default_tab&amp;search_scope=EVERYTHING&amp;vid=01CRU&amp;lang=en_US&amp;offset=0&amp;query=any,contains,991003951839702656","Catalog Record")</f>
        <v>Catalog Record</v>
      </c>
      <c r="AV2093" s="9" t="str">
        <f aca="false">HYPERLINK("http://www.worldcat.org/oclc/1958381","WorldCat Record")</f>
        <v>WorldCat Record</v>
      </c>
      <c r="AW2093" s="6" t="s">
        <v>18861</v>
      </c>
      <c r="AX2093" s="6" t="s">
        <v>18862</v>
      </c>
      <c r="AY2093" s="6" t="s">
        <v>18863</v>
      </c>
      <c r="AZ2093" s="6" t="s">
        <v>18863</v>
      </c>
      <c r="BA2093" s="6" t="s">
        <v>18864</v>
      </c>
      <c r="BB2093" s="6" t="s">
        <v>18865</v>
      </c>
      <c r="BC2093" s="6" t="s">
        <v>18870</v>
      </c>
      <c r="BE2093" s="15" t="s">
        <v>2145</v>
      </c>
      <c r="BF2093" s="6" t="s">
        <v>18871</v>
      </c>
    </row>
    <row r="2094" customFormat="false" ht="186" hidden="false" customHeight="false" outlineLevel="0" collapsed="false">
      <c r="A2094" s="26" t="s">
        <v>63</v>
      </c>
      <c r="B2094" s="27" t="s">
        <v>2129</v>
      </c>
      <c r="C2094" s="27" t="s">
        <v>2130</v>
      </c>
      <c r="D2094" s="27" t="s">
        <v>18872</v>
      </c>
      <c r="E2094" s="27" t="s">
        <v>18873</v>
      </c>
      <c r="F2094" s="27" t="s">
        <v>18874</v>
      </c>
      <c r="G2094" s="28"/>
      <c r="H2094" s="6" t="s">
        <v>63</v>
      </c>
      <c r="I2094" s="6" t="s">
        <v>62</v>
      </c>
      <c r="J2094" s="6" t="s">
        <v>63</v>
      </c>
      <c r="K2094" s="6" t="s">
        <v>63</v>
      </c>
      <c r="L2094" s="6" t="s">
        <v>64</v>
      </c>
      <c r="M2094" s="27" t="s">
        <v>18875</v>
      </c>
      <c r="N2094" s="27" t="s">
        <v>18876</v>
      </c>
      <c r="O2094" s="6" t="s">
        <v>233</v>
      </c>
      <c r="P2094" s="27" t="s">
        <v>255</v>
      </c>
      <c r="Q2094" s="6" t="s">
        <v>67</v>
      </c>
      <c r="R2094" s="6" t="s">
        <v>68</v>
      </c>
      <c r="S2094" s="28"/>
      <c r="T2094" s="6" t="s">
        <v>6138</v>
      </c>
      <c r="U2094" s="7" t="n">
        <v>1</v>
      </c>
      <c r="V2094" s="7" t="n">
        <v>1</v>
      </c>
      <c r="W2094" s="8" t="s">
        <v>18877</v>
      </c>
      <c r="X2094" s="8" t="s">
        <v>18877</v>
      </c>
      <c r="Y2094" s="8" t="s">
        <v>2223</v>
      </c>
      <c r="Z2094" s="8" t="s">
        <v>2223</v>
      </c>
      <c r="AA2094" s="7" t="n">
        <v>575</v>
      </c>
      <c r="AB2094" s="7" t="n">
        <v>545</v>
      </c>
      <c r="AC2094" s="7" t="n">
        <v>683</v>
      </c>
      <c r="AD2094" s="7" t="n">
        <v>5</v>
      </c>
      <c r="AE2094" s="7" t="n">
        <v>6</v>
      </c>
      <c r="AF2094" s="7" t="n">
        <v>23</v>
      </c>
      <c r="AG2094" s="7" t="n">
        <v>27</v>
      </c>
      <c r="AH2094" s="7" t="n">
        <v>7</v>
      </c>
      <c r="AI2094" s="7" t="n">
        <v>10</v>
      </c>
      <c r="AJ2094" s="7" t="n">
        <v>4</v>
      </c>
      <c r="AK2094" s="7" t="n">
        <v>4</v>
      </c>
      <c r="AL2094" s="7" t="n">
        <v>15</v>
      </c>
      <c r="AM2094" s="7" t="n">
        <v>15</v>
      </c>
      <c r="AN2094" s="7" t="n">
        <v>3</v>
      </c>
      <c r="AO2094" s="7" t="n">
        <v>4</v>
      </c>
      <c r="AP2094" s="7" t="n">
        <v>1</v>
      </c>
      <c r="AQ2094" s="7" t="n">
        <v>1</v>
      </c>
      <c r="AR2094" s="6" t="s">
        <v>63</v>
      </c>
      <c r="AS2094" s="6" t="s">
        <v>57</v>
      </c>
      <c r="AT2094" s="9" t="str">
        <f aca="false">HYPERLINK("http://catalog.hathitrust.org/Record/001383114","HathiTrust Record")</f>
        <v>HathiTrust Record</v>
      </c>
      <c r="AU2094" s="9" t="str">
        <f aca="false">HYPERLINK("https://creighton-primo.hosted.exlibrisgroup.com/primo-explore/search?tab=default_tab&amp;search_scope=EVERYTHING&amp;vid=01CRU&amp;lang=en_US&amp;offset=0&amp;query=any,contains,991004331589702656","Catalog Record")</f>
        <v>Catalog Record</v>
      </c>
      <c r="AV2094" s="9" t="str">
        <f aca="false">HYPERLINK("http://www.worldcat.org/oclc/3062292","WorldCat Record")</f>
        <v>WorldCat Record</v>
      </c>
      <c r="AW2094" s="6" t="s">
        <v>18878</v>
      </c>
      <c r="AX2094" s="6" t="s">
        <v>18879</v>
      </c>
      <c r="AY2094" s="6" t="s">
        <v>18880</v>
      </c>
      <c r="AZ2094" s="6" t="s">
        <v>18880</v>
      </c>
      <c r="BA2094" s="6" t="s">
        <v>18881</v>
      </c>
      <c r="BB2094" s="28"/>
      <c r="BC2094" s="6" t="s">
        <v>18882</v>
      </c>
      <c r="BE2094" s="15" t="s">
        <v>2145</v>
      </c>
      <c r="BF2094" s="6" t="s">
        <v>18883</v>
      </c>
    </row>
    <row r="2095" customFormat="false" ht="151.5" hidden="false" customHeight="false" outlineLevel="0" collapsed="false">
      <c r="A2095" s="26" t="s">
        <v>63</v>
      </c>
      <c r="B2095" s="27" t="s">
        <v>2129</v>
      </c>
      <c r="C2095" s="27" t="s">
        <v>2130</v>
      </c>
      <c r="D2095" s="27" t="s">
        <v>18884</v>
      </c>
      <c r="E2095" s="27" t="s">
        <v>18885</v>
      </c>
      <c r="F2095" s="27" t="s">
        <v>18886</v>
      </c>
      <c r="G2095" s="28"/>
      <c r="H2095" s="6" t="s">
        <v>63</v>
      </c>
      <c r="I2095" s="6" t="s">
        <v>62</v>
      </c>
      <c r="J2095" s="6" t="s">
        <v>63</v>
      </c>
      <c r="K2095" s="6" t="s">
        <v>63</v>
      </c>
      <c r="L2095" s="6" t="s">
        <v>64</v>
      </c>
      <c r="M2095" s="27" t="s">
        <v>18887</v>
      </c>
      <c r="N2095" s="27" t="s">
        <v>18888</v>
      </c>
      <c r="O2095" s="6" t="s">
        <v>180</v>
      </c>
      <c r="P2095" s="28"/>
      <c r="Q2095" s="6" t="s">
        <v>67</v>
      </c>
      <c r="R2095" s="6" t="s">
        <v>123</v>
      </c>
      <c r="S2095" s="27" t="s">
        <v>18889</v>
      </c>
      <c r="T2095" s="6" t="s">
        <v>6138</v>
      </c>
      <c r="U2095" s="7" t="n">
        <v>2</v>
      </c>
      <c r="V2095" s="7" t="n">
        <v>2</v>
      </c>
      <c r="W2095" s="8" t="s">
        <v>18890</v>
      </c>
      <c r="X2095" s="8" t="s">
        <v>18890</v>
      </c>
      <c r="Y2095" s="8" t="s">
        <v>2223</v>
      </c>
      <c r="Z2095" s="8" t="s">
        <v>2223</v>
      </c>
      <c r="AA2095" s="7" t="n">
        <v>416</v>
      </c>
      <c r="AB2095" s="7" t="n">
        <v>375</v>
      </c>
      <c r="AC2095" s="7" t="n">
        <v>666</v>
      </c>
      <c r="AD2095" s="7" t="n">
        <v>3</v>
      </c>
      <c r="AE2095" s="7" t="n">
        <v>4</v>
      </c>
      <c r="AF2095" s="7" t="n">
        <v>20</v>
      </c>
      <c r="AG2095" s="7" t="n">
        <v>36</v>
      </c>
      <c r="AH2095" s="7" t="n">
        <v>6</v>
      </c>
      <c r="AI2095" s="7" t="n">
        <v>15</v>
      </c>
      <c r="AJ2095" s="7" t="n">
        <v>6</v>
      </c>
      <c r="AK2095" s="7" t="n">
        <v>11</v>
      </c>
      <c r="AL2095" s="7" t="n">
        <v>11</v>
      </c>
      <c r="AM2095" s="7" t="n">
        <v>19</v>
      </c>
      <c r="AN2095" s="7" t="n">
        <v>2</v>
      </c>
      <c r="AO2095" s="7" t="n">
        <v>3</v>
      </c>
      <c r="AP2095" s="7" t="n">
        <v>0</v>
      </c>
      <c r="AQ2095" s="7" t="n">
        <v>0</v>
      </c>
      <c r="AR2095" s="6" t="s">
        <v>57</v>
      </c>
      <c r="AS2095" s="6" t="s">
        <v>63</v>
      </c>
      <c r="AT2095" s="9" t="str">
        <f aca="false">HYPERLINK("http://catalog.hathitrust.org/Record/006230703","HathiTrust Record")</f>
        <v>HathiTrust Record</v>
      </c>
      <c r="AU2095" s="9" t="str">
        <f aca="false">HYPERLINK("https://creighton-primo.hosted.exlibrisgroup.com/primo-explore/search?tab=default_tab&amp;search_scope=EVERYTHING&amp;vid=01CRU&amp;lang=en_US&amp;offset=0&amp;query=any,contains,991003748329702656","Catalog Record")</f>
        <v>Catalog Record</v>
      </c>
      <c r="AV2095" s="9" t="str">
        <f aca="false">HYPERLINK("http://www.worldcat.org/oclc/1421620","WorldCat Record")</f>
        <v>WorldCat Record</v>
      </c>
      <c r="AW2095" s="6" t="s">
        <v>18891</v>
      </c>
      <c r="AX2095" s="6" t="s">
        <v>18892</v>
      </c>
      <c r="AY2095" s="6" t="s">
        <v>18893</v>
      </c>
      <c r="AZ2095" s="6" t="s">
        <v>18893</v>
      </c>
      <c r="BA2095" s="6" t="s">
        <v>18894</v>
      </c>
      <c r="BB2095" s="28"/>
      <c r="BC2095" s="6" t="s">
        <v>18895</v>
      </c>
      <c r="BE2095" s="15" t="s">
        <v>2145</v>
      </c>
      <c r="BF2095" s="6" t="s">
        <v>18896</v>
      </c>
    </row>
    <row r="2096" customFormat="false" ht="151.5" hidden="false" customHeight="false" outlineLevel="0" collapsed="false">
      <c r="A2096" s="26" t="s">
        <v>63</v>
      </c>
      <c r="B2096" s="27" t="s">
        <v>2129</v>
      </c>
      <c r="C2096" s="27" t="s">
        <v>2130</v>
      </c>
      <c r="D2096" s="27" t="s">
        <v>18897</v>
      </c>
      <c r="E2096" s="27" t="s">
        <v>18898</v>
      </c>
      <c r="F2096" s="27" t="s">
        <v>18899</v>
      </c>
      <c r="G2096" s="28"/>
      <c r="H2096" s="6" t="s">
        <v>63</v>
      </c>
      <c r="I2096" s="6" t="s">
        <v>62</v>
      </c>
      <c r="J2096" s="6" t="s">
        <v>63</v>
      </c>
      <c r="K2096" s="6" t="s">
        <v>63</v>
      </c>
      <c r="L2096" s="6" t="s">
        <v>64</v>
      </c>
      <c r="M2096" s="27" t="s">
        <v>18887</v>
      </c>
      <c r="N2096" s="27" t="s">
        <v>18900</v>
      </c>
      <c r="O2096" s="6" t="s">
        <v>3029</v>
      </c>
      <c r="P2096" s="28"/>
      <c r="Q2096" s="6" t="s">
        <v>67</v>
      </c>
      <c r="R2096" s="6" t="s">
        <v>123</v>
      </c>
      <c r="S2096" s="27" t="s">
        <v>18901</v>
      </c>
      <c r="T2096" s="6" t="s">
        <v>6138</v>
      </c>
      <c r="U2096" s="7" t="n">
        <v>1</v>
      </c>
      <c r="V2096" s="7" t="n">
        <v>1</v>
      </c>
      <c r="W2096" s="8" t="s">
        <v>18902</v>
      </c>
      <c r="X2096" s="8" t="s">
        <v>18902</v>
      </c>
      <c r="Y2096" s="8" t="s">
        <v>2223</v>
      </c>
      <c r="Z2096" s="8" t="s">
        <v>2223</v>
      </c>
      <c r="AA2096" s="7" t="n">
        <v>317</v>
      </c>
      <c r="AB2096" s="7" t="n">
        <v>270</v>
      </c>
      <c r="AC2096" s="7" t="n">
        <v>275</v>
      </c>
      <c r="AD2096" s="7" t="n">
        <v>2</v>
      </c>
      <c r="AE2096" s="7" t="n">
        <v>2</v>
      </c>
      <c r="AF2096" s="7" t="n">
        <v>17</v>
      </c>
      <c r="AG2096" s="7" t="n">
        <v>17</v>
      </c>
      <c r="AH2096" s="7" t="n">
        <v>6</v>
      </c>
      <c r="AI2096" s="7" t="n">
        <v>6</v>
      </c>
      <c r="AJ2096" s="7" t="n">
        <v>4</v>
      </c>
      <c r="AK2096" s="7" t="n">
        <v>4</v>
      </c>
      <c r="AL2096" s="7" t="n">
        <v>13</v>
      </c>
      <c r="AM2096" s="7" t="n">
        <v>13</v>
      </c>
      <c r="AN2096" s="7" t="n">
        <v>1</v>
      </c>
      <c r="AO2096" s="7" t="n">
        <v>1</v>
      </c>
      <c r="AP2096" s="7" t="n">
        <v>0</v>
      </c>
      <c r="AQ2096" s="7" t="n">
        <v>0</v>
      </c>
      <c r="AR2096" s="6" t="s">
        <v>63</v>
      </c>
      <c r="AS2096" s="6" t="s">
        <v>57</v>
      </c>
      <c r="AT2096" s="9" t="str">
        <f aca="false">HYPERLINK("http://catalog.hathitrust.org/Record/006054734","HathiTrust Record")</f>
        <v>HathiTrust Record</v>
      </c>
      <c r="AU2096" s="9" t="str">
        <f aca="false">HYPERLINK("https://creighton-primo.hosted.exlibrisgroup.com/primo-explore/search?tab=default_tab&amp;search_scope=EVERYTHING&amp;vid=01CRU&amp;lang=en_US&amp;offset=0&amp;query=any,contains,991002555219702656","Catalog Record")</f>
        <v>Catalog Record</v>
      </c>
      <c r="AV2096" s="9" t="str">
        <f aca="false">HYPERLINK("http://www.worldcat.org/oclc/371009","WorldCat Record")</f>
        <v>WorldCat Record</v>
      </c>
      <c r="AW2096" s="6" t="s">
        <v>18903</v>
      </c>
      <c r="AX2096" s="6" t="s">
        <v>18904</v>
      </c>
      <c r="AY2096" s="6" t="s">
        <v>18905</v>
      </c>
      <c r="AZ2096" s="6" t="s">
        <v>18905</v>
      </c>
      <c r="BA2096" s="6" t="s">
        <v>18906</v>
      </c>
      <c r="BB2096" s="28"/>
      <c r="BC2096" s="6" t="s">
        <v>18907</v>
      </c>
      <c r="BE2096" s="15" t="s">
        <v>2145</v>
      </c>
      <c r="BF2096" s="6" t="s">
        <v>18908</v>
      </c>
    </row>
    <row r="2097" customFormat="false" ht="94" hidden="false" customHeight="false" outlineLevel="0" collapsed="false">
      <c r="A2097" s="26" t="s">
        <v>63</v>
      </c>
      <c r="B2097" s="27" t="s">
        <v>2129</v>
      </c>
      <c r="C2097" s="27" t="s">
        <v>2130</v>
      </c>
      <c r="D2097" s="27" t="s">
        <v>18909</v>
      </c>
      <c r="E2097" s="27" t="s">
        <v>18910</v>
      </c>
      <c r="F2097" s="27" t="s">
        <v>18911</v>
      </c>
      <c r="G2097" s="28"/>
      <c r="H2097" s="6" t="s">
        <v>63</v>
      </c>
      <c r="I2097" s="6" t="s">
        <v>62</v>
      </c>
      <c r="J2097" s="6" t="s">
        <v>63</v>
      </c>
      <c r="K2097" s="6" t="s">
        <v>63</v>
      </c>
      <c r="L2097" s="6" t="s">
        <v>64</v>
      </c>
      <c r="M2097" s="27" t="s">
        <v>18912</v>
      </c>
      <c r="N2097" s="27" t="s">
        <v>18913</v>
      </c>
      <c r="O2097" s="6" t="s">
        <v>2623</v>
      </c>
      <c r="P2097" s="28"/>
      <c r="Q2097" s="6" t="s">
        <v>67</v>
      </c>
      <c r="R2097" s="6" t="s">
        <v>222</v>
      </c>
      <c r="S2097" s="28"/>
      <c r="T2097" s="6" t="s">
        <v>6138</v>
      </c>
      <c r="U2097" s="7" t="n">
        <v>4</v>
      </c>
      <c r="V2097" s="7" t="n">
        <v>4</v>
      </c>
      <c r="W2097" s="8" t="s">
        <v>18914</v>
      </c>
      <c r="X2097" s="8" t="s">
        <v>18914</v>
      </c>
      <c r="Y2097" s="8" t="s">
        <v>16765</v>
      </c>
      <c r="Z2097" s="8" t="s">
        <v>16765</v>
      </c>
      <c r="AA2097" s="7" t="n">
        <v>453</v>
      </c>
      <c r="AB2097" s="7" t="n">
        <v>390</v>
      </c>
      <c r="AC2097" s="7" t="n">
        <v>396</v>
      </c>
      <c r="AD2097" s="7" t="n">
        <v>3</v>
      </c>
      <c r="AE2097" s="7" t="n">
        <v>3</v>
      </c>
      <c r="AF2097" s="7" t="n">
        <v>21</v>
      </c>
      <c r="AG2097" s="7" t="n">
        <v>21</v>
      </c>
      <c r="AH2097" s="7" t="n">
        <v>8</v>
      </c>
      <c r="AI2097" s="7" t="n">
        <v>8</v>
      </c>
      <c r="AJ2097" s="7" t="n">
        <v>7</v>
      </c>
      <c r="AK2097" s="7" t="n">
        <v>7</v>
      </c>
      <c r="AL2097" s="7" t="n">
        <v>11</v>
      </c>
      <c r="AM2097" s="7" t="n">
        <v>11</v>
      </c>
      <c r="AN2097" s="7" t="n">
        <v>2</v>
      </c>
      <c r="AO2097" s="7" t="n">
        <v>2</v>
      </c>
      <c r="AP2097" s="7" t="n">
        <v>0</v>
      </c>
      <c r="AQ2097" s="7" t="n">
        <v>0</v>
      </c>
      <c r="AR2097" s="6" t="s">
        <v>63</v>
      </c>
      <c r="AS2097" s="6" t="s">
        <v>57</v>
      </c>
      <c r="AT2097" s="9" t="str">
        <f aca="false">HYPERLINK("http://catalog.hathitrust.org/Record/000083477","HathiTrust Record")</f>
        <v>HathiTrust Record</v>
      </c>
      <c r="AU2097" s="9" t="str">
        <f aca="false">HYPERLINK("https://creighton-primo.hosted.exlibrisgroup.com/primo-explore/search?tab=default_tab&amp;search_scope=EVERYTHING&amp;vid=01CRU&amp;lang=en_US&amp;offset=0&amp;query=any,contains,991004956799702656","Catalog Record")</f>
        <v>Catalog Record</v>
      </c>
      <c r="AV2097" s="9" t="str">
        <f aca="false">HYPERLINK("http://www.worldcat.org/oclc/6280583","WorldCat Record")</f>
        <v>WorldCat Record</v>
      </c>
      <c r="AW2097" s="6" t="s">
        <v>18915</v>
      </c>
      <c r="AX2097" s="6" t="s">
        <v>18916</v>
      </c>
      <c r="AY2097" s="6" t="s">
        <v>18917</v>
      </c>
      <c r="AZ2097" s="6" t="s">
        <v>18917</v>
      </c>
      <c r="BA2097" s="6" t="s">
        <v>18918</v>
      </c>
      <c r="BB2097" s="6" t="s">
        <v>18919</v>
      </c>
      <c r="BC2097" s="6" t="s">
        <v>18920</v>
      </c>
      <c r="BE2097" s="15" t="s">
        <v>2145</v>
      </c>
      <c r="BF2097" s="6" t="s">
        <v>18921</v>
      </c>
    </row>
    <row r="2098" customFormat="false" ht="105.5" hidden="false" customHeight="false" outlineLevel="0" collapsed="false">
      <c r="A2098" s="26" t="s">
        <v>57</v>
      </c>
      <c r="B2098" s="27" t="s">
        <v>2129</v>
      </c>
      <c r="C2098" s="27" t="s">
        <v>2130</v>
      </c>
      <c r="D2098" s="27" t="s">
        <v>18922</v>
      </c>
      <c r="E2098" s="27" t="s">
        <v>18923</v>
      </c>
      <c r="F2098" s="27" t="s">
        <v>18924</v>
      </c>
      <c r="G2098" s="28"/>
      <c r="H2098" s="6" t="s">
        <v>63</v>
      </c>
      <c r="I2098" s="6" t="s">
        <v>62</v>
      </c>
      <c r="J2098" s="6" t="s">
        <v>63</v>
      </c>
      <c r="K2098" s="6" t="s">
        <v>63</v>
      </c>
      <c r="L2098" s="6" t="s">
        <v>64</v>
      </c>
      <c r="M2098" s="27" t="s">
        <v>18925</v>
      </c>
      <c r="N2098" s="27" t="s">
        <v>18926</v>
      </c>
      <c r="O2098" s="6" t="s">
        <v>2343</v>
      </c>
      <c r="P2098" s="27" t="s">
        <v>18927</v>
      </c>
      <c r="Q2098" s="6" t="s">
        <v>67</v>
      </c>
      <c r="R2098" s="6" t="s">
        <v>1059</v>
      </c>
      <c r="S2098" s="28"/>
      <c r="T2098" s="6" t="s">
        <v>6138</v>
      </c>
      <c r="U2098" s="7" t="n">
        <v>2</v>
      </c>
      <c r="V2098" s="7" t="n">
        <v>2</v>
      </c>
      <c r="W2098" s="8" t="s">
        <v>18928</v>
      </c>
      <c r="X2098" s="8" t="s">
        <v>18928</v>
      </c>
      <c r="Y2098" s="8" t="s">
        <v>18929</v>
      </c>
      <c r="Z2098" s="8" t="s">
        <v>18929</v>
      </c>
      <c r="AA2098" s="7" t="n">
        <v>269</v>
      </c>
      <c r="AB2098" s="7" t="n">
        <v>252</v>
      </c>
      <c r="AC2098" s="7" t="n">
        <v>959</v>
      </c>
      <c r="AD2098" s="7" t="n">
        <v>2</v>
      </c>
      <c r="AE2098" s="7" t="n">
        <v>5</v>
      </c>
      <c r="AF2098" s="7" t="n">
        <v>8</v>
      </c>
      <c r="AG2098" s="7" t="n">
        <v>37</v>
      </c>
      <c r="AH2098" s="7" t="n">
        <v>4</v>
      </c>
      <c r="AI2098" s="7" t="n">
        <v>15</v>
      </c>
      <c r="AJ2098" s="7" t="n">
        <v>4</v>
      </c>
      <c r="AK2098" s="7" t="n">
        <v>8</v>
      </c>
      <c r="AL2098" s="7" t="n">
        <v>1</v>
      </c>
      <c r="AM2098" s="7" t="n">
        <v>13</v>
      </c>
      <c r="AN2098" s="7" t="n">
        <v>1</v>
      </c>
      <c r="AO2098" s="7" t="n">
        <v>4</v>
      </c>
      <c r="AP2098" s="7" t="n">
        <v>0</v>
      </c>
      <c r="AQ2098" s="7" t="n">
        <v>6</v>
      </c>
      <c r="AR2098" s="6" t="s">
        <v>63</v>
      </c>
      <c r="AS2098" s="6" t="s">
        <v>63</v>
      </c>
      <c r="AT2098" s="28"/>
      <c r="AU2098" s="9" t="str">
        <f aca="false">HYPERLINK("https://creighton-primo.hosted.exlibrisgroup.com/primo-explore/search?tab=default_tab&amp;search_scope=EVERYTHING&amp;vid=01CRU&amp;lang=en_US&amp;offset=0&amp;query=any,contains,991005068509702656","Catalog Record")</f>
        <v>Catalog Record</v>
      </c>
      <c r="AV2098" s="9" t="str">
        <f aca="false">HYPERLINK("http://www.worldcat.org/oclc/6982685","WorldCat Record")</f>
        <v>WorldCat Record</v>
      </c>
      <c r="AW2098" s="6" t="s">
        <v>18930</v>
      </c>
      <c r="AX2098" s="6" t="s">
        <v>18931</v>
      </c>
      <c r="AY2098" s="6" t="s">
        <v>18932</v>
      </c>
      <c r="AZ2098" s="6" t="s">
        <v>18932</v>
      </c>
      <c r="BA2098" s="6" t="s">
        <v>18933</v>
      </c>
      <c r="BB2098" s="6" t="s">
        <v>18934</v>
      </c>
      <c r="BC2098" s="6" t="s">
        <v>18935</v>
      </c>
      <c r="BE2098" s="15" t="s">
        <v>2145</v>
      </c>
      <c r="BF2098" s="6" t="s">
        <v>18936</v>
      </c>
    </row>
    <row r="2099" customFormat="false" ht="117" hidden="false" customHeight="false" outlineLevel="0" collapsed="false">
      <c r="A2099" s="26" t="s">
        <v>63</v>
      </c>
      <c r="B2099" s="27" t="s">
        <v>2129</v>
      </c>
      <c r="C2099" s="27" t="s">
        <v>2130</v>
      </c>
      <c r="D2099" s="27" t="s">
        <v>18937</v>
      </c>
      <c r="E2099" s="27" t="s">
        <v>18938</v>
      </c>
      <c r="F2099" s="27" t="s">
        <v>18939</v>
      </c>
      <c r="G2099" s="28"/>
      <c r="H2099" s="6" t="s">
        <v>63</v>
      </c>
      <c r="I2099" s="6" t="s">
        <v>62</v>
      </c>
      <c r="J2099" s="6" t="s">
        <v>63</v>
      </c>
      <c r="K2099" s="6" t="s">
        <v>63</v>
      </c>
      <c r="L2099" s="6" t="s">
        <v>64</v>
      </c>
      <c r="M2099" s="27" t="s">
        <v>18940</v>
      </c>
      <c r="N2099" s="27" t="s">
        <v>10383</v>
      </c>
      <c r="O2099" s="6" t="s">
        <v>3301</v>
      </c>
      <c r="P2099" s="28"/>
      <c r="Q2099" s="6" t="s">
        <v>67</v>
      </c>
      <c r="R2099" s="6" t="s">
        <v>2288</v>
      </c>
      <c r="S2099" s="28"/>
      <c r="T2099" s="6" t="s">
        <v>6138</v>
      </c>
      <c r="U2099" s="7" t="n">
        <v>3</v>
      </c>
      <c r="V2099" s="7" t="n">
        <v>3</v>
      </c>
      <c r="W2099" s="8" t="s">
        <v>18941</v>
      </c>
      <c r="X2099" s="8" t="s">
        <v>18941</v>
      </c>
      <c r="Y2099" s="8" t="s">
        <v>2223</v>
      </c>
      <c r="Z2099" s="8" t="s">
        <v>2223</v>
      </c>
      <c r="AA2099" s="7" t="n">
        <v>213</v>
      </c>
      <c r="AB2099" s="7" t="n">
        <v>202</v>
      </c>
      <c r="AC2099" s="7" t="n">
        <v>202</v>
      </c>
      <c r="AD2099" s="7" t="n">
        <v>3</v>
      </c>
      <c r="AE2099" s="7" t="n">
        <v>3</v>
      </c>
      <c r="AF2099" s="7" t="n">
        <v>14</v>
      </c>
      <c r="AG2099" s="7" t="n">
        <v>14</v>
      </c>
      <c r="AH2099" s="7" t="n">
        <v>3</v>
      </c>
      <c r="AI2099" s="7" t="n">
        <v>3</v>
      </c>
      <c r="AJ2099" s="7" t="n">
        <v>5</v>
      </c>
      <c r="AK2099" s="7" t="n">
        <v>5</v>
      </c>
      <c r="AL2099" s="7" t="n">
        <v>9</v>
      </c>
      <c r="AM2099" s="7" t="n">
        <v>9</v>
      </c>
      <c r="AN2099" s="7" t="n">
        <v>2</v>
      </c>
      <c r="AO2099" s="7" t="n">
        <v>2</v>
      </c>
      <c r="AP2099" s="7" t="n">
        <v>0</v>
      </c>
      <c r="AQ2099" s="7" t="n">
        <v>0</v>
      </c>
      <c r="AR2099" s="6" t="s">
        <v>63</v>
      </c>
      <c r="AS2099" s="6" t="s">
        <v>63</v>
      </c>
      <c r="AT2099" s="28"/>
      <c r="AU2099" s="9" t="str">
        <f aca="false">HYPERLINK("https://creighton-primo.hosted.exlibrisgroup.com/primo-explore/search?tab=default_tab&amp;search_scope=EVERYTHING&amp;vid=01CRU&amp;lang=en_US&amp;offset=0&amp;query=any,contains,991005247239702656","Catalog Record")</f>
        <v>Catalog Record</v>
      </c>
      <c r="AV2099" s="9" t="str">
        <f aca="false">HYPERLINK("http://www.worldcat.org/oclc/8474112","WorldCat Record")</f>
        <v>WorldCat Record</v>
      </c>
      <c r="AW2099" s="6" t="s">
        <v>18942</v>
      </c>
      <c r="AX2099" s="6" t="s">
        <v>18943</v>
      </c>
      <c r="AY2099" s="6" t="s">
        <v>18944</v>
      </c>
      <c r="AZ2099" s="6" t="s">
        <v>18944</v>
      </c>
      <c r="BA2099" s="6" t="s">
        <v>18945</v>
      </c>
      <c r="BB2099" s="6" t="s">
        <v>18946</v>
      </c>
      <c r="BC2099" s="6" t="s">
        <v>18947</v>
      </c>
      <c r="BE2099" s="15" t="s">
        <v>2145</v>
      </c>
      <c r="BF2099" s="6" t="s">
        <v>18948</v>
      </c>
    </row>
    <row r="2100" customFormat="false" ht="151.5" hidden="false" customHeight="false" outlineLevel="0" collapsed="false">
      <c r="A2100" s="26" t="s">
        <v>63</v>
      </c>
      <c r="B2100" s="27" t="s">
        <v>2129</v>
      </c>
      <c r="C2100" s="27" t="s">
        <v>2130</v>
      </c>
      <c r="D2100" s="27" t="s">
        <v>18949</v>
      </c>
      <c r="E2100" s="27" t="s">
        <v>18950</v>
      </c>
      <c r="F2100" s="27" t="s">
        <v>18951</v>
      </c>
      <c r="G2100" s="28"/>
      <c r="H2100" s="6" t="s">
        <v>63</v>
      </c>
      <c r="I2100" s="6" t="s">
        <v>62</v>
      </c>
      <c r="J2100" s="6" t="s">
        <v>63</v>
      </c>
      <c r="K2100" s="6" t="s">
        <v>63</v>
      </c>
      <c r="L2100" s="6" t="s">
        <v>64</v>
      </c>
      <c r="M2100" s="27" t="s">
        <v>18952</v>
      </c>
      <c r="N2100" s="27" t="s">
        <v>18953</v>
      </c>
      <c r="O2100" s="6" t="s">
        <v>2693</v>
      </c>
      <c r="P2100" s="28"/>
      <c r="Q2100" s="6" t="s">
        <v>67</v>
      </c>
      <c r="R2100" s="6" t="s">
        <v>3769</v>
      </c>
      <c r="S2100" s="28"/>
      <c r="T2100" s="6" t="s">
        <v>6138</v>
      </c>
      <c r="U2100" s="7" t="n">
        <v>4</v>
      </c>
      <c r="V2100" s="7" t="n">
        <v>4</v>
      </c>
      <c r="W2100" s="8" t="s">
        <v>18954</v>
      </c>
      <c r="X2100" s="8" t="s">
        <v>18954</v>
      </c>
      <c r="Y2100" s="8" t="s">
        <v>2223</v>
      </c>
      <c r="Z2100" s="8" t="s">
        <v>2223</v>
      </c>
      <c r="AA2100" s="7" t="n">
        <v>944</v>
      </c>
      <c r="AB2100" s="7" t="n">
        <v>847</v>
      </c>
      <c r="AC2100" s="7" t="n">
        <v>923</v>
      </c>
      <c r="AD2100" s="7" t="n">
        <v>6</v>
      </c>
      <c r="AE2100" s="7" t="n">
        <v>6</v>
      </c>
      <c r="AF2100" s="7" t="n">
        <v>43</v>
      </c>
      <c r="AG2100" s="7" t="n">
        <v>47</v>
      </c>
      <c r="AH2100" s="7" t="n">
        <v>12</v>
      </c>
      <c r="AI2100" s="7" t="n">
        <v>13</v>
      </c>
      <c r="AJ2100" s="7" t="n">
        <v>7</v>
      </c>
      <c r="AK2100" s="7" t="n">
        <v>7</v>
      </c>
      <c r="AL2100" s="7" t="n">
        <v>17</v>
      </c>
      <c r="AM2100" s="7" t="n">
        <v>17</v>
      </c>
      <c r="AN2100" s="7" t="n">
        <v>4</v>
      </c>
      <c r="AO2100" s="7" t="n">
        <v>4</v>
      </c>
      <c r="AP2100" s="7" t="n">
        <v>10</v>
      </c>
      <c r="AQ2100" s="7" t="n">
        <v>13</v>
      </c>
      <c r="AR2100" s="6" t="s">
        <v>63</v>
      </c>
      <c r="AS2100" s="6" t="s">
        <v>63</v>
      </c>
      <c r="AT2100" s="28"/>
      <c r="AU2100" s="9" t="str">
        <f aca="false">HYPERLINK("https://creighton-primo.hosted.exlibrisgroup.com/primo-explore/search?tab=default_tab&amp;search_scope=EVERYTHING&amp;vid=01CRU&amp;lang=en_US&amp;offset=0&amp;query=any,contains,991001930949702656","Catalog Record")</f>
        <v>Catalog Record</v>
      </c>
      <c r="AV2100" s="9" t="str">
        <f aca="false">HYPERLINK("http://www.worldcat.org/oclc/248788","WorldCat Record")</f>
        <v>WorldCat Record</v>
      </c>
      <c r="AW2100" s="6" t="s">
        <v>18955</v>
      </c>
      <c r="AX2100" s="6" t="s">
        <v>18956</v>
      </c>
      <c r="AY2100" s="6" t="s">
        <v>18957</v>
      </c>
      <c r="AZ2100" s="6" t="s">
        <v>18957</v>
      </c>
      <c r="BA2100" s="6" t="s">
        <v>18958</v>
      </c>
      <c r="BB2100" s="28"/>
      <c r="BC2100" s="6" t="s">
        <v>18959</v>
      </c>
      <c r="BE2100" s="15" t="s">
        <v>2145</v>
      </c>
      <c r="BF2100" s="6" t="s">
        <v>18960</v>
      </c>
    </row>
    <row r="2101" customFormat="false" ht="117" hidden="false" customHeight="false" outlineLevel="0" collapsed="false">
      <c r="A2101" s="26" t="s">
        <v>63</v>
      </c>
      <c r="B2101" s="27" t="s">
        <v>2129</v>
      </c>
      <c r="C2101" s="27" t="s">
        <v>2130</v>
      </c>
      <c r="D2101" s="27" t="s">
        <v>18961</v>
      </c>
      <c r="E2101" s="27" t="s">
        <v>18962</v>
      </c>
      <c r="F2101" s="27" t="s">
        <v>18963</v>
      </c>
      <c r="G2101" s="28"/>
      <c r="H2101" s="6" t="s">
        <v>63</v>
      </c>
      <c r="I2101" s="6" t="s">
        <v>62</v>
      </c>
      <c r="J2101" s="6" t="s">
        <v>63</v>
      </c>
      <c r="K2101" s="6" t="s">
        <v>63</v>
      </c>
      <c r="L2101" s="6" t="s">
        <v>64</v>
      </c>
      <c r="M2101" s="27" t="s">
        <v>18964</v>
      </c>
      <c r="N2101" s="27" t="s">
        <v>18965</v>
      </c>
      <c r="O2101" s="6" t="s">
        <v>2426</v>
      </c>
      <c r="P2101" s="28"/>
      <c r="Q2101" s="6" t="s">
        <v>67</v>
      </c>
      <c r="R2101" s="6" t="s">
        <v>68</v>
      </c>
      <c r="S2101" s="28"/>
      <c r="T2101" s="6" t="s">
        <v>6138</v>
      </c>
      <c r="U2101" s="7" t="n">
        <v>4</v>
      </c>
      <c r="V2101" s="7" t="n">
        <v>4</v>
      </c>
      <c r="W2101" s="8" t="s">
        <v>6508</v>
      </c>
      <c r="X2101" s="8" t="s">
        <v>6508</v>
      </c>
      <c r="Y2101" s="8" t="s">
        <v>2223</v>
      </c>
      <c r="Z2101" s="8" t="s">
        <v>2223</v>
      </c>
      <c r="AA2101" s="7" t="n">
        <v>925</v>
      </c>
      <c r="AB2101" s="7" t="n">
        <v>844</v>
      </c>
      <c r="AC2101" s="7" t="n">
        <v>857</v>
      </c>
      <c r="AD2101" s="7" t="n">
        <v>6</v>
      </c>
      <c r="AE2101" s="7" t="n">
        <v>6</v>
      </c>
      <c r="AF2101" s="7" t="n">
        <v>30</v>
      </c>
      <c r="AG2101" s="7" t="n">
        <v>30</v>
      </c>
      <c r="AH2101" s="7" t="n">
        <v>10</v>
      </c>
      <c r="AI2101" s="7" t="n">
        <v>10</v>
      </c>
      <c r="AJ2101" s="7" t="n">
        <v>8</v>
      </c>
      <c r="AK2101" s="7" t="n">
        <v>8</v>
      </c>
      <c r="AL2101" s="7" t="n">
        <v>15</v>
      </c>
      <c r="AM2101" s="7" t="n">
        <v>15</v>
      </c>
      <c r="AN2101" s="7" t="n">
        <v>5</v>
      </c>
      <c r="AO2101" s="7" t="n">
        <v>5</v>
      </c>
      <c r="AP2101" s="7" t="n">
        <v>0</v>
      </c>
      <c r="AQ2101" s="7" t="n">
        <v>0</v>
      </c>
      <c r="AR2101" s="6" t="s">
        <v>63</v>
      </c>
      <c r="AS2101" s="6" t="s">
        <v>57</v>
      </c>
      <c r="AT2101" s="9" t="str">
        <f aca="false">HYPERLINK("http://catalog.hathitrust.org/Record/001383137","HathiTrust Record")</f>
        <v>HathiTrust Record</v>
      </c>
      <c r="AU2101" s="9" t="str">
        <f aca="false">HYPERLINK("https://creighton-primo.hosted.exlibrisgroup.com/primo-explore/search?tab=default_tab&amp;search_scope=EVERYTHING&amp;vid=01CRU&amp;lang=en_US&amp;offset=0&amp;query=any,contains,991003478139702656","Catalog Record")</f>
        <v>Catalog Record</v>
      </c>
      <c r="AV2101" s="9" t="str">
        <f aca="false">HYPERLINK("http://www.worldcat.org/oclc/1023677","WorldCat Record")</f>
        <v>WorldCat Record</v>
      </c>
      <c r="AW2101" s="6" t="s">
        <v>18966</v>
      </c>
      <c r="AX2101" s="6" t="s">
        <v>18967</v>
      </c>
      <c r="AY2101" s="6" t="s">
        <v>18968</v>
      </c>
      <c r="AZ2101" s="6" t="s">
        <v>18968</v>
      </c>
      <c r="BA2101" s="6" t="s">
        <v>18969</v>
      </c>
      <c r="BB2101" s="6" t="s">
        <v>18970</v>
      </c>
      <c r="BC2101" s="6" t="s">
        <v>18971</v>
      </c>
      <c r="BE2101" s="15" t="s">
        <v>2145</v>
      </c>
      <c r="BF2101" s="6" t="s">
        <v>18972</v>
      </c>
    </row>
    <row r="2102" customFormat="false" ht="428" hidden="false" customHeight="false" outlineLevel="0" collapsed="false">
      <c r="A2102" s="26" t="s">
        <v>63</v>
      </c>
      <c r="B2102" s="27" t="s">
        <v>2129</v>
      </c>
      <c r="C2102" s="27" t="s">
        <v>2130</v>
      </c>
      <c r="D2102" s="27" t="s">
        <v>18973</v>
      </c>
      <c r="E2102" s="27" t="s">
        <v>18974</v>
      </c>
      <c r="F2102" s="27" t="s">
        <v>18975</v>
      </c>
      <c r="G2102" s="28"/>
      <c r="H2102" s="6" t="s">
        <v>63</v>
      </c>
      <c r="I2102" s="6" t="s">
        <v>62</v>
      </c>
      <c r="J2102" s="6" t="s">
        <v>63</v>
      </c>
      <c r="K2102" s="6" t="s">
        <v>63</v>
      </c>
      <c r="L2102" s="6" t="s">
        <v>64</v>
      </c>
      <c r="M2102" s="27" t="s">
        <v>18976</v>
      </c>
      <c r="N2102" s="27" t="s">
        <v>18977</v>
      </c>
      <c r="O2102" s="6" t="s">
        <v>7428</v>
      </c>
      <c r="P2102" s="28"/>
      <c r="Q2102" s="6" t="s">
        <v>67</v>
      </c>
      <c r="R2102" s="6" t="s">
        <v>181</v>
      </c>
      <c r="S2102" s="28"/>
      <c r="T2102" s="6" t="s">
        <v>6138</v>
      </c>
      <c r="U2102" s="7" t="n">
        <v>5</v>
      </c>
      <c r="V2102" s="7" t="n">
        <v>5</v>
      </c>
      <c r="W2102" s="8" t="s">
        <v>18978</v>
      </c>
      <c r="X2102" s="8" t="s">
        <v>18978</v>
      </c>
      <c r="Y2102" s="8" t="s">
        <v>2223</v>
      </c>
      <c r="Z2102" s="8" t="s">
        <v>2223</v>
      </c>
      <c r="AA2102" s="7" t="n">
        <v>325</v>
      </c>
      <c r="AB2102" s="7" t="n">
        <v>317</v>
      </c>
      <c r="AC2102" s="7" t="n">
        <v>320</v>
      </c>
      <c r="AD2102" s="7" t="n">
        <v>2</v>
      </c>
      <c r="AE2102" s="7" t="n">
        <v>2</v>
      </c>
      <c r="AF2102" s="7" t="n">
        <v>16</v>
      </c>
      <c r="AG2102" s="7" t="n">
        <v>16</v>
      </c>
      <c r="AH2102" s="7" t="n">
        <v>9</v>
      </c>
      <c r="AI2102" s="7" t="n">
        <v>9</v>
      </c>
      <c r="AJ2102" s="7" t="n">
        <v>5</v>
      </c>
      <c r="AK2102" s="7" t="n">
        <v>5</v>
      </c>
      <c r="AL2102" s="7" t="n">
        <v>7</v>
      </c>
      <c r="AM2102" s="7" t="n">
        <v>7</v>
      </c>
      <c r="AN2102" s="7" t="n">
        <v>1</v>
      </c>
      <c r="AO2102" s="7" t="n">
        <v>1</v>
      </c>
      <c r="AP2102" s="7" t="n">
        <v>0</v>
      </c>
      <c r="AQ2102" s="7" t="n">
        <v>0</v>
      </c>
      <c r="AR2102" s="6" t="s">
        <v>63</v>
      </c>
      <c r="AS2102" s="6" t="s">
        <v>57</v>
      </c>
      <c r="AT2102" s="9" t="str">
        <f aca="false">HYPERLINK("http://catalog.hathitrust.org/Record/002649145","HathiTrust Record")</f>
        <v>HathiTrust Record</v>
      </c>
      <c r="AU2102" s="9" t="str">
        <f aca="false">HYPERLINK("https://creighton-primo.hosted.exlibrisgroup.com/primo-explore/search?tab=default_tab&amp;search_scope=EVERYTHING&amp;vid=01CRU&amp;lang=en_US&amp;offset=0&amp;query=any,contains,991004301439702656","Catalog Record")</f>
        <v>Catalog Record</v>
      </c>
      <c r="AV2102" s="9" t="str">
        <f aca="false">HYPERLINK("http://www.worldcat.org/oclc/2968462","WorldCat Record")</f>
        <v>WorldCat Record</v>
      </c>
      <c r="AW2102" s="6" t="s">
        <v>18979</v>
      </c>
      <c r="AX2102" s="6" t="s">
        <v>18980</v>
      </c>
      <c r="AY2102" s="6" t="s">
        <v>18981</v>
      </c>
      <c r="AZ2102" s="6" t="s">
        <v>18981</v>
      </c>
      <c r="BA2102" s="6" t="s">
        <v>18982</v>
      </c>
      <c r="BB2102" s="28"/>
      <c r="BC2102" s="6" t="s">
        <v>18983</v>
      </c>
      <c r="BE2102" s="15" t="s">
        <v>2145</v>
      </c>
      <c r="BF2102" s="6" t="s">
        <v>18984</v>
      </c>
    </row>
    <row r="2103" customFormat="false" ht="278" hidden="false" customHeight="false" outlineLevel="0" collapsed="false">
      <c r="A2103" s="26" t="s">
        <v>63</v>
      </c>
      <c r="B2103" s="27" t="s">
        <v>2129</v>
      </c>
      <c r="C2103" s="27" t="s">
        <v>2130</v>
      </c>
      <c r="D2103" s="27" t="s">
        <v>18985</v>
      </c>
      <c r="E2103" s="27" t="s">
        <v>18986</v>
      </c>
      <c r="F2103" s="27" t="s">
        <v>18987</v>
      </c>
      <c r="G2103" s="28"/>
      <c r="H2103" s="6" t="s">
        <v>63</v>
      </c>
      <c r="I2103" s="6" t="s">
        <v>62</v>
      </c>
      <c r="J2103" s="6" t="s">
        <v>63</v>
      </c>
      <c r="K2103" s="6" t="s">
        <v>63</v>
      </c>
      <c r="L2103" s="6" t="s">
        <v>64</v>
      </c>
      <c r="M2103" s="27" t="s">
        <v>18976</v>
      </c>
      <c r="N2103" s="27" t="s">
        <v>18988</v>
      </c>
      <c r="O2103" s="6" t="s">
        <v>2893</v>
      </c>
      <c r="P2103" s="28"/>
      <c r="Q2103" s="6" t="s">
        <v>67</v>
      </c>
      <c r="R2103" s="6" t="s">
        <v>181</v>
      </c>
      <c r="S2103" s="28"/>
      <c r="T2103" s="6" t="s">
        <v>6138</v>
      </c>
      <c r="U2103" s="7" t="n">
        <v>5</v>
      </c>
      <c r="V2103" s="7" t="n">
        <v>5</v>
      </c>
      <c r="W2103" s="8" t="s">
        <v>18978</v>
      </c>
      <c r="X2103" s="8" t="s">
        <v>18978</v>
      </c>
      <c r="Y2103" s="8" t="s">
        <v>2223</v>
      </c>
      <c r="Z2103" s="8" t="s">
        <v>2223</v>
      </c>
      <c r="AA2103" s="7" t="n">
        <v>224</v>
      </c>
      <c r="AB2103" s="7" t="n">
        <v>200</v>
      </c>
      <c r="AC2103" s="7" t="n">
        <v>202</v>
      </c>
      <c r="AD2103" s="7" t="n">
        <v>2</v>
      </c>
      <c r="AE2103" s="7" t="n">
        <v>2</v>
      </c>
      <c r="AF2103" s="7" t="n">
        <v>11</v>
      </c>
      <c r="AG2103" s="7" t="n">
        <v>11</v>
      </c>
      <c r="AH2103" s="7" t="n">
        <v>2</v>
      </c>
      <c r="AI2103" s="7" t="n">
        <v>2</v>
      </c>
      <c r="AJ2103" s="7" t="n">
        <v>5</v>
      </c>
      <c r="AK2103" s="7" t="n">
        <v>5</v>
      </c>
      <c r="AL2103" s="7" t="n">
        <v>6</v>
      </c>
      <c r="AM2103" s="7" t="n">
        <v>6</v>
      </c>
      <c r="AN2103" s="7" t="n">
        <v>1</v>
      </c>
      <c r="AO2103" s="7" t="n">
        <v>1</v>
      </c>
      <c r="AP2103" s="7" t="n">
        <v>0</v>
      </c>
      <c r="AQ2103" s="7" t="n">
        <v>0</v>
      </c>
      <c r="AR2103" s="6" t="s">
        <v>63</v>
      </c>
      <c r="AS2103" s="6" t="s">
        <v>57</v>
      </c>
      <c r="AT2103" s="9" t="str">
        <f aca="false">HYPERLINK("http://catalog.hathitrust.org/Record/009906524","HathiTrust Record")</f>
        <v>HathiTrust Record</v>
      </c>
      <c r="AU2103" s="9" t="str">
        <f aca="false">HYPERLINK("https://creighton-primo.hosted.exlibrisgroup.com/primo-explore/search?tab=default_tab&amp;search_scope=EVERYTHING&amp;vid=01CRU&amp;lang=en_US&amp;offset=0&amp;query=any,contains,991003935799702656","Catalog Record")</f>
        <v>Catalog Record</v>
      </c>
      <c r="AV2103" s="9" t="str">
        <f aca="false">HYPERLINK("http://www.worldcat.org/oclc/1913375","WorldCat Record")</f>
        <v>WorldCat Record</v>
      </c>
      <c r="AW2103" s="6" t="s">
        <v>18989</v>
      </c>
      <c r="AX2103" s="6" t="s">
        <v>18990</v>
      </c>
      <c r="AY2103" s="6" t="s">
        <v>18991</v>
      </c>
      <c r="AZ2103" s="6" t="s">
        <v>18991</v>
      </c>
      <c r="BA2103" s="6" t="s">
        <v>18992</v>
      </c>
      <c r="BB2103" s="28"/>
      <c r="BC2103" s="6" t="s">
        <v>18993</v>
      </c>
      <c r="BE2103" s="15" t="s">
        <v>2145</v>
      </c>
      <c r="BF2103" s="6" t="s">
        <v>18994</v>
      </c>
    </row>
    <row r="2104" customFormat="false" ht="71" hidden="false" customHeight="false" outlineLevel="0" collapsed="false">
      <c r="A2104" s="26" t="s">
        <v>63</v>
      </c>
      <c r="B2104" s="27" t="s">
        <v>2129</v>
      </c>
      <c r="C2104" s="27" t="s">
        <v>2130</v>
      </c>
      <c r="D2104" s="27" t="s">
        <v>18995</v>
      </c>
      <c r="E2104" s="27" t="s">
        <v>18996</v>
      </c>
      <c r="F2104" s="27" t="s">
        <v>18997</v>
      </c>
      <c r="G2104" s="28"/>
      <c r="H2104" s="6" t="s">
        <v>63</v>
      </c>
      <c r="I2104" s="6" t="s">
        <v>62</v>
      </c>
      <c r="J2104" s="6" t="s">
        <v>63</v>
      </c>
      <c r="K2104" s="6" t="s">
        <v>63</v>
      </c>
      <c r="L2104" s="6" t="s">
        <v>64</v>
      </c>
      <c r="M2104" s="27" t="s">
        <v>18998</v>
      </c>
      <c r="N2104" s="27" t="s">
        <v>18999</v>
      </c>
      <c r="O2104" s="6" t="s">
        <v>167</v>
      </c>
      <c r="P2104" s="28"/>
      <c r="Q2104" s="6" t="s">
        <v>67</v>
      </c>
      <c r="R2104" s="6" t="s">
        <v>68</v>
      </c>
      <c r="S2104" s="27" t="s">
        <v>19000</v>
      </c>
      <c r="T2104" s="6" t="s">
        <v>6138</v>
      </c>
      <c r="U2104" s="7" t="n">
        <v>1</v>
      </c>
      <c r="V2104" s="7" t="n">
        <v>1</v>
      </c>
      <c r="W2104" s="8" t="s">
        <v>19001</v>
      </c>
      <c r="X2104" s="8" t="s">
        <v>19001</v>
      </c>
      <c r="Y2104" s="8" t="s">
        <v>19002</v>
      </c>
      <c r="Z2104" s="8" t="s">
        <v>19002</v>
      </c>
      <c r="AA2104" s="7" t="n">
        <v>860</v>
      </c>
      <c r="AB2104" s="7" t="n">
        <v>799</v>
      </c>
      <c r="AC2104" s="7" t="n">
        <v>888</v>
      </c>
      <c r="AD2104" s="7" t="n">
        <v>8</v>
      </c>
      <c r="AE2104" s="7" t="n">
        <v>9</v>
      </c>
      <c r="AF2104" s="7" t="n">
        <v>42</v>
      </c>
      <c r="AG2104" s="7" t="n">
        <v>45</v>
      </c>
      <c r="AH2104" s="7" t="n">
        <v>16</v>
      </c>
      <c r="AI2104" s="7" t="n">
        <v>16</v>
      </c>
      <c r="AJ2104" s="7" t="n">
        <v>7</v>
      </c>
      <c r="AK2104" s="7" t="n">
        <v>9</v>
      </c>
      <c r="AL2104" s="7" t="n">
        <v>21</v>
      </c>
      <c r="AM2104" s="7" t="n">
        <v>23</v>
      </c>
      <c r="AN2104" s="7" t="n">
        <v>6</v>
      </c>
      <c r="AO2104" s="7" t="n">
        <v>7</v>
      </c>
      <c r="AP2104" s="7" t="n">
        <v>0</v>
      </c>
      <c r="AQ2104" s="7" t="n">
        <v>0</v>
      </c>
      <c r="AR2104" s="6" t="s">
        <v>63</v>
      </c>
      <c r="AS2104" s="6" t="s">
        <v>57</v>
      </c>
      <c r="AT2104" s="9" t="str">
        <f aca="false">HYPERLINK("http://catalog.hathitrust.org/Record/001383158","HathiTrust Record")</f>
        <v>HathiTrust Record</v>
      </c>
      <c r="AU2104" s="9" t="str">
        <f aca="false">HYPERLINK("https://creighton-primo.hosted.exlibrisgroup.com/primo-explore/search?tab=default_tab&amp;search_scope=EVERYTHING&amp;vid=01CRU&amp;lang=en_US&amp;offset=0&amp;query=any,contains,991003179799702656","Catalog Record")</f>
        <v>Catalog Record</v>
      </c>
      <c r="AV2104" s="9" t="str">
        <f aca="false">HYPERLINK("http://www.worldcat.org/oclc/711514","WorldCat Record")</f>
        <v>WorldCat Record</v>
      </c>
      <c r="AW2104" s="6" t="s">
        <v>19003</v>
      </c>
      <c r="AX2104" s="6" t="s">
        <v>19004</v>
      </c>
      <c r="AY2104" s="6" t="s">
        <v>19005</v>
      </c>
      <c r="AZ2104" s="6" t="s">
        <v>19005</v>
      </c>
      <c r="BA2104" s="6" t="s">
        <v>19006</v>
      </c>
      <c r="BB2104" s="28"/>
      <c r="BC2104" s="6" t="s">
        <v>19007</v>
      </c>
      <c r="BE2104" s="15" t="s">
        <v>2145</v>
      </c>
      <c r="BF2104" s="6" t="s">
        <v>19008</v>
      </c>
    </row>
    <row r="2105" customFormat="false" ht="105.5" hidden="false" customHeight="false" outlineLevel="0" collapsed="false">
      <c r="A2105" s="26" t="s">
        <v>63</v>
      </c>
      <c r="B2105" s="27" t="s">
        <v>2129</v>
      </c>
      <c r="C2105" s="27" t="s">
        <v>2130</v>
      </c>
      <c r="D2105" s="27" t="s">
        <v>19009</v>
      </c>
      <c r="E2105" s="27" t="s">
        <v>19010</v>
      </c>
      <c r="F2105" s="27" t="s">
        <v>19011</v>
      </c>
      <c r="G2105" s="28"/>
      <c r="H2105" s="6" t="s">
        <v>63</v>
      </c>
      <c r="I2105" s="6" t="s">
        <v>62</v>
      </c>
      <c r="J2105" s="6" t="s">
        <v>63</v>
      </c>
      <c r="K2105" s="6" t="s">
        <v>63</v>
      </c>
      <c r="L2105" s="6" t="s">
        <v>64</v>
      </c>
      <c r="M2105" s="27" t="s">
        <v>19012</v>
      </c>
      <c r="N2105" s="27" t="s">
        <v>19013</v>
      </c>
      <c r="O2105" s="6" t="s">
        <v>3418</v>
      </c>
      <c r="P2105" s="28"/>
      <c r="Q2105" s="6" t="s">
        <v>67</v>
      </c>
      <c r="R2105" s="6" t="s">
        <v>123</v>
      </c>
      <c r="S2105" s="28"/>
      <c r="T2105" s="6" t="s">
        <v>6138</v>
      </c>
      <c r="U2105" s="7" t="n">
        <v>3</v>
      </c>
      <c r="V2105" s="7" t="n">
        <v>3</v>
      </c>
      <c r="W2105" s="8" t="s">
        <v>19014</v>
      </c>
      <c r="X2105" s="8" t="s">
        <v>19014</v>
      </c>
      <c r="Y2105" s="8" t="s">
        <v>16765</v>
      </c>
      <c r="Z2105" s="8" t="s">
        <v>16765</v>
      </c>
      <c r="AA2105" s="7" t="n">
        <v>436</v>
      </c>
      <c r="AB2105" s="7" t="n">
        <v>395</v>
      </c>
      <c r="AC2105" s="7" t="n">
        <v>500</v>
      </c>
      <c r="AD2105" s="7" t="n">
        <v>3</v>
      </c>
      <c r="AE2105" s="7" t="n">
        <v>5</v>
      </c>
      <c r="AF2105" s="7" t="n">
        <v>30</v>
      </c>
      <c r="AG2105" s="7" t="n">
        <v>35</v>
      </c>
      <c r="AH2105" s="7" t="n">
        <v>8</v>
      </c>
      <c r="AI2105" s="7" t="n">
        <v>11</v>
      </c>
      <c r="AJ2105" s="7" t="n">
        <v>8</v>
      </c>
      <c r="AK2105" s="7" t="n">
        <v>8</v>
      </c>
      <c r="AL2105" s="7" t="n">
        <v>24</v>
      </c>
      <c r="AM2105" s="7" t="n">
        <v>24</v>
      </c>
      <c r="AN2105" s="7" t="n">
        <v>1</v>
      </c>
      <c r="AO2105" s="7" t="n">
        <v>3</v>
      </c>
      <c r="AP2105" s="7" t="n">
        <v>0</v>
      </c>
      <c r="AQ2105" s="7" t="n">
        <v>0</v>
      </c>
      <c r="AR2105" s="6" t="s">
        <v>63</v>
      </c>
      <c r="AS2105" s="6" t="s">
        <v>57</v>
      </c>
      <c r="AT2105" s="9" t="str">
        <f aca="false">HYPERLINK("http://catalog.hathitrust.org/Record/005921537","HathiTrust Record")</f>
        <v>HathiTrust Record</v>
      </c>
      <c r="AU2105" s="9" t="str">
        <f aca="false">HYPERLINK("https://creighton-primo.hosted.exlibrisgroup.com/primo-explore/search?tab=default_tab&amp;search_scope=EVERYTHING&amp;vid=01CRU&amp;lang=en_US&amp;offset=0&amp;query=any,contains,991003407549702656","Catalog Record")</f>
        <v>Catalog Record</v>
      </c>
      <c r="AV2105" s="9" t="str">
        <f aca="false">HYPERLINK("http://www.worldcat.org/oclc/947404","WorldCat Record")</f>
        <v>WorldCat Record</v>
      </c>
      <c r="AW2105" s="6" t="s">
        <v>19015</v>
      </c>
      <c r="AX2105" s="6" t="s">
        <v>19016</v>
      </c>
      <c r="AY2105" s="6" t="s">
        <v>19017</v>
      </c>
      <c r="AZ2105" s="6" t="s">
        <v>19017</v>
      </c>
      <c r="BA2105" s="6" t="s">
        <v>19018</v>
      </c>
      <c r="BB2105" s="28"/>
      <c r="BC2105" s="6" t="s">
        <v>19019</v>
      </c>
      <c r="BE2105" s="15" t="s">
        <v>2145</v>
      </c>
      <c r="BF2105" s="6" t="s">
        <v>19020</v>
      </c>
    </row>
    <row r="2106" customFormat="false" ht="140" hidden="false" customHeight="false" outlineLevel="0" collapsed="false">
      <c r="A2106" s="26" t="s">
        <v>63</v>
      </c>
      <c r="B2106" s="27" t="s">
        <v>2129</v>
      </c>
      <c r="C2106" s="27" t="s">
        <v>2130</v>
      </c>
      <c r="D2106" s="27" t="s">
        <v>19021</v>
      </c>
      <c r="E2106" s="27" t="s">
        <v>19022</v>
      </c>
      <c r="F2106" s="27" t="s">
        <v>19023</v>
      </c>
      <c r="G2106" s="28"/>
      <c r="H2106" s="6" t="s">
        <v>63</v>
      </c>
      <c r="I2106" s="6" t="s">
        <v>62</v>
      </c>
      <c r="J2106" s="6" t="s">
        <v>63</v>
      </c>
      <c r="K2106" s="6" t="s">
        <v>63</v>
      </c>
      <c r="L2106" s="6" t="s">
        <v>64</v>
      </c>
      <c r="M2106" s="28"/>
      <c r="N2106" s="27" t="s">
        <v>19024</v>
      </c>
      <c r="O2106" s="6" t="s">
        <v>2623</v>
      </c>
      <c r="P2106" s="28"/>
      <c r="Q2106" s="6" t="s">
        <v>67</v>
      </c>
      <c r="R2106" s="6" t="s">
        <v>68</v>
      </c>
      <c r="S2106" s="28"/>
      <c r="T2106" s="6" t="s">
        <v>6138</v>
      </c>
      <c r="U2106" s="7" t="n">
        <v>2</v>
      </c>
      <c r="V2106" s="7" t="n">
        <v>2</v>
      </c>
      <c r="W2106" s="8" t="s">
        <v>19014</v>
      </c>
      <c r="X2106" s="8" t="s">
        <v>19014</v>
      </c>
      <c r="Y2106" s="8" t="s">
        <v>18364</v>
      </c>
      <c r="Z2106" s="8" t="s">
        <v>18364</v>
      </c>
      <c r="AA2106" s="7" t="n">
        <v>361</v>
      </c>
      <c r="AB2106" s="7" t="n">
        <v>332</v>
      </c>
      <c r="AC2106" s="7" t="n">
        <v>336</v>
      </c>
      <c r="AD2106" s="7" t="n">
        <v>3</v>
      </c>
      <c r="AE2106" s="7" t="n">
        <v>3</v>
      </c>
      <c r="AF2106" s="7" t="n">
        <v>24</v>
      </c>
      <c r="AG2106" s="7" t="n">
        <v>25</v>
      </c>
      <c r="AH2106" s="7" t="n">
        <v>6</v>
      </c>
      <c r="AI2106" s="7" t="n">
        <v>7</v>
      </c>
      <c r="AJ2106" s="7" t="n">
        <v>8</v>
      </c>
      <c r="AK2106" s="7" t="n">
        <v>8</v>
      </c>
      <c r="AL2106" s="7" t="n">
        <v>16</v>
      </c>
      <c r="AM2106" s="7" t="n">
        <v>16</v>
      </c>
      <c r="AN2106" s="7" t="n">
        <v>2</v>
      </c>
      <c r="AO2106" s="7" t="n">
        <v>2</v>
      </c>
      <c r="AP2106" s="7" t="n">
        <v>0</v>
      </c>
      <c r="AQ2106" s="7" t="n">
        <v>0</v>
      </c>
      <c r="AR2106" s="6" t="s">
        <v>63</v>
      </c>
      <c r="AS2106" s="6" t="s">
        <v>57</v>
      </c>
      <c r="AT2106" s="9" t="str">
        <f aca="false">HYPERLINK("http://catalog.hathitrust.org/Record/000143604","HathiTrust Record")</f>
        <v>HathiTrust Record</v>
      </c>
      <c r="AU2106" s="9" t="str">
        <f aca="false">HYPERLINK("https://creighton-primo.hosted.exlibrisgroup.com/primo-explore/search?tab=default_tab&amp;search_scope=EVERYTHING&amp;vid=01CRU&amp;lang=en_US&amp;offset=0&amp;query=any,contains,991005066359702656","Catalog Record")</f>
        <v>Catalog Record</v>
      </c>
      <c r="AV2106" s="9" t="str">
        <f aca="false">HYPERLINK("http://www.worldcat.org/oclc/6969034","WorldCat Record")</f>
        <v>WorldCat Record</v>
      </c>
      <c r="AW2106" s="6" t="s">
        <v>19025</v>
      </c>
      <c r="AX2106" s="6" t="s">
        <v>19026</v>
      </c>
      <c r="AY2106" s="6" t="s">
        <v>19027</v>
      </c>
      <c r="AZ2106" s="6" t="s">
        <v>19027</v>
      </c>
      <c r="BA2106" s="6" t="s">
        <v>19028</v>
      </c>
      <c r="BB2106" s="6" t="s">
        <v>19029</v>
      </c>
      <c r="BC2106" s="6" t="s">
        <v>19030</v>
      </c>
      <c r="BE2106" s="15" t="s">
        <v>2145</v>
      </c>
      <c r="BF2106" s="6" t="s">
        <v>19031</v>
      </c>
    </row>
    <row r="2107" customFormat="false" ht="128.5" hidden="false" customHeight="false" outlineLevel="0" collapsed="false">
      <c r="A2107" s="26" t="s">
        <v>63</v>
      </c>
      <c r="B2107" s="27" t="s">
        <v>2129</v>
      </c>
      <c r="C2107" s="27" t="s">
        <v>2130</v>
      </c>
      <c r="D2107" s="27" t="s">
        <v>19032</v>
      </c>
      <c r="E2107" s="27" t="s">
        <v>19033</v>
      </c>
      <c r="F2107" s="27" t="s">
        <v>19034</v>
      </c>
      <c r="G2107" s="28"/>
      <c r="H2107" s="6" t="s">
        <v>63</v>
      </c>
      <c r="I2107" s="6" t="s">
        <v>62</v>
      </c>
      <c r="J2107" s="6" t="s">
        <v>63</v>
      </c>
      <c r="K2107" s="6" t="s">
        <v>63</v>
      </c>
      <c r="L2107" s="6" t="s">
        <v>64</v>
      </c>
      <c r="M2107" s="27" t="s">
        <v>19035</v>
      </c>
      <c r="N2107" s="27" t="s">
        <v>19036</v>
      </c>
      <c r="O2107" s="6" t="s">
        <v>2557</v>
      </c>
      <c r="P2107" s="28"/>
      <c r="Q2107" s="6" t="s">
        <v>67</v>
      </c>
      <c r="R2107" s="6" t="s">
        <v>123</v>
      </c>
      <c r="S2107" s="28"/>
      <c r="T2107" s="6" t="s">
        <v>6138</v>
      </c>
      <c r="U2107" s="7" t="n">
        <v>2</v>
      </c>
      <c r="V2107" s="7" t="n">
        <v>2</v>
      </c>
      <c r="W2107" s="8" t="s">
        <v>19001</v>
      </c>
      <c r="X2107" s="8" t="s">
        <v>19001</v>
      </c>
      <c r="Y2107" s="8" t="s">
        <v>18364</v>
      </c>
      <c r="Z2107" s="8" t="s">
        <v>18364</v>
      </c>
      <c r="AA2107" s="7" t="n">
        <v>367</v>
      </c>
      <c r="AB2107" s="7" t="n">
        <v>347</v>
      </c>
      <c r="AC2107" s="7" t="n">
        <v>607</v>
      </c>
      <c r="AD2107" s="7" t="n">
        <v>3</v>
      </c>
      <c r="AE2107" s="7" t="n">
        <v>5</v>
      </c>
      <c r="AF2107" s="7" t="n">
        <v>30</v>
      </c>
      <c r="AG2107" s="7" t="n">
        <v>39</v>
      </c>
      <c r="AH2107" s="7" t="n">
        <v>8</v>
      </c>
      <c r="AI2107" s="7" t="n">
        <v>14</v>
      </c>
      <c r="AJ2107" s="7" t="n">
        <v>8</v>
      </c>
      <c r="AK2107" s="7" t="n">
        <v>9</v>
      </c>
      <c r="AL2107" s="7" t="n">
        <v>23</v>
      </c>
      <c r="AM2107" s="7" t="n">
        <v>25</v>
      </c>
      <c r="AN2107" s="7" t="n">
        <v>1</v>
      </c>
      <c r="AO2107" s="7" t="n">
        <v>3</v>
      </c>
      <c r="AP2107" s="7" t="n">
        <v>0</v>
      </c>
      <c r="AQ2107" s="7" t="n">
        <v>0</v>
      </c>
      <c r="AR2107" s="6" t="s">
        <v>63</v>
      </c>
      <c r="AS2107" s="6" t="s">
        <v>63</v>
      </c>
      <c r="AT2107" s="28"/>
      <c r="AU2107" s="9" t="str">
        <f aca="false">HYPERLINK("https://creighton-primo.hosted.exlibrisgroup.com/primo-explore/search?tab=default_tab&amp;search_scope=EVERYTHING&amp;vid=01CRU&amp;lang=en_US&amp;offset=0&amp;query=any,contains,991003794479702656","Catalog Record")</f>
        <v>Catalog Record</v>
      </c>
      <c r="AV2107" s="9" t="str">
        <f aca="false">HYPERLINK("http://www.worldcat.org/oclc/1515357","WorldCat Record")</f>
        <v>WorldCat Record</v>
      </c>
      <c r="AW2107" s="6" t="s">
        <v>19037</v>
      </c>
      <c r="AX2107" s="6" t="s">
        <v>19038</v>
      </c>
      <c r="AY2107" s="6" t="s">
        <v>19039</v>
      </c>
      <c r="AZ2107" s="6" t="s">
        <v>19039</v>
      </c>
      <c r="BA2107" s="6" t="s">
        <v>19040</v>
      </c>
      <c r="BB2107" s="28"/>
      <c r="BC2107" s="6" t="s">
        <v>19041</v>
      </c>
      <c r="BE2107" s="15" t="s">
        <v>2145</v>
      </c>
      <c r="BF2107" s="6" t="s">
        <v>19042</v>
      </c>
    </row>
    <row r="2108" customFormat="false" ht="197.5" hidden="false" customHeight="false" outlineLevel="0" collapsed="false">
      <c r="A2108" s="26" t="s">
        <v>63</v>
      </c>
      <c r="B2108" s="27" t="s">
        <v>2129</v>
      </c>
      <c r="C2108" s="27" t="s">
        <v>2130</v>
      </c>
      <c r="D2108" s="27" t="s">
        <v>19043</v>
      </c>
      <c r="E2108" s="27" t="s">
        <v>19044</v>
      </c>
      <c r="F2108" s="27" t="s">
        <v>19045</v>
      </c>
      <c r="G2108" s="28"/>
      <c r="H2108" s="6" t="s">
        <v>63</v>
      </c>
      <c r="I2108" s="6" t="s">
        <v>62</v>
      </c>
      <c r="J2108" s="6" t="s">
        <v>63</v>
      </c>
      <c r="K2108" s="6" t="s">
        <v>63</v>
      </c>
      <c r="L2108" s="6" t="s">
        <v>64</v>
      </c>
      <c r="M2108" s="27" t="s">
        <v>15318</v>
      </c>
      <c r="N2108" s="27" t="s">
        <v>19046</v>
      </c>
      <c r="O2108" s="6" t="s">
        <v>2467</v>
      </c>
      <c r="P2108" s="28"/>
      <c r="Q2108" s="6" t="s">
        <v>67</v>
      </c>
      <c r="R2108" s="6" t="s">
        <v>68</v>
      </c>
      <c r="S2108" s="28"/>
      <c r="T2108" s="6" t="s">
        <v>6138</v>
      </c>
      <c r="U2108" s="7" t="n">
        <v>2</v>
      </c>
      <c r="V2108" s="7" t="n">
        <v>2</v>
      </c>
      <c r="W2108" s="8" t="s">
        <v>19047</v>
      </c>
      <c r="X2108" s="8" t="s">
        <v>19047</v>
      </c>
      <c r="Y2108" s="8" t="s">
        <v>6140</v>
      </c>
      <c r="Z2108" s="8" t="s">
        <v>6140</v>
      </c>
      <c r="AA2108" s="7" t="n">
        <v>747</v>
      </c>
      <c r="AB2108" s="7" t="n">
        <v>638</v>
      </c>
      <c r="AC2108" s="7" t="n">
        <v>712</v>
      </c>
      <c r="AD2108" s="7" t="n">
        <v>6</v>
      </c>
      <c r="AE2108" s="7" t="n">
        <v>8</v>
      </c>
      <c r="AF2108" s="7" t="n">
        <v>27</v>
      </c>
      <c r="AG2108" s="7" t="n">
        <v>33</v>
      </c>
      <c r="AH2108" s="7" t="n">
        <v>7</v>
      </c>
      <c r="AI2108" s="7" t="n">
        <v>10</v>
      </c>
      <c r="AJ2108" s="7" t="n">
        <v>7</v>
      </c>
      <c r="AK2108" s="7" t="n">
        <v>8</v>
      </c>
      <c r="AL2108" s="7" t="n">
        <v>17</v>
      </c>
      <c r="AM2108" s="7" t="n">
        <v>18</v>
      </c>
      <c r="AN2108" s="7" t="n">
        <v>3</v>
      </c>
      <c r="AO2108" s="7" t="n">
        <v>5</v>
      </c>
      <c r="AP2108" s="7" t="n">
        <v>0</v>
      </c>
      <c r="AQ2108" s="7" t="n">
        <v>0</v>
      </c>
      <c r="AR2108" s="6" t="s">
        <v>63</v>
      </c>
      <c r="AS2108" s="6" t="s">
        <v>57</v>
      </c>
      <c r="AT2108" s="9" t="str">
        <f aca="false">HYPERLINK("http://catalog.hathitrust.org/Record/001379568","HathiTrust Record")</f>
        <v>HathiTrust Record</v>
      </c>
      <c r="AU2108" s="9" t="str">
        <f aca="false">HYPERLINK("https://creighton-primo.hosted.exlibrisgroup.com/primo-explore/search?tab=default_tab&amp;search_scope=EVERYTHING&amp;vid=01CRU&amp;lang=en_US&amp;offset=0&amp;query=any,contains,991003046699702656","Catalog Record")</f>
        <v>Catalog Record</v>
      </c>
      <c r="AV2108" s="9" t="str">
        <f aca="false">HYPERLINK("http://www.worldcat.org/oclc/606931","WorldCat Record")</f>
        <v>WorldCat Record</v>
      </c>
      <c r="AW2108" s="6" t="s">
        <v>19048</v>
      </c>
      <c r="AX2108" s="6" t="s">
        <v>19049</v>
      </c>
      <c r="AY2108" s="6" t="s">
        <v>19050</v>
      </c>
      <c r="AZ2108" s="6" t="s">
        <v>19050</v>
      </c>
      <c r="BA2108" s="6" t="s">
        <v>19051</v>
      </c>
      <c r="BB2108" s="28"/>
      <c r="BC2108" s="6" t="s">
        <v>19052</v>
      </c>
      <c r="BE2108" s="15" t="s">
        <v>2145</v>
      </c>
      <c r="BF2108" s="6" t="s">
        <v>19053</v>
      </c>
    </row>
    <row r="2109" customFormat="false" ht="150.5" hidden="false" customHeight="false" outlineLevel="0" collapsed="false">
      <c r="A2109" s="26" t="s">
        <v>63</v>
      </c>
      <c r="B2109" s="27" t="s">
        <v>2129</v>
      </c>
      <c r="C2109" s="27" t="s">
        <v>2130</v>
      </c>
      <c r="D2109" s="27" t="s">
        <v>19054</v>
      </c>
      <c r="E2109" s="27" t="s">
        <v>19055</v>
      </c>
      <c r="F2109" s="27" t="s">
        <v>19056</v>
      </c>
      <c r="G2109" s="28"/>
      <c r="H2109" s="6" t="s">
        <v>63</v>
      </c>
      <c r="I2109" s="6" t="s">
        <v>62</v>
      </c>
      <c r="J2109" s="6" t="s">
        <v>63</v>
      </c>
      <c r="K2109" s="6" t="s">
        <v>63</v>
      </c>
      <c r="L2109" s="6" t="s">
        <v>64</v>
      </c>
      <c r="M2109" s="28"/>
      <c r="N2109" s="27" t="s">
        <v>4157</v>
      </c>
      <c r="O2109" s="6" t="s">
        <v>208</v>
      </c>
      <c r="P2109" s="28"/>
      <c r="Q2109" s="6" t="s">
        <v>67</v>
      </c>
      <c r="R2109" s="6" t="s">
        <v>68</v>
      </c>
      <c r="S2109" s="28"/>
      <c r="T2109" s="6" t="s">
        <v>6138</v>
      </c>
      <c r="U2109" s="7" t="n">
        <v>3</v>
      </c>
      <c r="V2109" s="7" t="n">
        <v>3</v>
      </c>
      <c r="W2109" s="8" t="s">
        <v>10068</v>
      </c>
      <c r="X2109" s="8" t="s">
        <v>10068</v>
      </c>
      <c r="Y2109" s="8" t="s">
        <v>16765</v>
      </c>
      <c r="Z2109" s="8" t="s">
        <v>16765</v>
      </c>
      <c r="AA2109" s="7" t="n">
        <v>445</v>
      </c>
      <c r="AB2109" s="7" t="n">
        <v>369</v>
      </c>
      <c r="AC2109" s="7" t="n">
        <v>374</v>
      </c>
      <c r="AD2109" s="7" t="n">
        <v>4</v>
      </c>
      <c r="AE2109" s="7" t="n">
        <v>4</v>
      </c>
      <c r="AF2109" s="7" t="n">
        <v>25</v>
      </c>
      <c r="AG2109" s="7" t="n">
        <v>25</v>
      </c>
      <c r="AH2109" s="7" t="n">
        <v>9</v>
      </c>
      <c r="AI2109" s="7" t="n">
        <v>9</v>
      </c>
      <c r="AJ2109" s="7" t="n">
        <v>7</v>
      </c>
      <c r="AK2109" s="7" t="n">
        <v>7</v>
      </c>
      <c r="AL2109" s="7" t="n">
        <v>16</v>
      </c>
      <c r="AM2109" s="7" t="n">
        <v>16</v>
      </c>
      <c r="AN2109" s="7" t="n">
        <v>2</v>
      </c>
      <c r="AO2109" s="7" t="n">
        <v>2</v>
      </c>
      <c r="AP2109" s="7" t="n">
        <v>1</v>
      </c>
      <c r="AQ2109" s="7" t="n">
        <v>1</v>
      </c>
      <c r="AR2109" s="6" t="s">
        <v>63</v>
      </c>
      <c r="AS2109" s="6" t="s">
        <v>63</v>
      </c>
      <c r="AT2109" s="28"/>
      <c r="AU2109" s="9" t="str">
        <f aca="false">HYPERLINK("https://creighton-primo.hosted.exlibrisgroup.com/primo-explore/search?tab=default_tab&amp;search_scope=EVERYTHING&amp;vid=01CRU&amp;lang=en_US&amp;offset=0&amp;query=any,contains,991000901499702656","Catalog Record")</f>
        <v>Catalog Record</v>
      </c>
      <c r="AV2109" s="9" t="str">
        <f aca="false">HYPERLINK("http://www.worldcat.org/oclc/14068008","WorldCat Record")</f>
        <v>WorldCat Record</v>
      </c>
      <c r="AW2109" s="6" t="s">
        <v>19057</v>
      </c>
      <c r="AX2109" s="6" t="s">
        <v>19058</v>
      </c>
      <c r="AY2109" s="6" t="s">
        <v>19059</v>
      </c>
      <c r="AZ2109" s="6" t="s">
        <v>19059</v>
      </c>
      <c r="BA2109" s="6" t="s">
        <v>19060</v>
      </c>
      <c r="BB2109" s="6" t="s">
        <v>19061</v>
      </c>
      <c r="BC2109" s="6" t="s">
        <v>19062</v>
      </c>
      <c r="BE2109" s="15" t="s">
        <v>2145</v>
      </c>
      <c r="BF2109" s="6" t="s">
        <v>19063</v>
      </c>
    </row>
    <row r="2110" customFormat="false" ht="117" hidden="false" customHeight="false" outlineLevel="0" collapsed="false">
      <c r="A2110" s="26" t="s">
        <v>63</v>
      </c>
      <c r="B2110" s="27" t="s">
        <v>2129</v>
      </c>
      <c r="C2110" s="27" t="s">
        <v>2130</v>
      </c>
      <c r="D2110" s="27" t="s">
        <v>19064</v>
      </c>
      <c r="E2110" s="27" t="s">
        <v>19065</v>
      </c>
      <c r="F2110" s="27" t="s">
        <v>19066</v>
      </c>
      <c r="G2110" s="28"/>
      <c r="H2110" s="6" t="s">
        <v>63</v>
      </c>
      <c r="I2110" s="6" t="s">
        <v>62</v>
      </c>
      <c r="J2110" s="6" t="s">
        <v>63</v>
      </c>
      <c r="K2110" s="6" t="s">
        <v>63</v>
      </c>
      <c r="L2110" s="6" t="s">
        <v>64</v>
      </c>
      <c r="M2110" s="27" t="s">
        <v>18603</v>
      </c>
      <c r="N2110" s="27" t="s">
        <v>19067</v>
      </c>
      <c r="O2110" s="6" t="s">
        <v>264</v>
      </c>
      <c r="P2110" s="28"/>
      <c r="Q2110" s="6" t="s">
        <v>67</v>
      </c>
      <c r="R2110" s="6" t="s">
        <v>384</v>
      </c>
      <c r="S2110" s="27" t="s">
        <v>8134</v>
      </c>
      <c r="T2110" s="6" t="s">
        <v>6138</v>
      </c>
      <c r="U2110" s="7" t="n">
        <v>2</v>
      </c>
      <c r="V2110" s="7" t="n">
        <v>2</v>
      </c>
      <c r="W2110" s="8" t="s">
        <v>19068</v>
      </c>
      <c r="X2110" s="8" t="s">
        <v>19068</v>
      </c>
      <c r="Y2110" s="8" t="s">
        <v>18364</v>
      </c>
      <c r="Z2110" s="8" t="s">
        <v>18364</v>
      </c>
      <c r="AA2110" s="7" t="n">
        <v>582</v>
      </c>
      <c r="AB2110" s="7" t="n">
        <v>476</v>
      </c>
      <c r="AC2110" s="7" t="n">
        <v>490</v>
      </c>
      <c r="AD2110" s="7" t="n">
        <v>5</v>
      </c>
      <c r="AE2110" s="7" t="n">
        <v>5</v>
      </c>
      <c r="AF2110" s="7" t="n">
        <v>25</v>
      </c>
      <c r="AG2110" s="7" t="n">
        <v>25</v>
      </c>
      <c r="AH2110" s="7" t="n">
        <v>8</v>
      </c>
      <c r="AI2110" s="7" t="n">
        <v>8</v>
      </c>
      <c r="AJ2110" s="7" t="n">
        <v>4</v>
      </c>
      <c r="AK2110" s="7" t="n">
        <v>4</v>
      </c>
      <c r="AL2110" s="7" t="n">
        <v>16</v>
      </c>
      <c r="AM2110" s="7" t="n">
        <v>16</v>
      </c>
      <c r="AN2110" s="7" t="n">
        <v>3</v>
      </c>
      <c r="AO2110" s="7" t="n">
        <v>3</v>
      </c>
      <c r="AP2110" s="7" t="n">
        <v>1</v>
      </c>
      <c r="AQ2110" s="7" t="n">
        <v>1</v>
      </c>
      <c r="AR2110" s="6" t="s">
        <v>63</v>
      </c>
      <c r="AS2110" s="6" t="s">
        <v>57</v>
      </c>
      <c r="AT2110" s="9" t="str">
        <f aca="false">HYPERLINK("http://catalog.hathitrust.org/Record/001383185","HathiTrust Record")</f>
        <v>HathiTrust Record</v>
      </c>
      <c r="AU2110" s="9" t="str">
        <f aca="false">HYPERLINK("https://creighton-primo.hosted.exlibrisgroup.com/primo-explore/search?tab=default_tab&amp;search_scope=EVERYTHING&amp;vid=01CRU&amp;lang=en_US&amp;offset=0&amp;query=any,contains,991000665369702656","Catalog Record")</f>
        <v>Catalog Record</v>
      </c>
      <c r="AV2110" s="9" t="str">
        <f aca="false">HYPERLINK("http://www.worldcat.org/oclc/118365","WorldCat Record")</f>
        <v>WorldCat Record</v>
      </c>
      <c r="AW2110" s="6" t="s">
        <v>19069</v>
      </c>
      <c r="AX2110" s="6" t="s">
        <v>19070</v>
      </c>
      <c r="AY2110" s="6" t="s">
        <v>19071</v>
      </c>
      <c r="AZ2110" s="6" t="s">
        <v>19071</v>
      </c>
      <c r="BA2110" s="6" t="s">
        <v>19072</v>
      </c>
      <c r="BB2110" s="6" t="s">
        <v>19073</v>
      </c>
      <c r="BC2110" s="6" t="s">
        <v>19074</v>
      </c>
      <c r="BE2110" s="15" t="s">
        <v>2145</v>
      </c>
      <c r="BF2110" s="6" t="s">
        <v>19075</v>
      </c>
    </row>
    <row r="2111" customFormat="false" ht="163" hidden="false" customHeight="false" outlineLevel="0" collapsed="false">
      <c r="A2111" s="26" t="s">
        <v>63</v>
      </c>
      <c r="B2111" s="27" t="s">
        <v>2129</v>
      </c>
      <c r="C2111" s="27" t="s">
        <v>2130</v>
      </c>
      <c r="D2111" s="27" t="s">
        <v>19076</v>
      </c>
      <c r="E2111" s="27" t="s">
        <v>19077</v>
      </c>
      <c r="F2111" s="27" t="s">
        <v>19078</v>
      </c>
      <c r="G2111" s="28"/>
      <c r="H2111" s="6" t="s">
        <v>57</v>
      </c>
      <c r="I2111" s="6" t="s">
        <v>62</v>
      </c>
      <c r="J2111" s="6" t="s">
        <v>57</v>
      </c>
      <c r="K2111" s="6" t="s">
        <v>63</v>
      </c>
      <c r="L2111" s="6" t="s">
        <v>64</v>
      </c>
      <c r="M2111" s="27" t="s">
        <v>16505</v>
      </c>
      <c r="N2111" s="27" t="s">
        <v>19079</v>
      </c>
      <c r="O2111" s="6" t="s">
        <v>254</v>
      </c>
      <c r="P2111" s="28"/>
      <c r="Q2111" s="6" t="s">
        <v>67</v>
      </c>
      <c r="R2111" s="6" t="s">
        <v>68</v>
      </c>
      <c r="S2111" s="28"/>
      <c r="T2111" s="6" t="s">
        <v>6138</v>
      </c>
      <c r="U2111" s="7" t="n">
        <v>2</v>
      </c>
      <c r="V2111" s="7" t="n">
        <v>3</v>
      </c>
      <c r="W2111" s="8" t="s">
        <v>8169</v>
      </c>
      <c r="X2111" s="8" t="s">
        <v>8169</v>
      </c>
      <c r="Y2111" s="8" t="s">
        <v>18364</v>
      </c>
      <c r="Z2111" s="8" t="s">
        <v>18364</v>
      </c>
      <c r="AA2111" s="7" t="n">
        <v>975</v>
      </c>
      <c r="AB2111" s="7" t="n">
        <v>899</v>
      </c>
      <c r="AC2111" s="7" t="n">
        <v>905</v>
      </c>
      <c r="AD2111" s="7" t="n">
        <v>9</v>
      </c>
      <c r="AE2111" s="7" t="n">
        <v>9</v>
      </c>
      <c r="AF2111" s="7" t="n">
        <v>40</v>
      </c>
      <c r="AG2111" s="7" t="n">
        <v>40</v>
      </c>
      <c r="AH2111" s="7" t="n">
        <v>17</v>
      </c>
      <c r="AI2111" s="7" t="n">
        <v>17</v>
      </c>
      <c r="AJ2111" s="7" t="n">
        <v>7</v>
      </c>
      <c r="AK2111" s="7" t="n">
        <v>7</v>
      </c>
      <c r="AL2111" s="7" t="n">
        <v>14</v>
      </c>
      <c r="AM2111" s="7" t="n">
        <v>14</v>
      </c>
      <c r="AN2111" s="7" t="n">
        <v>8</v>
      </c>
      <c r="AO2111" s="7" t="n">
        <v>8</v>
      </c>
      <c r="AP2111" s="7" t="n">
        <v>0</v>
      </c>
      <c r="AQ2111" s="7" t="n">
        <v>0</v>
      </c>
      <c r="AR2111" s="6" t="s">
        <v>63</v>
      </c>
      <c r="AS2111" s="6" t="s">
        <v>57</v>
      </c>
      <c r="AT2111" s="9" t="str">
        <f aca="false">HYPERLINK("http://catalog.hathitrust.org/Record/001383221","HathiTrust Record")</f>
        <v>HathiTrust Record</v>
      </c>
      <c r="AU2111" s="9" t="str">
        <f aca="false">HYPERLINK("https://creighton-primo.hosted.exlibrisgroup.com/primo-explore/search?tab=default_tab&amp;search_scope=EVERYTHING&amp;vid=01CRU&amp;lang=en_US&amp;offset=0&amp;query=any,contains,991003258939702656","Catalog Record")</f>
        <v>Catalog Record</v>
      </c>
      <c r="AV2111" s="9" t="str">
        <f aca="false">HYPERLINK("http://www.worldcat.org/oclc/784498","WorldCat Record")</f>
        <v>WorldCat Record</v>
      </c>
      <c r="AW2111" s="6" t="s">
        <v>19080</v>
      </c>
      <c r="AX2111" s="6" t="s">
        <v>19081</v>
      </c>
      <c r="AY2111" s="6" t="s">
        <v>19082</v>
      </c>
      <c r="AZ2111" s="6" t="s">
        <v>19082</v>
      </c>
      <c r="BA2111" s="6" t="s">
        <v>19083</v>
      </c>
      <c r="BB2111" s="28"/>
      <c r="BC2111" s="6" t="s">
        <v>19084</v>
      </c>
      <c r="BE2111" s="15" t="s">
        <v>2145</v>
      </c>
      <c r="BF2111" s="6" t="s">
        <v>19085</v>
      </c>
    </row>
    <row r="2112" customFormat="false" ht="151.5" hidden="false" customHeight="false" outlineLevel="0" collapsed="false">
      <c r="A2112" s="26" t="s">
        <v>63</v>
      </c>
      <c r="B2112" s="27" t="s">
        <v>2129</v>
      </c>
      <c r="C2112" s="27" t="s">
        <v>2130</v>
      </c>
      <c r="D2112" s="27" t="s">
        <v>19086</v>
      </c>
      <c r="E2112" s="27" t="s">
        <v>19087</v>
      </c>
      <c r="F2112" s="27" t="s">
        <v>19088</v>
      </c>
      <c r="G2112" s="28"/>
      <c r="H2112" s="6" t="s">
        <v>57</v>
      </c>
      <c r="I2112" s="6" t="s">
        <v>62</v>
      </c>
      <c r="J2112" s="6" t="s">
        <v>57</v>
      </c>
      <c r="K2112" s="6" t="s">
        <v>63</v>
      </c>
      <c r="L2112" s="6" t="s">
        <v>64</v>
      </c>
      <c r="M2112" s="27" t="s">
        <v>16505</v>
      </c>
      <c r="N2112" s="27" t="s">
        <v>19089</v>
      </c>
      <c r="O2112" s="6" t="s">
        <v>264</v>
      </c>
      <c r="P2112" s="28"/>
      <c r="Q2112" s="6" t="s">
        <v>67</v>
      </c>
      <c r="R2112" s="6" t="s">
        <v>68</v>
      </c>
      <c r="S2112" s="28"/>
      <c r="T2112" s="6" t="s">
        <v>6138</v>
      </c>
      <c r="U2112" s="7" t="n">
        <v>3</v>
      </c>
      <c r="V2112" s="7" t="n">
        <v>5</v>
      </c>
      <c r="W2112" s="8" t="s">
        <v>17077</v>
      </c>
      <c r="X2112" s="8" t="s">
        <v>17077</v>
      </c>
      <c r="Y2112" s="8" t="s">
        <v>18364</v>
      </c>
      <c r="Z2112" s="8" t="s">
        <v>18364</v>
      </c>
      <c r="AA2112" s="7" t="n">
        <v>196</v>
      </c>
      <c r="AB2112" s="7" t="n">
        <v>166</v>
      </c>
      <c r="AC2112" s="7" t="n">
        <v>172</v>
      </c>
      <c r="AD2112" s="7" t="n">
        <v>1</v>
      </c>
      <c r="AE2112" s="7" t="n">
        <v>1</v>
      </c>
      <c r="AF2112" s="7" t="n">
        <v>11</v>
      </c>
      <c r="AG2112" s="7" t="n">
        <v>12</v>
      </c>
      <c r="AH2112" s="7" t="n">
        <v>5</v>
      </c>
      <c r="AI2112" s="7" t="n">
        <v>5</v>
      </c>
      <c r="AJ2112" s="7" t="n">
        <v>2</v>
      </c>
      <c r="AK2112" s="7" t="n">
        <v>2</v>
      </c>
      <c r="AL2112" s="7" t="n">
        <v>7</v>
      </c>
      <c r="AM2112" s="7" t="n">
        <v>8</v>
      </c>
      <c r="AN2112" s="7" t="n">
        <v>0</v>
      </c>
      <c r="AO2112" s="7" t="n">
        <v>0</v>
      </c>
      <c r="AP2112" s="7" t="n">
        <v>0</v>
      </c>
      <c r="AQ2112" s="7" t="n">
        <v>0</v>
      </c>
      <c r="AR2112" s="6" t="s">
        <v>63</v>
      </c>
      <c r="AS2112" s="6" t="s">
        <v>57</v>
      </c>
      <c r="AT2112" s="9" t="str">
        <f aca="false">HYPERLINK("http://catalog.hathitrust.org/Record/004462594","HathiTrust Record")</f>
        <v>HathiTrust Record</v>
      </c>
      <c r="AU2112" s="9" t="str">
        <f aca="false">HYPERLINK("https://creighton-primo.hosted.exlibrisgroup.com/primo-explore/search?tab=default_tab&amp;search_scope=EVERYTHING&amp;vid=01CRU&amp;lang=en_US&amp;offset=0&amp;query=any,contains,991000546659702656","Catalog Record")</f>
        <v>Catalog Record</v>
      </c>
      <c r="AV2112" s="9" t="str">
        <f aca="false">HYPERLINK("http://www.worldcat.org/oclc/91561","WorldCat Record")</f>
        <v>WorldCat Record</v>
      </c>
      <c r="AW2112" s="6" t="s">
        <v>19090</v>
      </c>
      <c r="AX2112" s="6" t="s">
        <v>19091</v>
      </c>
      <c r="AY2112" s="6" t="s">
        <v>19092</v>
      </c>
      <c r="AZ2112" s="6" t="s">
        <v>19092</v>
      </c>
      <c r="BA2112" s="6" t="s">
        <v>19093</v>
      </c>
      <c r="BB2112" s="28"/>
      <c r="BC2112" s="6" t="s">
        <v>19094</v>
      </c>
      <c r="BE2112" s="15" t="s">
        <v>2145</v>
      </c>
      <c r="BF2112" s="6" t="s">
        <v>19095</v>
      </c>
    </row>
    <row r="2113" customFormat="false" ht="71" hidden="false" customHeight="false" outlineLevel="0" collapsed="false">
      <c r="A2113" s="26" t="s">
        <v>63</v>
      </c>
      <c r="B2113" s="27" t="s">
        <v>2129</v>
      </c>
      <c r="C2113" s="27" t="s">
        <v>2130</v>
      </c>
      <c r="D2113" s="27" t="s">
        <v>19096</v>
      </c>
      <c r="E2113" s="27" t="s">
        <v>19097</v>
      </c>
      <c r="F2113" s="27" t="s">
        <v>19098</v>
      </c>
      <c r="G2113" s="28"/>
      <c r="H2113" s="6" t="s">
        <v>63</v>
      </c>
      <c r="I2113" s="6" t="s">
        <v>62</v>
      </c>
      <c r="J2113" s="6" t="s">
        <v>63</v>
      </c>
      <c r="K2113" s="6" t="s">
        <v>63</v>
      </c>
      <c r="L2113" s="6" t="s">
        <v>64</v>
      </c>
      <c r="M2113" s="27" t="s">
        <v>5425</v>
      </c>
      <c r="N2113" s="27" t="s">
        <v>19099</v>
      </c>
      <c r="O2113" s="6" t="s">
        <v>264</v>
      </c>
      <c r="P2113" s="28"/>
      <c r="Q2113" s="6" t="s">
        <v>67</v>
      </c>
      <c r="R2113" s="6" t="s">
        <v>1059</v>
      </c>
      <c r="S2113" s="28"/>
      <c r="T2113" s="6" t="s">
        <v>6138</v>
      </c>
      <c r="U2113" s="7" t="n">
        <v>4</v>
      </c>
      <c r="V2113" s="7" t="n">
        <v>4</v>
      </c>
      <c r="W2113" s="8" t="s">
        <v>19100</v>
      </c>
      <c r="X2113" s="8" t="s">
        <v>19100</v>
      </c>
      <c r="Y2113" s="8" t="s">
        <v>16816</v>
      </c>
      <c r="Z2113" s="8" t="s">
        <v>16816</v>
      </c>
      <c r="AA2113" s="7" t="n">
        <v>428</v>
      </c>
      <c r="AB2113" s="7" t="n">
        <v>401</v>
      </c>
      <c r="AC2113" s="7" t="n">
        <v>591</v>
      </c>
      <c r="AD2113" s="7" t="n">
        <v>6</v>
      </c>
      <c r="AE2113" s="7" t="n">
        <v>6</v>
      </c>
      <c r="AF2113" s="7" t="n">
        <v>23</v>
      </c>
      <c r="AG2113" s="7" t="n">
        <v>34</v>
      </c>
      <c r="AH2113" s="7" t="n">
        <v>7</v>
      </c>
      <c r="AI2113" s="7" t="n">
        <v>11</v>
      </c>
      <c r="AJ2113" s="7" t="n">
        <v>4</v>
      </c>
      <c r="AK2113" s="7" t="n">
        <v>6</v>
      </c>
      <c r="AL2113" s="7" t="n">
        <v>13</v>
      </c>
      <c r="AM2113" s="7" t="n">
        <v>22</v>
      </c>
      <c r="AN2113" s="7" t="n">
        <v>5</v>
      </c>
      <c r="AO2113" s="7" t="n">
        <v>5</v>
      </c>
      <c r="AP2113" s="7" t="n">
        <v>0</v>
      </c>
      <c r="AQ2113" s="7" t="n">
        <v>0</v>
      </c>
      <c r="AR2113" s="6" t="s">
        <v>63</v>
      </c>
      <c r="AS2113" s="6" t="s">
        <v>57</v>
      </c>
      <c r="AT2113" s="9" t="str">
        <f aca="false">HYPERLINK("http://catalog.hathitrust.org/Record/009512343","HathiTrust Record")</f>
        <v>HathiTrust Record</v>
      </c>
      <c r="AU2113" s="9" t="str">
        <f aca="false">HYPERLINK("https://creighton-primo.hosted.exlibrisgroup.com/primo-explore/search?tab=default_tab&amp;search_scope=EVERYTHING&amp;vid=01CRU&amp;lang=en_US&amp;offset=0&amp;query=any,contains,991000639249702656","Catalog Record")</f>
        <v>Catalog Record</v>
      </c>
      <c r="AV2113" s="9" t="str">
        <f aca="false">HYPERLINK("http://www.worldcat.org/oclc/108710","WorldCat Record")</f>
        <v>WorldCat Record</v>
      </c>
      <c r="AW2113" s="6" t="s">
        <v>19101</v>
      </c>
      <c r="AX2113" s="6" t="s">
        <v>19102</v>
      </c>
      <c r="AY2113" s="6" t="s">
        <v>19103</v>
      </c>
      <c r="AZ2113" s="6" t="s">
        <v>19103</v>
      </c>
      <c r="BA2113" s="6" t="s">
        <v>19104</v>
      </c>
      <c r="BB2113" s="28"/>
      <c r="BC2113" s="6" t="s">
        <v>19105</v>
      </c>
      <c r="BE2113" s="15" t="s">
        <v>2145</v>
      </c>
      <c r="BF2113" s="6" t="s">
        <v>19106</v>
      </c>
    </row>
    <row r="2114" customFormat="false" ht="151.5" hidden="false" customHeight="false" outlineLevel="0" collapsed="false">
      <c r="A2114" s="26" t="s">
        <v>63</v>
      </c>
      <c r="B2114" s="27" t="s">
        <v>2129</v>
      </c>
      <c r="C2114" s="27" t="s">
        <v>2130</v>
      </c>
      <c r="D2114" s="27" t="s">
        <v>19107</v>
      </c>
      <c r="E2114" s="27" t="s">
        <v>19108</v>
      </c>
      <c r="F2114" s="27" t="s">
        <v>19109</v>
      </c>
      <c r="G2114" s="28"/>
      <c r="H2114" s="6" t="s">
        <v>63</v>
      </c>
      <c r="I2114" s="6" t="s">
        <v>62</v>
      </c>
      <c r="J2114" s="6" t="s">
        <v>63</v>
      </c>
      <c r="K2114" s="6" t="s">
        <v>63</v>
      </c>
      <c r="L2114" s="6" t="s">
        <v>64</v>
      </c>
      <c r="M2114" s="27" t="s">
        <v>11098</v>
      </c>
      <c r="N2114" s="27" t="s">
        <v>19110</v>
      </c>
      <c r="O2114" s="6" t="s">
        <v>3068</v>
      </c>
      <c r="P2114" s="27" t="s">
        <v>19111</v>
      </c>
      <c r="Q2114" s="6" t="s">
        <v>67</v>
      </c>
      <c r="R2114" s="6" t="s">
        <v>123</v>
      </c>
      <c r="S2114" s="28"/>
      <c r="T2114" s="6" t="s">
        <v>6138</v>
      </c>
      <c r="U2114" s="7" t="n">
        <v>1</v>
      </c>
      <c r="V2114" s="7" t="n">
        <v>1</v>
      </c>
      <c r="W2114" s="8" t="s">
        <v>7133</v>
      </c>
      <c r="X2114" s="8" t="s">
        <v>7133</v>
      </c>
      <c r="Y2114" s="8" t="s">
        <v>18533</v>
      </c>
      <c r="Z2114" s="8" t="s">
        <v>18533</v>
      </c>
      <c r="AA2114" s="7" t="n">
        <v>357</v>
      </c>
      <c r="AB2114" s="7" t="n">
        <v>336</v>
      </c>
      <c r="AC2114" s="7" t="n">
        <v>353</v>
      </c>
      <c r="AD2114" s="7" t="n">
        <v>3</v>
      </c>
      <c r="AE2114" s="7" t="n">
        <v>4</v>
      </c>
      <c r="AF2114" s="7" t="n">
        <v>14</v>
      </c>
      <c r="AG2114" s="7" t="n">
        <v>14</v>
      </c>
      <c r="AH2114" s="7" t="n">
        <v>7</v>
      </c>
      <c r="AI2114" s="7" t="n">
        <v>7</v>
      </c>
      <c r="AJ2114" s="7" t="n">
        <v>2</v>
      </c>
      <c r="AK2114" s="7" t="n">
        <v>2</v>
      </c>
      <c r="AL2114" s="7" t="n">
        <v>8</v>
      </c>
      <c r="AM2114" s="7" t="n">
        <v>8</v>
      </c>
      <c r="AN2114" s="7" t="n">
        <v>2</v>
      </c>
      <c r="AO2114" s="7" t="n">
        <v>2</v>
      </c>
      <c r="AP2114" s="7" t="n">
        <v>0</v>
      </c>
      <c r="AQ2114" s="7" t="n">
        <v>0</v>
      </c>
      <c r="AR2114" s="6" t="s">
        <v>63</v>
      </c>
      <c r="AS2114" s="6" t="s">
        <v>57</v>
      </c>
      <c r="AT2114" s="9" t="str">
        <f aca="false">HYPERLINK("http://catalog.hathitrust.org/Record/001383449","HathiTrust Record")</f>
        <v>HathiTrust Record</v>
      </c>
      <c r="AU2114" s="9" t="str">
        <f aca="false">HYPERLINK("https://creighton-primo.hosted.exlibrisgroup.com/primo-explore/search?tab=default_tab&amp;search_scope=EVERYTHING&amp;vid=01CRU&amp;lang=en_US&amp;offset=0&amp;query=any,contains,991003751469702656","Catalog Record")</f>
        <v>Catalog Record</v>
      </c>
      <c r="AV2114" s="9" t="str">
        <f aca="false">HYPERLINK("http://www.worldcat.org/oclc/1428455","WorldCat Record")</f>
        <v>WorldCat Record</v>
      </c>
      <c r="AW2114" s="6" t="s">
        <v>19112</v>
      </c>
      <c r="AX2114" s="6" t="s">
        <v>19113</v>
      </c>
      <c r="AY2114" s="6" t="s">
        <v>19114</v>
      </c>
      <c r="AZ2114" s="6" t="s">
        <v>19114</v>
      </c>
      <c r="BA2114" s="6" t="s">
        <v>19115</v>
      </c>
      <c r="BB2114" s="28"/>
      <c r="BC2114" s="6" t="s">
        <v>19116</v>
      </c>
      <c r="BE2114" s="15" t="s">
        <v>2145</v>
      </c>
      <c r="BF2114" s="6" t="s">
        <v>19117</v>
      </c>
    </row>
    <row r="2115" customFormat="false" ht="105.5" hidden="false" customHeight="false" outlineLevel="0" collapsed="false">
      <c r="A2115" s="26" t="s">
        <v>63</v>
      </c>
      <c r="B2115" s="27" t="s">
        <v>2129</v>
      </c>
      <c r="C2115" s="27" t="s">
        <v>2130</v>
      </c>
      <c r="D2115" s="27" t="s">
        <v>19118</v>
      </c>
      <c r="E2115" s="27" t="s">
        <v>19119</v>
      </c>
      <c r="F2115" s="27" t="s">
        <v>19120</v>
      </c>
      <c r="G2115" s="28"/>
      <c r="H2115" s="6" t="s">
        <v>63</v>
      </c>
      <c r="I2115" s="6" t="s">
        <v>62</v>
      </c>
      <c r="J2115" s="6" t="s">
        <v>63</v>
      </c>
      <c r="K2115" s="6" t="s">
        <v>63</v>
      </c>
      <c r="L2115" s="6" t="s">
        <v>64</v>
      </c>
      <c r="M2115" s="27" t="s">
        <v>11993</v>
      </c>
      <c r="N2115" s="27" t="s">
        <v>19121</v>
      </c>
      <c r="O2115" s="6" t="s">
        <v>3340</v>
      </c>
      <c r="P2115" s="28"/>
      <c r="Q2115" s="6" t="s">
        <v>67</v>
      </c>
      <c r="R2115" s="6" t="s">
        <v>68</v>
      </c>
      <c r="S2115" s="28"/>
      <c r="T2115" s="6" t="s">
        <v>6138</v>
      </c>
      <c r="U2115" s="7" t="n">
        <v>2</v>
      </c>
      <c r="V2115" s="7" t="n">
        <v>2</v>
      </c>
      <c r="W2115" s="8" t="s">
        <v>19122</v>
      </c>
      <c r="X2115" s="8" t="s">
        <v>19122</v>
      </c>
      <c r="Y2115" s="8" t="s">
        <v>18364</v>
      </c>
      <c r="Z2115" s="8" t="s">
        <v>18364</v>
      </c>
      <c r="AA2115" s="7" t="n">
        <v>1051</v>
      </c>
      <c r="AB2115" s="7" t="n">
        <v>992</v>
      </c>
      <c r="AC2115" s="7" t="n">
        <v>1030</v>
      </c>
      <c r="AD2115" s="7" t="n">
        <v>6</v>
      </c>
      <c r="AE2115" s="7" t="n">
        <v>6</v>
      </c>
      <c r="AF2115" s="7" t="n">
        <v>37</v>
      </c>
      <c r="AG2115" s="7" t="n">
        <v>38</v>
      </c>
      <c r="AH2115" s="7" t="n">
        <v>14</v>
      </c>
      <c r="AI2115" s="7" t="n">
        <v>15</v>
      </c>
      <c r="AJ2115" s="7" t="n">
        <v>10</v>
      </c>
      <c r="AK2115" s="7" t="n">
        <v>10</v>
      </c>
      <c r="AL2115" s="7" t="n">
        <v>22</v>
      </c>
      <c r="AM2115" s="7" t="n">
        <v>22</v>
      </c>
      <c r="AN2115" s="7" t="n">
        <v>2</v>
      </c>
      <c r="AO2115" s="7" t="n">
        <v>2</v>
      </c>
      <c r="AP2115" s="7" t="n">
        <v>1</v>
      </c>
      <c r="AQ2115" s="7" t="n">
        <v>1</v>
      </c>
      <c r="AR2115" s="6" t="s">
        <v>63</v>
      </c>
      <c r="AS2115" s="6" t="s">
        <v>57</v>
      </c>
      <c r="AT2115" s="9" t="str">
        <f aca="false">HYPERLINK("http://catalog.hathitrust.org/Record/000173484","HathiTrust Record")</f>
        <v>HathiTrust Record</v>
      </c>
      <c r="AU2115" s="9" t="str">
        <f aca="false">HYPERLINK("https://creighton-primo.hosted.exlibrisgroup.com/primo-explore/search?tab=default_tab&amp;search_scope=EVERYTHING&amp;vid=01CRU&amp;lang=en_US&amp;offset=0&amp;query=any,contains,991004246819702656","Catalog Record")</f>
        <v>Catalog Record</v>
      </c>
      <c r="AV2115" s="9" t="str">
        <f aca="false">HYPERLINK("http://www.worldcat.org/oclc/2798761","WorldCat Record")</f>
        <v>WorldCat Record</v>
      </c>
      <c r="AW2115" s="6" t="s">
        <v>19123</v>
      </c>
      <c r="AX2115" s="6" t="s">
        <v>19124</v>
      </c>
      <c r="AY2115" s="6" t="s">
        <v>19125</v>
      </c>
      <c r="AZ2115" s="6" t="s">
        <v>19125</v>
      </c>
      <c r="BA2115" s="6" t="s">
        <v>19126</v>
      </c>
      <c r="BB2115" s="6" t="s">
        <v>19127</v>
      </c>
      <c r="BC2115" s="6" t="s">
        <v>19128</v>
      </c>
      <c r="BE2115" s="15" t="s">
        <v>2145</v>
      </c>
      <c r="BF2115" s="6" t="s">
        <v>19129</v>
      </c>
    </row>
    <row r="2116" customFormat="false" ht="71" hidden="false" customHeight="false" outlineLevel="0" collapsed="false">
      <c r="A2116" s="26" t="s">
        <v>63</v>
      </c>
      <c r="B2116" s="27" t="s">
        <v>2129</v>
      </c>
      <c r="C2116" s="27" t="s">
        <v>2130</v>
      </c>
      <c r="D2116" s="27" t="s">
        <v>19130</v>
      </c>
      <c r="E2116" s="27" t="s">
        <v>19131</v>
      </c>
      <c r="F2116" s="27" t="s">
        <v>19132</v>
      </c>
      <c r="G2116" s="28"/>
      <c r="H2116" s="6" t="s">
        <v>63</v>
      </c>
      <c r="I2116" s="6" t="s">
        <v>62</v>
      </c>
      <c r="J2116" s="6" t="s">
        <v>63</v>
      </c>
      <c r="K2116" s="6" t="s">
        <v>63</v>
      </c>
      <c r="L2116" s="6" t="s">
        <v>64</v>
      </c>
      <c r="M2116" s="27" t="s">
        <v>19133</v>
      </c>
      <c r="N2116" s="27" t="s">
        <v>14146</v>
      </c>
      <c r="O2116" s="6" t="s">
        <v>2975</v>
      </c>
      <c r="P2116" s="28"/>
      <c r="Q2116" s="6" t="s">
        <v>67</v>
      </c>
      <c r="R2116" s="6" t="s">
        <v>272</v>
      </c>
      <c r="S2116" s="28"/>
      <c r="T2116" s="6" t="s">
        <v>6138</v>
      </c>
      <c r="U2116" s="7" t="n">
        <v>7</v>
      </c>
      <c r="V2116" s="7" t="n">
        <v>7</v>
      </c>
      <c r="W2116" s="8" t="s">
        <v>19134</v>
      </c>
      <c r="X2116" s="8" t="s">
        <v>19134</v>
      </c>
      <c r="Y2116" s="8" t="s">
        <v>18364</v>
      </c>
      <c r="Z2116" s="8" t="s">
        <v>18364</v>
      </c>
      <c r="AA2116" s="7" t="n">
        <v>844</v>
      </c>
      <c r="AB2116" s="7" t="n">
        <v>696</v>
      </c>
      <c r="AC2116" s="7" t="n">
        <v>1116</v>
      </c>
      <c r="AD2116" s="7" t="n">
        <v>6</v>
      </c>
      <c r="AE2116" s="7" t="n">
        <v>9</v>
      </c>
      <c r="AF2116" s="7" t="n">
        <v>37</v>
      </c>
      <c r="AG2116" s="7" t="n">
        <v>53</v>
      </c>
      <c r="AH2116" s="7" t="n">
        <v>16</v>
      </c>
      <c r="AI2116" s="7" t="n">
        <v>23</v>
      </c>
      <c r="AJ2116" s="7" t="n">
        <v>9</v>
      </c>
      <c r="AK2116" s="7" t="n">
        <v>11</v>
      </c>
      <c r="AL2116" s="7" t="n">
        <v>15</v>
      </c>
      <c r="AM2116" s="7" t="n">
        <v>25</v>
      </c>
      <c r="AN2116" s="7" t="n">
        <v>5</v>
      </c>
      <c r="AO2116" s="7" t="n">
        <v>8</v>
      </c>
      <c r="AP2116" s="7" t="n">
        <v>0</v>
      </c>
      <c r="AQ2116" s="7" t="n">
        <v>0</v>
      </c>
      <c r="AR2116" s="6" t="s">
        <v>63</v>
      </c>
      <c r="AS2116" s="6" t="s">
        <v>63</v>
      </c>
      <c r="AT2116" s="28"/>
      <c r="AU2116" s="9" t="str">
        <f aca="false">HYPERLINK("https://creighton-primo.hosted.exlibrisgroup.com/primo-explore/search?tab=default_tab&amp;search_scope=EVERYTHING&amp;vid=01CRU&amp;lang=en_US&amp;offset=0&amp;query=any,contains,991000123459702656","Catalog Record")</f>
        <v>Catalog Record</v>
      </c>
      <c r="AV2116" s="9" t="str">
        <f aca="false">HYPERLINK("http://www.worldcat.org/oclc/51016","WorldCat Record")</f>
        <v>WorldCat Record</v>
      </c>
      <c r="AW2116" s="6" t="s">
        <v>19135</v>
      </c>
      <c r="AX2116" s="6" t="s">
        <v>19136</v>
      </c>
      <c r="AY2116" s="6" t="s">
        <v>19137</v>
      </c>
      <c r="AZ2116" s="6" t="s">
        <v>19137</v>
      </c>
      <c r="BA2116" s="6" t="s">
        <v>19138</v>
      </c>
      <c r="BB2116" s="28"/>
      <c r="BC2116" s="6" t="s">
        <v>19139</v>
      </c>
      <c r="BE2116" s="15" t="s">
        <v>2145</v>
      </c>
      <c r="BF2116" s="6" t="s">
        <v>19140</v>
      </c>
    </row>
    <row r="2117" customFormat="false" ht="117" hidden="false" customHeight="false" outlineLevel="0" collapsed="false">
      <c r="A2117" s="26" t="s">
        <v>63</v>
      </c>
      <c r="B2117" s="27" t="s">
        <v>2129</v>
      </c>
      <c r="C2117" s="27" t="s">
        <v>2130</v>
      </c>
      <c r="D2117" s="27" t="s">
        <v>19141</v>
      </c>
      <c r="E2117" s="27" t="s">
        <v>19142</v>
      </c>
      <c r="F2117" s="27" t="s">
        <v>19143</v>
      </c>
      <c r="G2117" s="28"/>
      <c r="H2117" s="6" t="s">
        <v>63</v>
      </c>
      <c r="I2117" s="6" t="s">
        <v>62</v>
      </c>
      <c r="J2117" s="6" t="s">
        <v>63</v>
      </c>
      <c r="K2117" s="6" t="s">
        <v>63</v>
      </c>
      <c r="L2117" s="6" t="s">
        <v>64</v>
      </c>
      <c r="M2117" s="27" t="s">
        <v>5556</v>
      </c>
      <c r="N2117" s="27" t="s">
        <v>19144</v>
      </c>
      <c r="O2117" s="6" t="s">
        <v>2893</v>
      </c>
      <c r="P2117" s="28"/>
      <c r="Q2117" s="6" t="s">
        <v>67</v>
      </c>
      <c r="R2117" s="6" t="s">
        <v>68</v>
      </c>
      <c r="S2117" s="27" t="s">
        <v>19145</v>
      </c>
      <c r="T2117" s="6" t="s">
        <v>6138</v>
      </c>
      <c r="U2117" s="7" t="n">
        <v>1</v>
      </c>
      <c r="V2117" s="7" t="n">
        <v>1</v>
      </c>
      <c r="W2117" s="8" t="s">
        <v>19146</v>
      </c>
      <c r="X2117" s="8" t="s">
        <v>19146</v>
      </c>
      <c r="Y2117" s="8" t="s">
        <v>18364</v>
      </c>
      <c r="Z2117" s="8" t="s">
        <v>18364</v>
      </c>
      <c r="AA2117" s="7" t="n">
        <v>88</v>
      </c>
      <c r="AB2117" s="7" t="n">
        <v>79</v>
      </c>
      <c r="AC2117" s="7" t="n">
        <v>616</v>
      </c>
      <c r="AD2117" s="7" t="n">
        <v>1</v>
      </c>
      <c r="AE2117" s="7" t="n">
        <v>2</v>
      </c>
      <c r="AF2117" s="7" t="n">
        <v>3</v>
      </c>
      <c r="AG2117" s="7" t="n">
        <v>21</v>
      </c>
      <c r="AH2117" s="7" t="n">
        <v>1</v>
      </c>
      <c r="AI2117" s="7" t="n">
        <v>7</v>
      </c>
      <c r="AJ2117" s="7" t="n">
        <v>1</v>
      </c>
      <c r="AK2117" s="7" t="n">
        <v>8</v>
      </c>
      <c r="AL2117" s="7" t="n">
        <v>3</v>
      </c>
      <c r="AM2117" s="7" t="n">
        <v>12</v>
      </c>
      <c r="AN2117" s="7" t="n">
        <v>0</v>
      </c>
      <c r="AO2117" s="7" t="n">
        <v>1</v>
      </c>
      <c r="AP2117" s="7" t="n">
        <v>0</v>
      </c>
      <c r="AQ2117" s="7" t="n">
        <v>1</v>
      </c>
      <c r="AR2117" s="6" t="s">
        <v>63</v>
      </c>
      <c r="AS2117" s="6" t="s">
        <v>57</v>
      </c>
      <c r="AT2117" s="9" t="str">
        <f aca="false">HYPERLINK("http://catalog.hathitrust.org/Record/006854093","HathiTrust Record")</f>
        <v>HathiTrust Record</v>
      </c>
      <c r="AU2117" s="9" t="str">
        <f aca="false">HYPERLINK("https://creighton-primo.hosted.exlibrisgroup.com/primo-explore/search?tab=default_tab&amp;search_scope=EVERYTHING&amp;vid=01CRU&amp;lang=en_US&amp;offset=0&amp;query=any,contains,991003612509702656","Catalog Record")</f>
        <v>Catalog Record</v>
      </c>
      <c r="AV2117" s="9" t="str">
        <f aca="false">HYPERLINK("http://www.worldcat.org/oclc/1195114","WorldCat Record")</f>
        <v>WorldCat Record</v>
      </c>
      <c r="AW2117" s="6" t="s">
        <v>19147</v>
      </c>
      <c r="AX2117" s="6" t="s">
        <v>19148</v>
      </c>
      <c r="AY2117" s="6" t="s">
        <v>19149</v>
      </c>
      <c r="AZ2117" s="6" t="s">
        <v>19149</v>
      </c>
      <c r="BA2117" s="6" t="s">
        <v>19150</v>
      </c>
      <c r="BB2117" s="6" t="s">
        <v>19151</v>
      </c>
      <c r="BC2117" s="6" t="s">
        <v>19152</v>
      </c>
      <c r="BE2117" s="15" t="s">
        <v>2145</v>
      </c>
      <c r="BF2117" s="6" t="s">
        <v>19153</v>
      </c>
    </row>
    <row r="2118" customFormat="false" ht="186" hidden="false" customHeight="false" outlineLevel="0" collapsed="false">
      <c r="A2118" s="26" t="s">
        <v>63</v>
      </c>
      <c r="B2118" s="27" t="s">
        <v>2129</v>
      </c>
      <c r="C2118" s="27" t="s">
        <v>2130</v>
      </c>
      <c r="D2118" s="27" t="s">
        <v>19154</v>
      </c>
      <c r="E2118" s="27" t="s">
        <v>19155</v>
      </c>
      <c r="F2118" s="27" t="s">
        <v>19156</v>
      </c>
      <c r="G2118" s="28"/>
      <c r="H2118" s="6" t="s">
        <v>63</v>
      </c>
      <c r="I2118" s="6" t="s">
        <v>62</v>
      </c>
      <c r="J2118" s="6" t="s">
        <v>63</v>
      </c>
      <c r="K2118" s="6" t="s">
        <v>63</v>
      </c>
      <c r="L2118" s="6" t="s">
        <v>64</v>
      </c>
      <c r="M2118" s="27" t="s">
        <v>16505</v>
      </c>
      <c r="N2118" s="27" t="s">
        <v>19157</v>
      </c>
      <c r="O2118" s="6" t="s">
        <v>233</v>
      </c>
      <c r="P2118" s="28"/>
      <c r="Q2118" s="6" t="s">
        <v>67</v>
      </c>
      <c r="R2118" s="6" t="s">
        <v>68</v>
      </c>
      <c r="S2118" s="27" t="s">
        <v>19158</v>
      </c>
      <c r="T2118" s="6" t="s">
        <v>6138</v>
      </c>
      <c r="U2118" s="7" t="n">
        <v>2</v>
      </c>
      <c r="V2118" s="7" t="n">
        <v>2</v>
      </c>
      <c r="W2118" s="8" t="s">
        <v>19159</v>
      </c>
      <c r="X2118" s="8" t="s">
        <v>19159</v>
      </c>
      <c r="Y2118" s="8" t="s">
        <v>18364</v>
      </c>
      <c r="Z2118" s="8" t="s">
        <v>18364</v>
      </c>
      <c r="AA2118" s="7" t="n">
        <v>653</v>
      </c>
      <c r="AB2118" s="7" t="n">
        <v>582</v>
      </c>
      <c r="AC2118" s="7" t="n">
        <v>721</v>
      </c>
      <c r="AD2118" s="7" t="n">
        <v>4</v>
      </c>
      <c r="AE2118" s="7" t="n">
        <v>4</v>
      </c>
      <c r="AF2118" s="7" t="n">
        <v>21</v>
      </c>
      <c r="AG2118" s="7" t="n">
        <v>28</v>
      </c>
      <c r="AH2118" s="7" t="n">
        <v>7</v>
      </c>
      <c r="AI2118" s="7" t="n">
        <v>12</v>
      </c>
      <c r="AJ2118" s="7" t="n">
        <v>3</v>
      </c>
      <c r="AK2118" s="7" t="n">
        <v>4</v>
      </c>
      <c r="AL2118" s="7" t="n">
        <v>11</v>
      </c>
      <c r="AM2118" s="7" t="n">
        <v>15</v>
      </c>
      <c r="AN2118" s="7" t="n">
        <v>2</v>
      </c>
      <c r="AO2118" s="7" t="n">
        <v>2</v>
      </c>
      <c r="AP2118" s="7" t="n">
        <v>0</v>
      </c>
      <c r="AQ2118" s="7" t="n">
        <v>0</v>
      </c>
      <c r="AR2118" s="6" t="s">
        <v>63</v>
      </c>
      <c r="AS2118" s="6" t="s">
        <v>63</v>
      </c>
      <c r="AT2118" s="28"/>
      <c r="AU2118" s="9" t="str">
        <f aca="false">HYPERLINK("https://creighton-primo.hosted.exlibrisgroup.com/primo-explore/search?tab=default_tab&amp;search_scope=EVERYTHING&amp;vid=01CRU&amp;lang=en_US&amp;offset=0&amp;query=any,contains,991002284519702656","Catalog Record")</f>
        <v>Catalog Record</v>
      </c>
      <c r="AV2118" s="9" t="str">
        <f aca="false">HYPERLINK("http://www.worldcat.org/oclc/311167","WorldCat Record")</f>
        <v>WorldCat Record</v>
      </c>
      <c r="AW2118" s="6" t="s">
        <v>19160</v>
      </c>
      <c r="AX2118" s="6" t="s">
        <v>19161</v>
      </c>
      <c r="AY2118" s="6" t="s">
        <v>19162</v>
      </c>
      <c r="AZ2118" s="6" t="s">
        <v>19162</v>
      </c>
      <c r="BA2118" s="6" t="s">
        <v>19163</v>
      </c>
      <c r="BB2118" s="28"/>
      <c r="BC2118" s="6" t="s">
        <v>19164</v>
      </c>
      <c r="BE2118" s="15" t="s">
        <v>2145</v>
      </c>
      <c r="BF2118" s="6" t="s">
        <v>19165</v>
      </c>
    </row>
    <row r="2119" customFormat="false" ht="163" hidden="false" customHeight="false" outlineLevel="0" collapsed="false">
      <c r="A2119" s="26" t="s">
        <v>63</v>
      </c>
      <c r="B2119" s="27" t="s">
        <v>2129</v>
      </c>
      <c r="C2119" s="27" t="s">
        <v>2130</v>
      </c>
      <c r="D2119" s="27" t="s">
        <v>19166</v>
      </c>
      <c r="E2119" s="27" t="s">
        <v>19167</v>
      </c>
      <c r="F2119" s="27" t="s">
        <v>19078</v>
      </c>
      <c r="G2119" s="28"/>
      <c r="H2119" s="6" t="s">
        <v>57</v>
      </c>
      <c r="I2119" s="6" t="s">
        <v>62</v>
      </c>
      <c r="J2119" s="6" t="s">
        <v>57</v>
      </c>
      <c r="K2119" s="6" t="s">
        <v>63</v>
      </c>
      <c r="L2119" s="6" t="s">
        <v>64</v>
      </c>
      <c r="M2119" s="27" t="s">
        <v>16505</v>
      </c>
      <c r="N2119" s="27" t="s">
        <v>19079</v>
      </c>
      <c r="O2119" s="6" t="s">
        <v>254</v>
      </c>
      <c r="P2119" s="28"/>
      <c r="Q2119" s="6" t="s">
        <v>67</v>
      </c>
      <c r="R2119" s="6" t="s">
        <v>68</v>
      </c>
      <c r="S2119" s="28"/>
      <c r="T2119" s="6" t="s">
        <v>6138</v>
      </c>
      <c r="U2119" s="7" t="n">
        <v>1</v>
      </c>
      <c r="V2119" s="7" t="n">
        <v>3</v>
      </c>
      <c r="W2119" s="8" t="s">
        <v>8169</v>
      </c>
      <c r="X2119" s="8" t="s">
        <v>8169</v>
      </c>
      <c r="Y2119" s="8" t="s">
        <v>18364</v>
      </c>
      <c r="Z2119" s="8" t="s">
        <v>18364</v>
      </c>
      <c r="AA2119" s="7" t="n">
        <v>975</v>
      </c>
      <c r="AB2119" s="7" t="n">
        <v>899</v>
      </c>
      <c r="AC2119" s="7" t="n">
        <v>905</v>
      </c>
      <c r="AD2119" s="7" t="n">
        <v>9</v>
      </c>
      <c r="AE2119" s="7" t="n">
        <v>9</v>
      </c>
      <c r="AF2119" s="7" t="n">
        <v>40</v>
      </c>
      <c r="AG2119" s="7" t="n">
        <v>40</v>
      </c>
      <c r="AH2119" s="7" t="n">
        <v>17</v>
      </c>
      <c r="AI2119" s="7" t="n">
        <v>17</v>
      </c>
      <c r="AJ2119" s="7" t="n">
        <v>7</v>
      </c>
      <c r="AK2119" s="7" t="n">
        <v>7</v>
      </c>
      <c r="AL2119" s="7" t="n">
        <v>14</v>
      </c>
      <c r="AM2119" s="7" t="n">
        <v>14</v>
      </c>
      <c r="AN2119" s="7" t="n">
        <v>8</v>
      </c>
      <c r="AO2119" s="7" t="n">
        <v>8</v>
      </c>
      <c r="AP2119" s="7" t="n">
        <v>0</v>
      </c>
      <c r="AQ2119" s="7" t="n">
        <v>0</v>
      </c>
      <c r="AR2119" s="6" t="s">
        <v>63</v>
      </c>
      <c r="AS2119" s="6" t="s">
        <v>57</v>
      </c>
      <c r="AT2119" s="9" t="str">
        <f aca="false">HYPERLINK("http://catalog.hathitrust.org/Record/001383221","HathiTrust Record")</f>
        <v>HathiTrust Record</v>
      </c>
      <c r="AU2119" s="9" t="str">
        <f aca="false">HYPERLINK("https://creighton-primo.hosted.exlibrisgroup.com/primo-explore/search?tab=default_tab&amp;search_scope=EVERYTHING&amp;vid=01CRU&amp;lang=en_US&amp;offset=0&amp;query=any,contains,991003258939702656","Catalog Record")</f>
        <v>Catalog Record</v>
      </c>
      <c r="AV2119" s="9" t="str">
        <f aca="false">HYPERLINK("http://www.worldcat.org/oclc/784498","WorldCat Record")</f>
        <v>WorldCat Record</v>
      </c>
      <c r="AW2119" s="6" t="s">
        <v>19080</v>
      </c>
      <c r="AX2119" s="6" t="s">
        <v>19081</v>
      </c>
      <c r="AY2119" s="6" t="s">
        <v>19082</v>
      </c>
      <c r="AZ2119" s="6" t="s">
        <v>19082</v>
      </c>
      <c r="BA2119" s="6" t="s">
        <v>19083</v>
      </c>
      <c r="BB2119" s="28"/>
      <c r="BC2119" s="6" t="s">
        <v>19168</v>
      </c>
      <c r="BE2119" s="15" t="s">
        <v>2145</v>
      </c>
      <c r="BF2119" s="6" t="s">
        <v>19169</v>
      </c>
    </row>
    <row r="2120" customFormat="false" ht="163" hidden="false" customHeight="false" outlineLevel="0" collapsed="false">
      <c r="A2120" s="26" t="s">
        <v>63</v>
      </c>
      <c r="B2120" s="27" t="s">
        <v>2129</v>
      </c>
      <c r="C2120" s="27" t="s">
        <v>2130</v>
      </c>
      <c r="D2120" s="27" t="s">
        <v>19170</v>
      </c>
      <c r="E2120" s="27" t="s">
        <v>19171</v>
      </c>
      <c r="F2120" s="27" t="s">
        <v>19172</v>
      </c>
      <c r="G2120" s="28"/>
      <c r="H2120" s="6" t="s">
        <v>63</v>
      </c>
      <c r="I2120" s="6" t="s">
        <v>62</v>
      </c>
      <c r="J2120" s="6" t="s">
        <v>63</v>
      </c>
      <c r="K2120" s="6" t="s">
        <v>63</v>
      </c>
      <c r="L2120" s="6" t="s">
        <v>64</v>
      </c>
      <c r="M2120" s="27" t="s">
        <v>16505</v>
      </c>
      <c r="N2120" s="27" t="s">
        <v>19173</v>
      </c>
      <c r="O2120" s="6" t="s">
        <v>2557</v>
      </c>
      <c r="P2120" s="28"/>
      <c r="Q2120" s="6" t="s">
        <v>67</v>
      </c>
      <c r="R2120" s="6" t="s">
        <v>68</v>
      </c>
      <c r="S2120" s="27" t="s">
        <v>6707</v>
      </c>
      <c r="T2120" s="6" t="s">
        <v>6138</v>
      </c>
      <c r="U2120" s="7" t="n">
        <v>1</v>
      </c>
      <c r="V2120" s="7" t="n">
        <v>1</v>
      </c>
      <c r="W2120" s="8" t="s">
        <v>19174</v>
      </c>
      <c r="X2120" s="8" t="s">
        <v>19174</v>
      </c>
      <c r="Y2120" s="8" t="s">
        <v>18364</v>
      </c>
      <c r="Z2120" s="8" t="s">
        <v>18364</v>
      </c>
      <c r="AA2120" s="7" t="n">
        <v>1609</v>
      </c>
      <c r="AB2120" s="7" t="n">
        <v>1423</v>
      </c>
      <c r="AC2120" s="7" t="n">
        <v>1475</v>
      </c>
      <c r="AD2120" s="7" t="n">
        <v>12</v>
      </c>
      <c r="AE2120" s="7" t="n">
        <v>12</v>
      </c>
      <c r="AF2120" s="7" t="n">
        <v>52</v>
      </c>
      <c r="AG2120" s="7" t="n">
        <v>53</v>
      </c>
      <c r="AH2120" s="7" t="n">
        <v>21</v>
      </c>
      <c r="AI2120" s="7" t="n">
        <v>22</v>
      </c>
      <c r="AJ2120" s="7" t="n">
        <v>9</v>
      </c>
      <c r="AK2120" s="7" t="n">
        <v>9</v>
      </c>
      <c r="AL2120" s="7" t="n">
        <v>25</v>
      </c>
      <c r="AM2120" s="7" t="n">
        <v>26</v>
      </c>
      <c r="AN2120" s="7" t="n">
        <v>7</v>
      </c>
      <c r="AO2120" s="7" t="n">
        <v>7</v>
      </c>
      <c r="AP2120" s="7" t="n">
        <v>2</v>
      </c>
      <c r="AQ2120" s="7" t="n">
        <v>2</v>
      </c>
      <c r="AR2120" s="6" t="s">
        <v>63</v>
      </c>
      <c r="AS2120" s="6" t="s">
        <v>57</v>
      </c>
      <c r="AT2120" s="9" t="str">
        <f aca="false">HYPERLINK("http://catalog.hathitrust.org/Record/000224993","HathiTrust Record")</f>
        <v>HathiTrust Record</v>
      </c>
      <c r="AU2120" s="9" t="str">
        <f aca="false">HYPERLINK("https://creighton-primo.hosted.exlibrisgroup.com/primo-explore/search?tab=default_tab&amp;search_scope=EVERYTHING&amp;vid=01CRU&amp;lang=en_US&amp;offset=0&amp;query=any,contains,991002117039702656","Catalog Record")</f>
        <v>Catalog Record</v>
      </c>
      <c r="AV2120" s="9" t="str">
        <f aca="false">HYPERLINK("http://www.worldcat.org/oclc/268377","WorldCat Record")</f>
        <v>WorldCat Record</v>
      </c>
      <c r="AW2120" s="6" t="s">
        <v>19175</v>
      </c>
      <c r="AX2120" s="6" t="s">
        <v>19176</v>
      </c>
      <c r="AY2120" s="6" t="s">
        <v>19177</v>
      </c>
      <c r="AZ2120" s="6" t="s">
        <v>19177</v>
      </c>
      <c r="BA2120" s="6" t="s">
        <v>19178</v>
      </c>
      <c r="BB2120" s="28"/>
      <c r="BC2120" s="6" t="s">
        <v>19179</v>
      </c>
      <c r="BE2120" s="15" t="s">
        <v>2145</v>
      </c>
      <c r="BF2120" s="6" t="s">
        <v>19180</v>
      </c>
    </row>
    <row r="2121" customFormat="false" ht="117" hidden="false" customHeight="false" outlineLevel="0" collapsed="false">
      <c r="A2121" s="26" t="s">
        <v>63</v>
      </c>
      <c r="B2121" s="27" t="s">
        <v>2129</v>
      </c>
      <c r="C2121" s="27" t="s">
        <v>2130</v>
      </c>
      <c r="D2121" s="27" t="s">
        <v>19181</v>
      </c>
      <c r="E2121" s="27" t="s">
        <v>19182</v>
      </c>
      <c r="F2121" s="27" t="s">
        <v>19183</v>
      </c>
      <c r="G2121" s="28"/>
      <c r="H2121" s="6" t="s">
        <v>63</v>
      </c>
      <c r="I2121" s="6" t="s">
        <v>62</v>
      </c>
      <c r="J2121" s="6" t="s">
        <v>63</v>
      </c>
      <c r="K2121" s="6" t="s">
        <v>57</v>
      </c>
      <c r="L2121" s="6" t="s">
        <v>64</v>
      </c>
      <c r="M2121" s="27" t="s">
        <v>16505</v>
      </c>
      <c r="N2121" s="27" t="s">
        <v>19184</v>
      </c>
      <c r="O2121" s="6" t="s">
        <v>8146</v>
      </c>
      <c r="P2121" s="28"/>
      <c r="Q2121" s="6" t="s">
        <v>67</v>
      </c>
      <c r="R2121" s="6" t="s">
        <v>68</v>
      </c>
      <c r="S2121" s="28"/>
      <c r="T2121" s="6" t="s">
        <v>6138</v>
      </c>
      <c r="U2121" s="7" t="n">
        <v>3</v>
      </c>
      <c r="V2121" s="7" t="n">
        <v>3</v>
      </c>
      <c r="W2121" s="8" t="s">
        <v>19185</v>
      </c>
      <c r="X2121" s="8" t="s">
        <v>19185</v>
      </c>
      <c r="Y2121" s="8" t="s">
        <v>18364</v>
      </c>
      <c r="Z2121" s="8" t="s">
        <v>18364</v>
      </c>
      <c r="AA2121" s="7" t="n">
        <v>426</v>
      </c>
      <c r="AB2121" s="7" t="n">
        <v>392</v>
      </c>
      <c r="AC2121" s="7" t="n">
        <v>1412</v>
      </c>
      <c r="AD2121" s="7" t="n">
        <v>4</v>
      </c>
      <c r="AE2121" s="7" t="n">
        <v>12</v>
      </c>
      <c r="AF2121" s="7" t="n">
        <v>18</v>
      </c>
      <c r="AG2121" s="7" t="n">
        <v>55</v>
      </c>
      <c r="AH2121" s="7" t="n">
        <v>7</v>
      </c>
      <c r="AI2121" s="7" t="n">
        <v>23</v>
      </c>
      <c r="AJ2121" s="7" t="n">
        <v>3</v>
      </c>
      <c r="AK2121" s="7" t="n">
        <v>10</v>
      </c>
      <c r="AL2121" s="7" t="n">
        <v>9</v>
      </c>
      <c r="AM2121" s="7" t="n">
        <v>25</v>
      </c>
      <c r="AN2121" s="7" t="n">
        <v>3</v>
      </c>
      <c r="AO2121" s="7" t="n">
        <v>8</v>
      </c>
      <c r="AP2121" s="7" t="n">
        <v>0</v>
      </c>
      <c r="AQ2121" s="7" t="n">
        <v>1</v>
      </c>
      <c r="AR2121" s="6" t="s">
        <v>63</v>
      </c>
      <c r="AS2121" s="6" t="s">
        <v>57</v>
      </c>
      <c r="AT2121" s="9" t="str">
        <f aca="false">HYPERLINK("http://catalog.hathitrust.org/Record/001915205","HathiTrust Record")</f>
        <v>HathiTrust Record</v>
      </c>
      <c r="AU2121" s="9" t="str">
        <f aca="false">HYPERLINK("https://creighton-primo.hosted.exlibrisgroup.com/primo-explore/search?tab=default_tab&amp;search_scope=EVERYTHING&amp;vid=01CRU&amp;lang=en_US&amp;offset=0&amp;query=any,contains,991002558649702656","Catalog Record")</f>
        <v>Catalog Record</v>
      </c>
      <c r="AV2121" s="9" t="str">
        <f aca="false">HYPERLINK("http://www.worldcat.org/oclc/371265","WorldCat Record")</f>
        <v>WorldCat Record</v>
      </c>
      <c r="AW2121" s="6" t="s">
        <v>19186</v>
      </c>
      <c r="AX2121" s="6" t="s">
        <v>19187</v>
      </c>
      <c r="AY2121" s="6" t="s">
        <v>19188</v>
      </c>
      <c r="AZ2121" s="6" t="s">
        <v>19188</v>
      </c>
      <c r="BA2121" s="6" t="s">
        <v>19189</v>
      </c>
      <c r="BB2121" s="28"/>
      <c r="BC2121" s="6" t="s">
        <v>19190</v>
      </c>
      <c r="BE2121" s="15" t="s">
        <v>2145</v>
      </c>
      <c r="BF2121" s="6" t="s">
        <v>19191</v>
      </c>
    </row>
    <row r="2122" customFormat="false" ht="151.5" hidden="false" customHeight="false" outlineLevel="0" collapsed="false">
      <c r="A2122" s="26" t="s">
        <v>63</v>
      </c>
      <c r="B2122" s="27" t="s">
        <v>2129</v>
      </c>
      <c r="C2122" s="27" t="s">
        <v>2130</v>
      </c>
      <c r="D2122" s="27" t="s">
        <v>19192</v>
      </c>
      <c r="E2122" s="27" t="s">
        <v>19193</v>
      </c>
      <c r="F2122" s="27" t="s">
        <v>19088</v>
      </c>
      <c r="G2122" s="28"/>
      <c r="H2122" s="6" t="s">
        <v>57</v>
      </c>
      <c r="I2122" s="6" t="s">
        <v>62</v>
      </c>
      <c r="J2122" s="6" t="s">
        <v>57</v>
      </c>
      <c r="K2122" s="6" t="s">
        <v>63</v>
      </c>
      <c r="L2122" s="6" t="s">
        <v>64</v>
      </c>
      <c r="M2122" s="27" t="s">
        <v>16505</v>
      </c>
      <c r="N2122" s="27" t="s">
        <v>19089</v>
      </c>
      <c r="O2122" s="6" t="s">
        <v>264</v>
      </c>
      <c r="P2122" s="28"/>
      <c r="Q2122" s="6" t="s">
        <v>67</v>
      </c>
      <c r="R2122" s="6" t="s">
        <v>68</v>
      </c>
      <c r="S2122" s="28"/>
      <c r="T2122" s="6" t="s">
        <v>6138</v>
      </c>
      <c r="U2122" s="7" t="n">
        <v>2</v>
      </c>
      <c r="V2122" s="7" t="n">
        <v>5</v>
      </c>
      <c r="W2122" s="8" t="s">
        <v>19194</v>
      </c>
      <c r="X2122" s="8" t="s">
        <v>17077</v>
      </c>
      <c r="Y2122" s="8" t="s">
        <v>18364</v>
      </c>
      <c r="Z2122" s="8" t="s">
        <v>18364</v>
      </c>
      <c r="AA2122" s="7" t="n">
        <v>196</v>
      </c>
      <c r="AB2122" s="7" t="n">
        <v>166</v>
      </c>
      <c r="AC2122" s="7" t="n">
        <v>172</v>
      </c>
      <c r="AD2122" s="7" t="n">
        <v>1</v>
      </c>
      <c r="AE2122" s="7" t="n">
        <v>1</v>
      </c>
      <c r="AF2122" s="7" t="n">
        <v>11</v>
      </c>
      <c r="AG2122" s="7" t="n">
        <v>12</v>
      </c>
      <c r="AH2122" s="7" t="n">
        <v>5</v>
      </c>
      <c r="AI2122" s="7" t="n">
        <v>5</v>
      </c>
      <c r="AJ2122" s="7" t="n">
        <v>2</v>
      </c>
      <c r="AK2122" s="7" t="n">
        <v>2</v>
      </c>
      <c r="AL2122" s="7" t="n">
        <v>7</v>
      </c>
      <c r="AM2122" s="7" t="n">
        <v>8</v>
      </c>
      <c r="AN2122" s="7" t="n">
        <v>0</v>
      </c>
      <c r="AO2122" s="7" t="n">
        <v>0</v>
      </c>
      <c r="AP2122" s="7" t="n">
        <v>0</v>
      </c>
      <c r="AQ2122" s="7" t="n">
        <v>0</v>
      </c>
      <c r="AR2122" s="6" t="s">
        <v>63</v>
      </c>
      <c r="AS2122" s="6" t="s">
        <v>57</v>
      </c>
      <c r="AT2122" s="9" t="str">
        <f aca="false">HYPERLINK("http://catalog.hathitrust.org/Record/004462594","HathiTrust Record")</f>
        <v>HathiTrust Record</v>
      </c>
      <c r="AU2122" s="9" t="str">
        <f aca="false">HYPERLINK("https://creighton-primo.hosted.exlibrisgroup.com/primo-explore/search?tab=default_tab&amp;search_scope=EVERYTHING&amp;vid=01CRU&amp;lang=en_US&amp;offset=0&amp;query=any,contains,991000546659702656","Catalog Record")</f>
        <v>Catalog Record</v>
      </c>
      <c r="AV2122" s="9" t="str">
        <f aca="false">HYPERLINK("http://www.worldcat.org/oclc/91561","WorldCat Record")</f>
        <v>WorldCat Record</v>
      </c>
      <c r="AW2122" s="6" t="s">
        <v>19090</v>
      </c>
      <c r="AX2122" s="6" t="s">
        <v>19091</v>
      </c>
      <c r="AY2122" s="6" t="s">
        <v>19092</v>
      </c>
      <c r="AZ2122" s="6" t="s">
        <v>19092</v>
      </c>
      <c r="BA2122" s="6" t="s">
        <v>19093</v>
      </c>
      <c r="BB2122" s="28"/>
      <c r="BC2122" s="6" t="s">
        <v>19195</v>
      </c>
      <c r="BE2122" s="15" t="s">
        <v>2145</v>
      </c>
      <c r="BF2122" s="6" t="s">
        <v>19196</v>
      </c>
    </row>
    <row r="2123" customFormat="false" ht="140" hidden="false" customHeight="false" outlineLevel="0" collapsed="false">
      <c r="A2123" s="26" t="s">
        <v>63</v>
      </c>
      <c r="B2123" s="27" t="s">
        <v>2129</v>
      </c>
      <c r="C2123" s="27" t="s">
        <v>2130</v>
      </c>
      <c r="D2123" s="27" t="s">
        <v>19197</v>
      </c>
      <c r="E2123" s="27" t="s">
        <v>19198</v>
      </c>
      <c r="F2123" s="27" t="s">
        <v>19199</v>
      </c>
      <c r="G2123" s="28"/>
      <c r="H2123" s="6" t="s">
        <v>63</v>
      </c>
      <c r="I2123" s="6" t="s">
        <v>62</v>
      </c>
      <c r="J2123" s="6" t="s">
        <v>63</v>
      </c>
      <c r="K2123" s="6" t="s">
        <v>63</v>
      </c>
      <c r="L2123" s="6" t="s">
        <v>64</v>
      </c>
      <c r="M2123" s="27" t="s">
        <v>16505</v>
      </c>
      <c r="N2123" s="27" t="s">
        <v>19200</v>
      </c>
      <c r="O2123" s="6" t="s">
        <v>167</v>
      </c>
      <c r="P2123" s="28"/>
      <c r="Q2123" s="6" t="s">
        <v>67</v>
      </c>
      <c r="R2123" s="6" t="s">
        <v>500</v>
      </c>
      <c r="S2123" s="27" t="s">
        <v>19201</v>
      </c>
      <c r="T2123" s="6" t="s">
        <v>6138</v>
      </c>
      <c r="U2123" s="7" t="n">
        <v>3</v>
      </c>
      <c r="V2123" s="7" t="n">
        <v>3</v>
      </c>
      <c r="W2123" s="8" t="s">
        <v>19202</v>
      </c>
      <c r="X2123" s="8" t="s">
        <v>19202</v>
      </c>
      <c r="Y2123" s="8" t="s">
        <v>18364</v>
      </c>
      <c r="Z2123" s="8" t="s">
        <v>18364</v>
      </c>
      <c r="AA2123" s="7" t="n">
        <v>591</v>
      </c>
      <c r="AB2123" s="7" t="n">
        <v>519</v>
      </c>
      <c r="AC2123" s="7" t="n">
        <v>1062</v>
      </c>
      <c r="AD2123" s="7" t="n">
        <v>5</v>
      </c>
      <c r="AE2123" s="7" t="n">
        <v>7</v>
      </c>
      <c r="AF2123" s="7" t="n">
        <v>31</v>
      </c>
      <c r="AG2123" s="7" t="n">
        <v>51</v>
      </c>
      <c r="AH2123" s="7" t="n">
        <v>12</v>
      </c>
      <c r="AI2123" s="7" t="n">
        <v>21</v>
      </c>
      <c r="AJ2123" s="7" t="n">
        <v>7</v>
      </c>
      <c r="AK2123" s="7" t="n">
        <v>10</v>
      </c>
      <c r="AL2123" s="7" t="n">
        <v>14</v>
      </c>
      <c r="AM2123" s="7" t="n">
        <v>26</v>
      </c>
      <c r="AN2123" s="7" t="n">
        <v>4</v>
      </c>
      <c r="AO2123" s="7" t="n">
        <v>6</v>
      </c>
      <c r="AP2123" s="7" t="n">
        <v>0</v>
      </c>
      <c r="AQ2123" s="7" t="n">
        <v>0</v>
      </c>
      <c r="AR2123" s="6" t="s">
        <v>63</v>
      </c>
      <c r="AS2123" s="6" t="s">
        <v>57</v>
      </c>
      <c r="AT2123" s="9" t="str">
        <f aca="false">HYPERLINK("http://catalog.hathitrust.org/Record/001383228","HathiTrust Record")</f>
        <v>HathiTrust Record</v>
      </c>
      <c r="AU2123" s="9" t="str">
        <f aca="false">HYPERLINK("https://creighton-primo.hosted.exlibrisgroup.com/primo-explore/search?tab=default_tab&amp;search_scope=EVERYTHING&amp;vid=01CRU&amp;lang=en_US&amp;offset=0&amp;query=any,contains,991002288779702656","Catalog Record")</f>
        <v>Catalog Record</v>
      </c>
      <c r="AV2123" s="9" t="str">
        <f aca="false">HYPERLINK("http://www.worldcat.org/oclc/312392","WorldCat Record")</f>
        <v>WorldCat Record</v>
      </c>
      <c r="AW2123" s="6" t="s">
        <v>19203</v>
      </c>
      <c r="AX2123" s="6" t="s">
        <v>19204</v>
      </c>
      <c r="AY2123" s="6" t="s">
        <v>19205</v>
      </c>
      <c r="AZ2123" s="6" t="s">
        <v>19205</v>
      </c>
      <c r="BA2123" s="6" t="s">
        <v>19206</v>
      </c>
      <c r="BB2123" s="28"/>
      <c r="BC2123" s="6" t="s">
        <v>19207</v>
      </c>
      <c r="BE2123" s="15" t="s">
        <v>2145</v>
      </c>
      <c r="BF2123" s="6" t="s">
        <v>19208</v>
      </c>
    </row>
    <row r="2124" customFormat="false" ht="71" hidden="false" customHeight="false" outlineLevel="0" collapsed="false">
      <c r="A2124" s="26" t="s">
        <v>63</v>
      </c>
      <c r="B2124" s="27" t="s">
        <v>2129</v>
      </c>
      <c r="C2124" s="27" t="s">
        <v>2130</v>
      </c>
      <c r="D2124" s="27" t="s">
        <v>19209</v>
      </c>
      <c r="E2124" s="27" t="s">
        <v>19210</v>
      </c>
      <c r="F2124" s="27" t="s">
        <v>19211</v>
      </c>
      <c r="G2124" s="28"/>
      <c r="H2124" s="6" t="s">
        <v>63</v>
      </c>
      <c r="I2124" s="6" t="s">
        <v>62</v>
      </c>
      <c r="J2124" s="6" t="s">
        <v>63</v>
      </c>
      <c r="K2124" s="6" t="s">
        <v>63</v>
      </c>
      <c r="L2124" s="6" t="s">
        <v>64</v>
      </c>
      <c r="M2124" s="27" t="s">
        <v>16505</v>
      </c>
      <c r="N2124" s="27" t="s">
        <v>19212</v>
      </c>
      <c r="O2124" s="6" t="s">
        <v>4223</v>
      </c>
      <c r="P2124" s="28"/>
      <c r="Q2124" s="6" t="s">
        <v>67</v>
      </c>
      <c r="R2124" s="6" t="s">
        <v>68</v>
      </c>
      <c r="S2124" s="28"/>
      <c r="T2124" s="6" t="s">
        <v>6138</v>
      </c>
      <c r="U2124" s="7" t="n">
        <v>1</v>
      </c>
      <c r="V2124" s="7" t="n">
        <v>1</v>
      </c>
      <c r="W2124" s="8" t="s">
        <v>19213</v>
      </c>
      <c r="X2124" s="8" t="s">
        <v>19213</v>
      </c>
      <c r="Y2124" s="8" t="s">
        <v>18364</v>
      </c>
      <c r="Z2124" s="8" t="s">
        <v>18364</v>
      </c>
      <c r="AA2124" s="7" t="n">
        <v>1000</v>
      </c>
      <c r="AB2124" s="7" t="n">
        <v>865</v>
      </c>
      <c r="AC2124" s="7" t="n">
        <v>1310</v>
      </c>
      <c r="AD2124" s="7" t="n">
        <v>5</v>
      </c>
      <c r="AE2124" s="7" t="n">
        <v>8</v>
      </c>
      <c r="AF2124" s="7" t="n">
        <v>35</v>
      </c>
      <c r="AG2124" s="7" t="n">
        <v>52</v>
      </c>
      <c r="AH2124" s="7" t="n">
        <v>15</v>
      </c>
      <c r="AI2124" s="7" t="n">
        <v>24</v>
      </c>
      <c r="AJ2124" s="7" t="n">
        <v>6</v>
      </c>
      <c r="AK2124" s="7" t="n">
        <v>11</v>
      </c>
      <c r="AL2124" s="7" t="n">
        <v>19</v>
      </c>
      <c r="AM2124" s="7" t="n">
        <v>23</v>
      </c>
      <c r="AN2124" s="7" t="n">
        <v>4</v>
      </c>
      <c r="AO2124" s="7" t="n">
        <v>6</v>
      </c>
      <c r="AP2124" s="7" t="n">
        <v>0</v>
      </c>
      <c r="AQ2124" s="7" t="n">
        <v>0</v>
      </c>
      <c r="AR2124" s="6" t="s">
        <v>57</v>
      </c>
      <c r="AS2124" s="6" t="s">
        <v>63</v>
      </c>
      <c r="AT2124" s="9" t="str">
        <f aca="false">HYPERLINK("http://catalog.hathitrust.org/Record/001383230","HathiTrust Record")</f>
        <v>HathiTrust Record</v>
      </c>
      <c r="AU2124" s="9" t="str">
        <f aca="false">HYPERLINK("https://creighton-primo.hosted.exlibrisgroup.com/primo-explore/search?tab=default_tab&amp;search_scope=EVERYTHING&amp;vid=01CRU&amp;lang=en_US&amp;offset=0&amp;query=any,contains,991002017149702656","Catalog Record")</f>
        <v>Catalog Record</v>
      </c>
      <c r="AV2124" s="9" t="str">
        <f aca="false">HYPERLINK("http://www.worldcat.org/oclc/259229","WorldCat Record")</f>
        <v>WorldCat Record</v>
      </c>
      <c r="AW2124" s="6" t="s">
        <v>19214</v>
      </c>
      <c r="AX2124" s="6" t="s">
        <v>19215</v>
      </c>
      <c r="AY2124" s="6" t="s">
        <v>19216</v>
      </c>
      <c r="AZ2124" s="6" t="s">
        <v>19216</v>
      </c>
      <c r="BA2124" s="6" t="s">
        <v>19217</v>
      </c>
      <c r="BB2124" s="28"/>
      <c r="BC2124" s="6" t="s">
        <v>19218</v>
      </c>
      <c r="BE2124" s="15" t="s">
        <v>2145</v>
      </c>
      <c r="BF2124" s="6" t="s">
        <v>19219</v>
      </c>
    </row>
    <row r="2125" customFormat="false" ht="105.5" hidden="false" customHeight="false" outlineLevel="0" collapsed="false">
      <c r="A2125" s="26" t="s">
        <v>63</v>
      </c>
      <c r="B2125" s="27" t="s">
        <v>2129</v>
      </c>
      <c r="C2125" s="27" t="s">
        <v>2130</v>
      </c>
      <c r="D2125" s="27" t="s">
        <v>19220</v>
      </c>
      <c r="E2125" s="27" t="s">
        <v>19221</v>
      </c>
      <c r="F2125" s="27" t="s">
        <v>19222</v>
      </c>
      <c r="G2125" s="28"/>
      <c r="H2125" s="6" t="s">
        <v>63</v>
      </c>
      <c r="I2125" s="6" t="s">
        <v>62</v>
      </c>
      <c r="J2125" s="6" t="s">
        <v>63</v>
      </c>
      <c r="K2125" s="6" t="s">
        <v>63</v>
      </c>
      <c r="L2125" s="6" t="s">
        <v>64</v>
      </c>
      <c r="M2125" s="27" t="s">
        <v>16505</v>
      </c>
      <c r="N2125" s="27" t="s">
        <v>19223</v>
      </c>
      <c r="O2125" s="6" t="s">
        <v>4833</v>
      </c>
      <c r="P2125" s="27" t="s">
        <v>19224</v>
      </c>
      <c r="Q2125" s="6" t="s">
        <v>67</v>
      </c>
      <c r="R2125" s="6" t="s">
        <v>222</v>
      </c>
      <c r="S2125" s="27" t="s">
        <v>19225</v>
      </c>
      <c r="T2125" s="6" t="s">
        <v>6138</v>
      </c>
      <c r="U2125" s="7" t="n">
        <v>6</v>
      </c>
      <c r="V2125" s="7" t="n">
        <v>6</v>
      </c>
      <c r="W2125" s="8" t="s">
        <v>19226</v>
      </c>
      <c r="X2125" s="8" t="s">
        <v>19226</v>
      </c>
      <c r="Y2125" s="8" t="s">
        <v>18364</v>
      </c>
      <c r="Z2125" s="8" t="s">
        <v>18364</v>
      </c>
      <c r="AA2125" s="7" t="n">
        <v>700</v>
      </c>
      <c r="AB2125" s="7" t="n">
        <v>637</v>
      </c>
      <c r="AC2125" s="7" t="n">
        <v>1575</v>
      </c>
      <c r="AD2125" s="7" t="n">
        <v>4</v>
      </c>
      <c r="AE2125" s="7" t="n">
        <v>12</v>
      </c>
      <c r="AF2125" s="7" t="n">
        <v>32</v>
      </c>
      <c r="AG2125" s="7" t="n">
        <v>59</v>
      </c>
      <c r="AH2125" s="7" t="n">
        <v>15</v>
      </c>
      <c r="AI2125" s="7" t="n">
        <v>26</v>
      </c>
      <c r="AJ2125" s="7" t="n">
        <v>5</v>
      </c>
      <c r="AK2125" s="7" t="n">
        <v>11</v>
      </c>
      <c r="AL2125" s="7" t="n">
        <v>13</v>
      </c>
      <c r="AM2125" s="7" t="n">
        <v>26</v>
      </c>
      <c r="AN2125" s="7" t="n">
        <v>2</v>
      </c>
      <c r="AO2125" s="7" t="n">
        <v>8</v>
      </c>
      <c r="AP2125" s="7" t="n">
        <v>2</v>
      </c>
      <c r="AQ2125" s="7" t="n">
        <v>2</v>
      </c>
      <c r="AR2125" s="6" t="s">
        <v>63</v>
      </c>
      <c r="AS2125" s="6" t="s">
        <v>63</v>
      </c>
      <c r="AT2125" s="28"/>
      <c r="AU2125" s="9" t="str">
        <f aca="false">HYPERLINK("https://creighton-primo.hosted.exlibrisgroup.com/primo-explore/search?tab=default_tab&amp;search_scope=EVERYTHING&amp;vid=01CRU&amp;lang=en_US&amp;offset=0&amp;query=any,contains,991002095569702656","Catalog Record")</f>
        <v>Catalog Record</v>
      </c>
      <c r="AV2125" s="9" t="str">
        <f aca="false">HYPERLINK("http://www.worldcat.org/oclc/265485","WorldCat Record")</f>
        <v>WorldCat Record</v>
      </c>
      <c r="AW2125" s="6" t="s">
        <v>19227</v>
      </c>
      <c r="AX2125" s="6" t="s">
        <v>19228</v>
      </c>
      <c r="AY2125" s="6" t="s">
        <v>19229</v>
      </c>
      <c r="AZ2125" s="6" t="s">
        <v>19229</v>
      </c>
      <c r="BA2125" s="6" t="s">
        <v>19230</v>
      </c>
      <c r="BB2125" s="28"/>
      <c r="BC2125" s="6" t="s">
        <v>19231</v>
      </c>
      <c r="BE2125" s="15" t="s">
        <v>2145</v>
      </c>
      <c r="BF2125" s="6" t="s">
        <v>19232</v>
      </c>
    </row>
    <row r="2126" customFormat="false" ht="140" hidden="false" customHeight="false" outlineLevel="0" collapsed="false">
      <c r="A2126" s="26" t="s">
        <v>63</v>
      </c>
      <c r="B2126" s="27" t="s">
        <v>2129</v>
      </c>
      <c r="C2126" s="27" t="s">
        <v>2130</v>
      </c>
      <c r="D2126" s="27" t="s">
        <v>19233</v>
      </c>
      <c r="E2126" s="27" t="s">
        <v>19234</v>
      </c>
      <c r="F2126" s="27" t="s">
        <v>19235</v>
      </c>
      <c r="G2126" s="28"/>
      <c r="H2126" s="6" t="s">
        <v>63</v>
      </c>
      <c r="I2126" s="6" t="s">
        <v>62</v>
      </c>
      <c r="J2126" s="6" t="s">
        <v>63</v>
      </c>
      <c r="K2126" s="6" t="s">
        <v>63</v>
      </c>
      <c r="L2126" s="6" t="s">
        <v>64</v>
      </c>
      <c r="M2126" s="27" t="s">
        <v>19236</v>
      </c>
      <c r="N2126" s="27" t="s">
        <v>19237</v>
      </c>
      <c r="O2126" s="6" t="s">
        <v>233</v>
      </c>
      <c r="P2126" s="28"/>
      <c r="Q2126" s="6" t="s">
        <v>67</v>
      </c>
      <c r="R2126" s="6" t="s">
        <v>68</v>
      </c>
      <c r="S2126" s="27" t="s">
        <v>19238</v>
      </c>
      <c r="T2126" s="6" t="s">
        <v>6138</v>
      </c>
      <c r="U2126" s="7" t="n">
        <v>3</v>
      </c>
      <c r="V2126" s="7" t="n">
        <v>3</v>
      </c>
      <c r="W2126" s="8" t="s">
        <v>19239</v>
      </c>
      <c r="X2126" s="8" t="s">
        <v>19239</v>
      </c>
      <c r="Y2126" s="8" t="s">
        <v>16816</v>
      </c>
      <c r="Z2126" s="8" t="s">
        <v>16816</v>
      </c>
      <c r="AA2126" s="7" t="n">
        <v>611</v>
      </c>
      <c r="AB2126" s="7" t="n">
        <v>548</v>
      </c>
      <c r="AC2126" s="7" t="n">
        <v>701</v>
      </c>
      <c r="AD2126" s="7" t="n">
        <v>4</v>
      </c>
      <c r="AE2126" s="7" t="n">
        <v>4</v>
      </c>
      <c r="AF2126" s="7" t="n">
        <v>37</v>
      </c>
      <c r="AG2126" s="7" t="n">
        <v>42</v>
      </c>
      <c r="AH2126" s="7" t="n">
        <v>15</v>
      </c>
      <c r="AI2126" s="7" t="n">
        <v>16</v>
      </c>
      <c r="AJ2126" s="7" t="n">
        <v>8</v>
      </c>
      <c r="AK2126" s="7" t="n">
        <v>9</v>
      </c>
      <c r="AL2126" s="7" t="n">
        <v>24</v>
      </c>
      <c r="AM2126" s="7" t="n">
        <v>27</v>
      </c>
      <c r="AN2126" s="7" t="n">
        <v>2</v>
      </c>
      <c r="AO2126" s="7" t="n">
        <v>2</v>
      </c>
      <c r="AP2126" s="7" t="n">
        <v>0</v>
      </c>
      <c r="AQ2126" s="7" t="n">
        <v>0</v>
      </c>
      <c r="AR2126" s="6" t="s">
        <v>63</v>
      </c>
      <c r="AS2126" s="6" t="s">
        <v>63</v>
      </c>
      <c r="AT2126" s="9" t="str">
        <f aca="false">HYPERLINK("http://catalog.hathitrust.org/Record/001383238","HathiTrust Record")</f>
        <v>HathiTrust Record</v>
      </c>
      <c r="AU2126" s="9" t="str">
        <f aca="false">HYPERLINK("https://creighton-primo.hosted.exlibrisgroup.com/primo-explore/search?tab=default_tab&amp;search_scope=EVERYTHING&amp;vid=01CRU&amp;lang=en_US&amp;offset=0&amp;query=any,contains,991002563129702656","Catalog Record")</f>
        <v>Catalog Record</v>
      </c>
      <c r="AV2126" s="9" t="str">
        <f aca="false">HYPERLINK("http://www.worldcat.org/oclc/372106","WorldCat Record")</f>
        <v>WorldCat Record</v>
      </c>
      <c r="AW2126" s="6" t="s">
        <v>19240</v>
      </c>
      <c r="AX2126" s="6" t="s">
        <v>19241</v>
      </c>
      <c r="AY2126" s="6" t="s">
        <v>19242</v>
      </c>
      <c r="AZ2126" s="6" t="s">
        <v>19242</v>
      </c>
      <c r="BA2126" s="6" t="s">
        <v>19243</v>
      </c>
      <c r="BB2126" s="28"/>
      <c r="BC2126" s="6" t="s">
        <v>19244</v>
      </c>
      <c r="BE2126" s="15" t="s">
        <v>2145</v>
      </c>
      <c r="BF2126" s="6" t="s">
        <v>19245</v>
      </c>
    </row>
    <row r="2127" customFormat="false" ht="140" hidden="false" customHeight="false" outlineLevel="0" collapsed="false">
      <c r="A2127" s="26" t="s">
        <v>63</v>
      </c>
      <c r="B2127" s="27" t="s">
        <v>2129</v>
      </c>
      <c r="C2127" s="27" t="s">
        <v>2130</v>
      </c>
      <c r="D2127" s="27" t="s">
        <v>19246</v>
      </c>
      <c r="E2127" s="27" t="s">
        <v>19247</v>
      </c>
      <c r="F2127" s="27" t="s">
        <v>19248</v>
      </c>
      <c r="G2127" s="28"/>
      <c r="H2127" s="6" t="s">
        <v>63</v>
      </c>
      <c r="I2127" s="6" t="s">
        <v>62</v>
      </c>
      <c r="J2127" s="6" t="s">
        <v>63</v>
      </c>
      <c r="K2127" s="6" t="s">
        <v>63</v>
      </c>
      <c r="L2127" s="6" t="s">
        <v>64</v>
      </c>
      <c r="M2127" s="27" t="s">
        <v>19249</v>
      </c>
      <c r="N2127" s="27" t="s">
        <v>14121</v>
      </c>
      <c r="O2127" s="6" t="s">
        <v>3340</v>
      </c>
      <c r="P2127" s="28"/>
      <c r="Q2127" s="6" t="s">
        <v>67</v>
      </c>
      <c r="R2127" s="6" t="s">
        <v>1108</v>
      </c>
      <c r="S2127" s="28"/>
      <c r="T2127" s="6" t="s">
        <v>6138</v>
      </c>
      <c r="U2127" s="7" t="n">
        <v>4</v>
      </c>
      <c r="V2127" s="7" t="n">
        <v>4</v>
      </c>
      <c r="W2127" s="8" t="s">
        <v>19250</v>
      </c>
      <c r="X2127" s="8" t="s">
        <v>19250</v>
      </c>
      <c r="Y2127" s="8" t="s">
        <v>16816</v>
      </c>
      <c r="Z2127" s="8" t="s">
        <v>16816</v>
      </c>
      <c r="AA2127" s="7" t="n">
        <v>449</v>
      </c>
      <c r="AB2127" s="7" t="n">
        <v>389</v>
      </c>
      <c r="AC2127" s="7" t="n">
        <v>396</v>
      </c>
      <c r="AD2127" s="7" t="n">
        <v>3</v>
      </c>
      <c r="AE2127" s="7" t="n">
        <v>3</v>
      </c>
      <c r="AF2127" s="7" t="n">
        <v>17</v>
      </c>
      <c r="AG2127" s="7" t="n">
        <v>17</v>
      </c>
      <c r="AH2127" s="7" t="n">
        <v>3</v>
      </c>
      <c r="AI2127" s="7" t="n">
        <v>3</v>
      </c>
      <c r="AJ2127" s="7" t="n">
        <v>6</v>
      </c>
      <c r="AK2127" s="7" t="n">
        <v>6</v>
      </c>
      <c r="AL2127" s="7" t="n">
        <v>11</v>
      </c>
      <c r="AM2127" s="7" t="n">
        <v>11</v>
      </c>
      <c r="AN2127" s="7" t="n">
        <v>2</v>
      </c>
      <c r="AO2127" s="7" t="n">
        <v>2</v>
      </c>
      <c r="AP2127" s="7" t="n">
        <v>0</v>
      </c>
      <c r="AQ2127" s="7" t="n">
        <v>0</v>
      </c>
      <c r="AR2127" s="6" t="s">
        <v>63</v>
      </c>
      <c r="AS2127" s="6" t="s">
        <v>57</v>
      </c>
      <c r="AT2127" s="9" t="str">
        <f aca="false">HYPERLINK("http://catalog.hathitrust.org/Record/000724641","HathiTrust Record")</f>
        <v>HathiTrust Record</v>
      </c>
      <c r="AU2127" s="9" t="str">
        <f aca="false">HYPERLINK("https://creighton-primo.hosted.exlibrisgroup.com/primo-explore/search?tab=default_tab&amp;search_scope=EVERYTHING&amp;vid=01CRU&amp;lang=en_US&amp;offset=0&amp;query=any,contains,991004120849702656","Catalog Record")</f>
        <v>Catalog Record</v>
      </c>
      <c r="AV2127" s="9" t="str">
        <f aca="false">HYPERLINK("http://www.worldcat.org/oclc/2425364","WorldCat Record")</f>
        <v>WorldCat Record</v>
      </c>
      <c r="AW2127" s="6" t="s">
        <v>19251</v>
      </c>
      <c r="AX2127" s="6" t="s">
        <v>19252</v>
      </c>
      <c r="AY2127" s="6" t="s">
        <v>19253</v>
      </c>
      <c r="AZ2127" s="6" t="s">
        <v>19253</v>
      </c>
      <c r="BA2127" s="6" t="s">
        <v>19254</v>
      </c>
      <c r="BB2127" s="6" t="s">
        <v>19255</v>
      </c>
      <c r="BC2127" s="6" t="s">
        <v>19256</v>
      </c>
      <c r="BE2127" s="15" t="s">
        <v>2145</v>
      </c>
      <c r="BF2127" s="6" t="s">
        <v>19257</v>
      </c>
    </row>
    <row r="2128" customFormat="false" ht="82.5" hidden="false" customHeight="false" outlineLevel="0" collapsed="false">
      <c r="A2128" s="26" t="s">
        <v>63</v>
      </c>
      <c r="B2128" s="27" t="s">
        <v>2129</v>
      </c>
      <c r="C2128" s="27" t="s">
        <v>2130</v>
      </c>
      <c r="D2128" s="27" t="s">
        <v>19258</v>
      </c>
      <c r="E2128" s="27" t="s">
        <v>19259</v>
      </c>
      <c r="F2128" s="27" t="s">
        <v>19260</v>
      </c>
      <c r="G2128" s="28"/>
      <c r="H2128" s="6" t="s">
        <v>63</v>
      </c>
      <c r="I2128" s="6" t="s">
        <v>62</v>
      </c>
      <c r="J2128" s="6" t="s">
        <v>63</v>
      </c>
      <c r="K2128" s="6" t="s">
        <v>63</v>
      </c>
      <c r="L2128" s="6" t="s">
        <v>64</v>
      </c>
      <c r="M2128" s="28"/>
      <c r="N2128" s="27" t="s">
        <v>19261</v>
      </c>
      <c r="O2128" s="6" t="s">
        <v>3934</v>
      </c>
      <c r="P2128" s="28"/>
      <c r="Q2128" s="6" t="s">
        <v>67</v>
      </c>
      <c r="R2128" s="6" t="s">
        <v>802</v>
      </c>
      <c r="S2128" s="28"/>
      <c r="T2128" s="6" t="s">
        <v>6138</v>
      </c>
      <c r="U2128" s="7" t="n">
        <v>1</v>
      </c>
      <c r="V2128" s="7" t="n">
        <v>1</v>
      </c>
      <c r="W2128" s="8" t="s">
        <v>9044</v>
      </c>
      <c r="X2128" s="8" t="s">
        <v>9044</v>
      </c>
      <c r="Y2128" s="8" t="s">
        <v>19262</v>
      </c>
      <c r="Z2128" s="8" t="s">
        <v>19262</v>
      </c>
      <c r="AA2128" s="7" t="n">
        <v>164</v>
      </c>
      <c r="AB2128" s="7" t="n">
        <v>105</v>
      </c>
      <c r="AC2128" s="7" t="n">
        <v>106</v>
      </c>
      <c r="AD2128" s="7" t="n">
        <v>1</v>
      </c>
      <c r="AE2128" s="7" t="n">
        <v>1</v>
      </c>
      <c r="AF2128" s="7" t="n">
        <v>7</v>
      </c>
      <c r="AG2128" s="7" t="n">
        <v>7</v>
      </c>
      <c r="AH2128" s="7" t="n">
        <v>2</v>
      </c>
      <c r="AI2128" s="7" t="n">
        <v>2</v>
      </c>
      <c r="AJ2128" s="7" t="n">
        <v>3</v>
      </c>
      <c r="AK2128" s="7" t="n">
        <v>3</v>
      </c>
      <c r="AL2128" s="7" t="n">
        <v>4</v>
      </c>
      <c r="AM2128" s="7" t="n">
        <v>4</v>
      </c>
      <c r="AN2128" s="7" t="n">
        <v>0</v>
      </c>
      <c r="AO2128" s="7" t="n">
        <v>0</v>
      </c>
      <c r="AP2128" s="7" t="n">
        <v>0</v>
      </c>
      <c r="AQ2128" s="7" t="n">
        <v>0</v>
      </c>
      <c r="AR2128" s="6" t="s">
        <v>63</v>
      </c>
      <c r="AS2128" s="6" t="s">
        <v>63</v>
      </c>
      <c r="AT2128" s="28"/>
      <c r="AU2128" s="9" t="str">
        <f aca="false">HYPERLINK("https://creighton-primo.hosted.exlibrisgroup.com/primo-explore/search?tab=default_tab&amp;search_scope=EVERYTHING&amp;vid=01CRU&amp;lang=en_US&amp;offset=0&amp;query=any,contains,991002472489702656","Catalog Record")</f>
        <v>Catalog Record</v>
      </c>
      <c r="AV2128" s="9" t="str">
        <f aca="false">HYPERLINK("http://www.worldcat.org/oclc/32200887","WorldCat Record")</f>
        <v>WorldCat Record</v>
      </c>
      <c r="AW2128" s="6" t="s">
        <v>19263</v>
      </c>
      <c r="AX2128" s="6" t="s">
        <v>19264</v>
      </c>
      <c r="AY2128" s="6" t="s">
        <v>19265</v>
      </c>
      <c r="AZ2128" s="6" t="s">
        <v>19265</v>
      </c>
      <c r="BA2128" s="6" t="s">
        <v>19266</v>
      </c>
      <c r="BB2128" s="6" t="s">
        <v>19267</v>
      </c>
      <c r="BC2128" s="6" t="s">
        <v>19268</v>
      </c>
      <c r="BE2128" s="15" t="s">
        <v>2145</v>
      </c>
      <c r="BF2128" s="6" t="s">
        <v>19269</v>
      </c>
    </row>
    <row r="2129" customFormat="false" ht="82.5" hidden="false" customHeight="false" outlineLevel="0" collapsed="false">
      <c r="A2129" s="26" t="s">
        <v>63</v>
      </c>
      <c r="B2129" s="27" t="s">
        <v>2129</v>
      </c>
      <c r="C2129" s="27" t="s">
        <v>2130</v>
      </c>
      <c r="D2129" s="27" t="s">
        <v>19270</v>
      </c>
      <c r="E2129" s="27" t="s">
        <v>19271</v>
      </c>
      <c r="F2129" s="27" t="s">
        <v>19272</v>
      </c>
      <c r="G2129" s="28"/>
      <c r="H2129" s="6" t="s">
        <v>63</v>
      </c>
      <c r="I2129" s="6" t="s">
        <v>62</v>
      </c>
      <c r="J2129" s="6" t="s">
        <v>63</v>
      </c>
      <c r="K2129" s="6" t="s">
        <v>63</v>
      </c>
      <c r="L2129" s="6" t="s">
        <v>64</v>
      </c>
      <c r="M2129" s="27" t="s">
        <v>19273</v>
      </c>
      <c r="N2129" s="27" t="s">
        <v>19274</v>
      </c>
      <c r="O2129" s="6" t="s">
        <v>3029</v>
      </c>
      <c r="P2129" s="28"/>
      <c r="Q2129" s="6" t="s">
        <v>67</v>
      </c>
      <c r="R2129" s="6" t="s">
        <v>123</v>
      </c>
      <c r="S2129" s="28"/>
      <c r="T2129" s="6" t="s">
        <v>6138</v>
      </c>
      <c r="U2129" s="7" t="n">
        <v>4</v>
      </c>
      <c r="V2129" s="7" t="n">
        <v>4</v>
      </c>
      <c r="W2129" s="8" t="s">
        <v>19275</v>
      </c>
      <c r="X2129" s="8" t="s">
        <v>19275</v>
      </c>
      <c r="Y2129" s="8" t="s">
        <v>16816</v>
      </c>
      <c r="Z2129" s="8" t="s">
        <v>16816</v>
      </c>
      <c r="AA2129" s="7" t="n">
        <v>309</v>
      </c>
      <c r="AB2129" s="7" t="n">
        <v>288</v>
      </c>
      <c r="AC2129" s="7" t="n">
        <v>439</v>
      </c>
      <c r="AD2129" s="7" t="n">
        <v>2</v>
      </c>
      <c r="AE2129" s="7" t="n">
        <v>4</v>
      </c>
      <c r="AF2129" s="7" t="n">
        <v>19</v>
      </c>
      <c r="AG2129" s="7" t="n">
        <v>29</v>
      </c>
      <c r="AH2129" s="7" t="n">
        <v>4</v>
      </c>
      <c r="AI2129" s="7" t="n">
        <v>7</v>
      </c>
      <c r="AJ2129" s="7" t="n">
        <v>5</v>
      </c>
      <c r="AK2129" s="7" t="n">
        <v>7</v>
      </c>
      <c r="AL2129" s="7" t="n">
        <v>16</v>
      </c>
      <c r="AM2129" s="7" t="n">
        <v>22</v>
      </c>
      <c r="AN2129" s="7" t="n">
        <v>1</v>
      </c>
      <c r="AO2129" s="7" t="n">
        <v>3</v>
      </c>
      <c r="AP2129" s="7" t="n">
        <v>0</v>
      </c>
      <c r="AQ2129" s="7" t="n">
        <v>0</v>
      </c>
      <c r="AR2129" s="6" t="s">
        <v>63</v>
      </c>
      <c r="AS2129" s="6" t="s">
        <v>63</v>
      </c>
      <c r="AT2129" s="28"/>
      <c r="AU2129" s="9" t="str">
        <f aca="false">HYPERLINK("https://creighton-primo.hosted.exlibrisgroup.com/primo-explore/search?tab=default_tab&amp;search_scope=EVERYTHING&amp;vid=01CRU&amp;lang=en_US&amp;offset=0&amp;query=any,contains,991003697559702656","Catalog Record")</f>
        <v>Catalog Record</v>
      </c>
      <c r="AV2129" s="9" t="str">
        <f aca="false">HYPERLINK("http://www.worldcat.org/oclc/1330882","WorldCat Record")</f>
        <v>WorldCat Record</v>
      </c>
      <c r="AW2129" s="6" t="s">
        <v>19276</v>
      </c>
      <c r="AX2129" s="6" t="s">
        <v>19277</v>
      </c>
      <c r="AY2129" s="6" t="s">
        <v>19278</v>
      </c>
      <c r="AZ2129" s="6" t="s">
        <v>19278</v>
      </c>
      <c r="BA2129" s="6" t="s">
        <v>19279</v>
      </c>
      <c r="BB2129" s="28"/>
      <c r="BC2129" s="6" t="s">
        <v>19280</v>
      </c>
      <c r="BE2129" s="15" t="s">
        <v>2145</v>
      </c>
      <c r="BF2129" s="6" t="s">
        <v>19281</v>
      </c>
    </row>
    <row r="2130" customFormat="false" ht="186" hidden="false" customHeight="false" outlineLevel="0" collapsed="false">
      <c r="A2130" s="26" t="s">
        <v>63</v>
      </c>
      <c r="B2130" s="27" t="s">
        <v>2129</v>
      </c>
      <c r="C2130" s="27" t="s">
        <v>2130</v>
      </c>
      <c r="D2130" s="27" t="s">
        <v>19282</v>
      </c>
      <c r="E2130" s="27" t="s">
        <v>19283</v>
      </c>
      <c r="F2130" s="27" t="s">
        <v>19284</v>
      </c>
      <c r="G2130" s="28"/>
      <c r="H2130" s="6" t="s">
        <v>63</v>
      </c>
      <c r="I2130" s="6" t="s">
        <v>62</v>
      </c>
      <c r="J2130" s="6" t="s">
        <v>63</v>
      </c>
      <c r="K2130" s="6" t="s">
        <v>63</v>
      </c>
      <c r="L2130" s="6" t="s">
        <v>64</v>
      </c>
      <c r="M2130" s="27" t="s">
        <v>19285</v>
      </c>
      <c r="N2130" s="27" t="s">
        <v>19286</v>
      </c>
      <c r="O2130" s="6" t="s">
        <v>3094</v>
      </c>
      <c r="P2130" s="28"/>
      <c r="Q2130" s="6" t="s">
        <v>67</v>
      </c>
      <c r="R2130" s="6" t="s">
        <v>1224</v>
      </c>
      <c r="S2130" s="28"/>
      <c r="T2130" s="6" t="s">
        <v>6138</v>
      </c>
      <c r="U2130" s="7" t="n">
        <v>1</v>
      </c>
      <c r="V2130" s="7" t="n">
        <v>1</v>
      </c>
      <c r="W2130" s="8" t="s">
        <v>9645</v>
      </c>
      <c r="X2130" s="8" t="s">
        <v>9645</v>
      </c>
      <c r="Y2130" s="8" t="s">
        <v>16816</v>
      </c>
      <c r="Z2130" s="8" t="s">
        <v>16816</v>
      </c>
      <c r="AA2130" s="7" t="n">
        <v>284</v>
      </c>
      <c r="AB2130" s="7" t="n">
        <v>257</v>
      </c>
      <c r="AC2130" s="7" t="n">
        <v>394</v>
      </c>
      <c r="AD2130" s="7" t="n">
        <v>2</v>
      </c>
      <c r="AE2130" s="7" t="n">
        <v>4</v>
      </c>
      <c r="AF2130" s="7" t="n">
        <v>11</v>
      </c>
      <c r="AG2130" s="7" t="n">
        <v>16</v>
      </c>
      <c r="AH2130" s="7" t="n">
        <v>3</v>
      </c>
      <c r="AI2130" s="7" t="n">
        <v>6</v>
      </c>
      <c r="AJ2130" s="7" t="n">
        <v>1</v>
      </c>
      <c r="AK2130" s="7" t="n">
        <v>2</v>
      </c>
      <c r="AL2130" s="7" t="n">
        <v>8</v>
      </c>
      <c r="AM2130" s="7" t="n">
        <v>8</v>
      </c>
      <c r="AN2130" s="7" t="n">
        <v>1</v>
      </c>
      <c r="AO2130" s="7" t="n">
        <v>3</v>
      </c>
      <c r="AP2130" s="7" t="n">
        <v>0</v>
      </c>
      <c r="AQ2130" s="7" t="n">
        <v>0</v>
      </c>
      <c r="AR2130" s="6" t="s">
        <v>63</v>
      </c>
      <c r="AS2130" s="6" t="s">
        <v>57</v>
      </c>
      <c r="AT2130" s="9" t="str">
        <f aca="false">HYPERLINK("http://catalog.hathitrust.org/Record/001383287","HathiTrust Record")</f>
        <v>HathiTrust Record</v>
      </c>
      <c r="AU2130" s="9" t="str">
        <f aca="false">HYPERLINK("https://creighton-primo.hosted.exlibrisgroup.com/primo-explore/search?tab=default_tab&amp;search_scope=EVERYTHING&amp;vid=01CRU&amp;lang=en_US&amp;offset=0&amp;query=any,contains,991002252799702656","Catalog Record")</f>
        <v>Catalog Record</v>
      </c>
      <c r="AV2130" s="9" t="str">
        <f aca="false">HYPERLINK("http://www.worldcat.org/oclc/299961","WorldCat Record")</f>
        <v>WorldCat Record</v>
      </c>
      <c r="AW2130" s="6" t="s">
        <v>19287</v>
      </c>
      <c r="AX2130" s="6" t="s">
        <v>19288</v>
      </c>
      <c r="AY2130" s="6" t="s">
        <v>19289</v>
      </c>
      <c r="AZ2130" s="6" t="s">
        <v>19289</v>
      </c>
      <c r="BA2130" s="6" t="s">
        <v>19290</v>
      </c>
      <c r="BB2130" s="28"/>
      <c r="BC2130" s="6" t="s">
        <v>19291</v>
      </c>
      <c r="BE2130" s="15" t="s">
        <v>2145</v>
      </c>
      <c r="BF2130" s="6" t="s">
        <v>19292</v>
      </c>
    </row>
    <row r="2131" customFormat="false" ht="140" hidden="false" customHeight="false" outlineLevel="0" collapsed="false">
      <c r="A2131" s="26" t="s">
        <v>63</v>
      </c>
      <c r="B2131" s="27" t="s">
        <v>2129</v>
      </c>
      <c r="C2131" s="27" t="s">
        <v>2130</v>
      </c>
      <c r="D2131" s="27" t="s">
        <v>19293</v>
      </c>
      <c r="E2131" s="27" t="s">
        <v>19294</v>
      </c>
      <c r="F2131" s="27" t="s">
        <v>19295</v>
      </c>
      <c r="G2131" s="28"/>
      <c r="H2131" s="6" t="s">
        <v>63</v>
      </c>
      <c r="I2131" s="6" t="s">
        <v>62</v>
      </c>
      <c r="J2131" s="6" t="s">
        <v>63</v>
      </c>
      <c r="K2131" s="6" t="s">
        <v>63</v>
      </c>
      <c r="L2131" s="6" t="s">
        <v>64</v>
      </c>
      <c r="M2131" s="27" t="s">
        <v>5425</v>
      </c>
      <c r="N2131" s="27" t="s">
        <v>19296</v>
      </c>
      <c r="O2131" s="6" t="s">
        <v>3068</v>
      </c>
      <c r="P2131" s="28"/>
      <c r="Q2131" s="6" t="s">
        <v>67</v>
      </c>
      <c r="R2131" s="6" t="s">
        <v>1059</v>
      </c>
      <c r="S2131" s="27" t="s">
        <v>19297</v>
      </c>
      <c r="T2131" s="6" t="s">
        <v>6138</v>
      </c>
      <c r="U2131" s="7" t="n">
        <v>1</v>
      </c>
      <c r="V2131" s="7" t="n">
        <v>1</v>
      </c>
      <c r="W2131" s="8" t="s">
        <v>19298</v>
      </c>
      <c r="X2131" s="8" t="s">
        <v>19298</v>
      </c>
      <c r="Y2131" s="8" t="s">
        <v>16816</v>
      </c>
      <c r="Z2131" s="8" t="s">
        <v>16816</v>
      </c>
      <c r="AA2131" s="7" t="n">
        <v>299</v>
      </c>
      <c r="AB2131" s="7" t="n">
        <v>261</v>
      </c>
      <c r="AC2131" s="7" t="n">
        <v>484</v>
      </c>
      <c r="AD2131" s="7" t="n">
        <v>3</v>
      </c>
      <c r="AE2131" s="7" t="n">
        <v>5</v>
      </c>
      <c r="AF2131" s="7" t="n">
        <v>13</v>
      </c>
      <c r="AG2131" s="7" t="n">
        <v>31</v>
      </c>
      <c r="AH2131" s="7" t="n">
        <v>5</v>
      </c>
      <c r="AI2131" s="7" t="n">
        <v>10</v>
      </c>
      <c r="AJ2131" s="7" t="n">
        <v>3</v>
      </c>
      <c r="AK2131" s="7" t="n">
        <v>6</v>
      </c>
      <c r="AL2131" s="7" t="n">
        <v>8</v>
      </c>
      <c r="AM2131" s="7" t="n">
        <v>21</v>
      </c>
      <c r="AN2131" s="7" t="n">
        <v>2</v>
      </c>
      <c r="AO2131" s="7" t="n">
        <v>3</v>
      </c>
      <c r="AP2131" s="7" t="n">
        <v>0</v>
      </c>
      <c r="AQ2131" s="7" t="n">
        <v>0</v>
      </c>
      <c r="AR2131" s="6" t="s">
        <v>63</v>
      </c>
      <c r="AS2131" s="6" t="s">
        <v>63</v>
      </c>
      <c r="AT2131" s="9" t="str">
        <f aca="false">HYPERLINK("http://catalog.hathitrust.org/Record/001383289","HathiTrust Record")</f>
        <v>HathiTrust Record</v>
      </c>
      <c r="AU2131" s="9" t="str">
        <f aca="false">HYPERLINK("https://creighton-primo.hosted.exlibrisgroup.com/primo-explore/search?tab=default_tab&amp;search_scope=EVERYTHING&amp;vid=01CRU&amp;lang=en_US&amp;offset=0&amp;query=any,contains,991000166979702656","Catalog Record")</f>
        <v>Catalog Record</v>
      </c>
      <c r="AV2131" s="9" t="str">
        <f aca="false">HYPERLINK("http://www.worldcat.org/oclc/9291406","WorldCat Record")</f>
        <v>WorldCat Record</v>
      </c>
      <c r="AW2131" s="6" t="s">
        <v>19299</v>
      </c>
      <c r="AX2131" s="6" t="s">
        <v>19300</v>
      </c>
      <c r="AY2131" s="6" t="s">
        <v>19301</v>
      </c>
      <c r="AZ2131" s="6" t="s">
        <v>19301</v>
      </c>
      <c r="BA2131" s="6" t="s">
        <v>19302</v>
      </c>
      <c r="BB2131" s="28"/>
      <c r="BC2131" s="6" t="s">
        <v>19303</v>
      </c>
      <c r="BE2131" s="15" t="s">
        <v>2145</v>
      </c>
      <c r="BF2131" s="6" t="s">
        <v>19304</v>
      </c>
    </row>
    <row r="2132" customFormat="false" ht="128.5" hidden="false" customHeight="false" outlineLevel="0" collapsed="false">
      <c r="A2132" s="26" t="s">
        <v>63</v>
      </c>
      <c r="B2132" s="27" t="s">
        <v>2129</v>
      </c>
      <c r="C2132" s="27" t="s">
        <v>2130</v>
      </c>
      <c r="D2132" s="27" t="s">
        <v>19305</v>
      </c>
      <c r="E2132" s="27" t="s">
        <v>19306</v>
      </c>
      <c r="F2132" s="27" t="s">
        <v>19307</v>
      </c>
      <c r="G2132" s="28"/>
      <c r="H2132" s="6" t="s">
        <v>63</v>
      </c>
      <c r="I2132" s="6" t="s">
        <v>62</v>
      </c>
      <c r="J2132" s="6" t="s">
        <v>63</v>
      </c>
      <c r="K2132" s="6" t="s">
        <v>63</v>
      </c>
      <c r="L2132" s="6" t="s">
        <v>64</v>
      </c>
      <c r="M2132" s="27" t="s">
        <v>19308</v>
      </c>
      <c r="N2132" s="27" t="s">
        <v>17951</v>
      </c>
      <c r="O2132" s="6" t="s">
        <v>264</v>
      </c>
      <c r="P2132" s="28"/>
      <c r="Q2132" s="6" t="s">
        <v>67</v>
      </c>
      <c r="R2132" s="6" t="s">
        <v>2503</v>
      </c>
      <c r="S2132" s="28"/>
      <c r="T2132" s="6" t="s">
        <v>6138</v>
      </c>
      <c r="U2132" s="7" t="n">
        <v>2</v>
      </c>
      <c r="V2132" s="7" t="n">
        <v>2</v>
      </c>
      <c r="W2132" s="8" t="s">
        <v>19309</v>
      </c>
      <c r="X2132" s="8" t="s">
        <v>19309</v>
      </c>
      <c r="Y2132" s="8" t="s">
        <v>16816</v>
      </c>
      <c r="Z2132" s="8" t="s">
        <v>16816</v>
      </c>
      <c r="AA2132" s="7" t="n">
        <v>558</v>
      </c>
      <c r="AB2132" s="7" t="n">
        <v>498</v>
      </c>
      <c r="AC2132" s="7" t="n">
        <v>503</v>
      </c>
      <c r="AD2132" s="7" t="n">
        <v>5</v>
      </c>
      <c r="AE2132" s="7" t="n">
        <v>5</v>
      </c>
      <c r="AF2132" s="7" t="n">
        <v>33</v>
      </c>
      <c r="AG2132" s="7" t="n">
        <v>33</v>
      </c>
      <c r="AH2132" s="7" t="n">
        <v>11</v>
      </c>
      <c r="AI2132" s="7" t="n">
        <v>11</v>
      </c>
      <c r="AJ2132" s="7" t="n">
        <v>9</v>
      </c>
      <c r="AK2132" s="7" t="n">
        <v>9</v>
      </c>
      <c r="AL2132" s="7" t="n">
        <v>21</v>
      </c>
      <c r="AM2132" s="7" t="n">
        <v>21</v>
      </c>
      <c r="AN2132" s="7" t="n">
        <v>3</v>
      </c>
      <c r="AO2132" s="7" t="n">
        <v>3</v>
      </c>
      <c r="AP2132" s="7" t="n">
        <v>0</v>
      </c>
      <c r="AQ2132" s="7" t="n">
        <v>0</v>
      </c>
      <c r="AR2132" s="6" t="s">
        <v>63</v>
      </c>
      <c r="AS2132" s="6" t="s">
        <v>57</v>
      </c>
      <c r="AT2132" s="9" t="str">
        <f aca="false">HYPERLINK("http://catalog.hathitrust.org/Record/001383291","HathiTrust Record")</f>
        <v>HathiTrust Record</v>
      </c>
      <c r="AU2132" s="9" t="str">
        <f aca="false">HYPERLINK("https://creighton-primo.hosted.exlibrisgroup.com/primo-explore/search?tab=default_tab&amp;search_scope=EVERYTHING&amp;vid=01CRU&amp;lang=en_US&amp;offset=0&amp;query=any,contains,991000612279702656","Catalog Record")</f>
        <v>Catalog Record</v>
      </c>
      <c r="AV2132" s="9" t="str">
        <f aca="false">HYPERLINK("http://www.worldcat.org/oclc/100701","WorldCat Record")</f>
        <v>WorldCat Record</v>
      </c>
      <c r="AW2132" s="6" t="s">
        <v>19310</v>
      </c>
      <c r="AX2132" s="6" t="s">
        <v>19311</v>
      </c>
      <c r="AY2132" s="6" t="s">
        <v>19312</v>
      </c>
      <c r="AZ2132" s="6" t="s">
        <v>19312</v>
      </c>
      <c r="BA2132" s="6" t="s">
        <v>19313</v>
      </c>
      <c r="BB2132" s="6" t="s">
        <v>19314</v>
      </c>
      <c r="BC2132" s="6" t="s">
        <v>19315</v>
      </c>
      <c r="BE2132" s="15" t="s">
        <v>2145</v>
      </c>
      <c r="BF2132" s="6" t="s">
        <v>19316</v>
      </c>
    </row>
    <row r="2133" customFormat="false" ht="140" hidden="false" customHeight="false" outlineLevel="0" collapsed="false">
      <c r="A2133" s="26" t="s">
        <v>63</v>
      </c>
      <c r="B2133" s="27" t="s">
        <v>2129</v>
      </c>
      <c r="C2133" s="27" t="s">
        <v>2130</v>
      </c>
      <c r="D2133" s="27" t="s">
        <v>19317</v>
      </c>
      <c r="E2133" s="27" t="s">
        <v>19318</v>
      </c>
      <c r="F2133" s="27" t="s">
        <v>19319</v>
      </c>
      <c r="G2133" s="28"/>
      <c r="H2133" s="6" t="s">
        <v>63</v>
      </c>
      <c r="I2133" s="6" t="s">
        <v>62</v>
      </c>
      <c r="J2133" s="6" t="s">
        <v>63</v>
      </c>
      <c r="K2133" s="6" t="s">
        <v>63</v>
      </c>
      <c r="L2133" s="6" t="s">
        <v>64</v>
      </c>
      <c r="M2133" s="27" t="s">
        <v>19320</v>
      </c>
      <c r="N2133" s="27" t="s">
        <v>19321</v>
      </c>
      <c r="O2133" s="6" t="s">
        <v>2975</v>
      </c>
      <c r="P2133" s="28"/>
      <c r="Q2133" s="6" t="s">
        <v>67</v>
      </c>
      <c r="R2133" s="6" t="s">
        <v>68</v>
      </c>
      <c r="S2133" s="28"/>
      <c r="T2133" s="6" t="s">
        <v>6138</v>
      </c>
      <c r="U2133" s="7" t="n">
        <v>5</v>
      </c>
      <c r="V2133" s="7" t="n">
        <v>5</v>
      </c>
      <c r="W2133" s="8" t="s">
        <v>3056</v>
      </c>
      <c r="X2133" s="8" t="s">
        <v>3056</v>
      </c>
      <c r="Y2133" s="8" t="s">
        <v>16816</v>
      </c>
      <c r="Z2133" s="8" t="s">
        <v>16816</v>
      </c>
      <c r="AA2133" s="7" t="n">
        <v>735</v>
      </c>
      <c r="AB2133" s="7" t="n">
        <v>670</v>
      </c>
      <c r="AC2133" s="7" t="n">
        <v>676</v>
      </c>
      <c r="AD2133" s="7" t="n">
        <v>5</v>
      </c>
      <c r="AE2133" s="7" t="n">
        <v>5</v>
      </c>
      <c r="AF2133" s="7" t="n">
        <v>29</v>
      </c>
      <c r="AG2133" s="7" t="n">
        <v>29</v>
      </c>
      <c r="AH2133" s="7" t="n">
        <v>9</v>
      </c>
      <c r="AI2133" s="7" t="n">
        <v>9</v>
      </c>
      <c r="AJ2133" s="7" t="n">
        <v>6</v>
      </c>
      <c r="AK2133" s="7" t="n">
        <v>6</v>
      </c>
      <c r="AL2133" s="7" t="n">
        <v>17</v>
      </c>
      <c r="AM2133" s="7" t="n">
        <v>17</v>
      </c>
      <c r="AN2133" s="7" t="n">
        <v>3</v>
      </c>
      <c r="AO2133" s="7" t="n">
        <v>3</v>
      </c>
      <c r="AP2133" s="7" t="n">
        <v>1</v>
      </c>
      <c r="AQ2133" s="7" t="n">
        <v>1</v>
      </c>
      <c r="AR2133" s="6" t="s">
        <v>63</v>
      </c>
      <c r="AS2133" s="6" t="s">
        <v>63</v>
      </c>
      <c r="AT2133" s="28"/>
      <c r="AU2133" s="9" t="str">
        <f aca="false">HYPERLINK("https://creighton-primo.hosted.exlibrisgroup.com/primo-explore/search?tab=default_tab&amp;search_scope=EVERYTHING&amp;vid=01CRU&amp;lang=en_US&amp;offset=0&amp;query=any,contains,991000064549702656","Catalog Record")</f>
        <v>Catalog Record</v>
      </c>
      <c r="AV2133" s="9" t="str">
        <f aca="false">HYPERLINK("http://www.worldcat.org/oclc/26171","WorldCat Record")</f>
        <v>WorldCat Record</v>
      </c>
      <c r="AW2133" s="6" t="s">
        <v>19322</v>
      </c>
      <c r="AX2133" s="6" t="s">
        <v>19323</v>
      </c>
      <c r="AY2133" s="6" t="s">
        <v>19324</v>
      </c>
      <c r="AZ2133" s="6" t="s">
        <v>19324</v>
      </c>
      <c r="BA2133" s="6" t="s">
        <v>19325</v>
      </c>
      <c r="BB2133" s="28"/>
      <c r="BC2133" s="6" t="s">
        <v>19326</v>
      </c>
      <c r="BE2133" s="15" t="s">
        <v>2145</v>
      </c>
      <c r="BF2133" s="6" t="s">
        <v>19327</v>
      </c>
    </row>
    <row r="2134" customFormat="false" ht="163" hidden="false" customHeight="false" outlineLevel="0" collapsed="false">
      <c r="A2134" s="26" t="s">
        <v>63</v>
      </c>
      <c r="B2134" s="27" t="s">
        <v>2129</v>
      </c>
      <c r="C2134" s="27" t="s">
        <v>2130</v>
      </c>
      <c r="D2134" s="27" t="s">
        <v>19328</v>
      </c>
      <c r="E2134" s="27" t="s">
        <v>19329</v>
      </c>
      <c r="F2134" s="27" t="s">
        <v>19330</v>
      </c>
      <c r="G2134" s="28"/>
      <c r="H2134" s="6" t="s">
        <v>63</v>
      </c>
      <c r="I2134" s="6" t="s">
        <v>62</v>
      </c>
      <c r="J2134" s="6" t="s">
        <v>63</v>
      </c>
      <c r="K2134" s="6" t="s">
        <v>63</v>
      </c>
      <c r="L2134" s="6" t="s">
        <v>64</v>
      </c>
      <c r="M2134" s="27" t="s">
        <v>19331</v>
      </c>
      <c r="N2134" s="27" t="s">
        <v>19332</v>
      </c>
      <c r="O2134" s="6" t="s">
        <v>3029</v>
      </c>
      <c r="P2134" s="28"/>
      <c r="Q2134" s="6" t="s">
        <v>67</v>
      </c>
      <c r="R2134" s="6" t="s">
        <v>123</v>
      </c>
      <c r="S2134" s="28"/>
      <c r="T2134" s="6" t="s">
        <v>6138</v>
      </c>
      <c r="U2134" s="7" t="n">
        <v>1</v>
      </c>
      <c r="V2134" s="7" t="n">
        <v>1</v>
      </c>
      <c r="W2134" s="8" t="s">
        <v>8885</v>
      </c>
      <c r="X2134" s="8" t="s">
        <v>8885</v>
      </c>
      <c r="Y2134" s="8" t="s">
        <v>16816</v>
      </c>
      <c r="Z2134" s="8" t="s">
        <v>16816</v>
      </c>
      <c r="AA2134" s="7" t="n">
        <v>302</v>
      </c>
      <c r="AB2134" s="7" t="n">
        <v>258</v>
      </c>
      <c r="AC2134" s="7" t="n">
        <v>362</v>
      </c>
      <c r="AD2134" s="7" t="n">
        <v>4</v>
      </c>
      <c r="AE2134" s="7" t="n">
        <v>4</v>
      </c>
      <c r="AF2134" s="7" t="n">
        <v>14</v>
      </c>
      <c r="AG2134" s="7" t="n">
        <v>21</v>
      </c>
      <c r="AH2134" s="7" t="n">
        <v>4</v>
      </c>
      <c r="AI2134" s="7" t="n">
        <v>7</v>
      </c>
      <c r="AJ2134" s="7" t="n">
        <v>2</v>
      </c>
      <c r="AK2134" s="7" t="n">
        <v>5</v>
      </c>
      <c r="AL2134" s="7" t="n">
        <v>10</v>
      </c>
      <c r="AM2134" s="7" t="n">
        <v>12</v>
      </c>
      <c r="AN2134" s="7" t="n">
        <v>2</v>
      </c>
      <c r="AO2134" s="7" t="n">
        <v>2</v>
      </c>
      <c r="AP2134" s="7" t="n">
        <v>0</v>
      </c>
      <c r="AQ2134" s="7" t="n">
        <v>0</v>
      </c>
      <c r="AR2134" s="6" t="s">
        <v>63</v>
      </c>
      <c r="AS2134" s="6" t="s">
        <v>57</v>
      </c>
      <c r="AT2134" s="9" t="str">
        <f aca="false">HYPERLINK("http://catalog.hathitrust.org/Record/001383321","HathiTrust Record")</f>
        <v>HathiTrust Record</v>
      </c>
      <c r="AU2134" s="9" t="str">
        <f aca="false">HYPERLINK("https://creighton-primo.hosted.exlibrisgroup.com/primo-explore/search?tab=default_tab&amp;search_scope=EVERYTHING&amp;vid=01CRU&amp;lang=en_US&amp;offset=0&amp;query=any,contains,991003250079702656","Catalog Record")</f>
        <v>Catalog Record</v>
      </c>
      <c r="AV2134" s="9" t="str">
        <f aca="false">HYPERLINK("http://www.worldcat.org/oclc/775180","WorldCat Record")</f>
        <v>WorldCat Record</v>
      </c>
      <c r="AW2134" s="6" t="s">
        <v>19333</v>
      </c>
      <c r="AX2134" s="6" t="s">
        <v>19334</v>
      </c>
      <c r="AY2134" s="6" t="s">
        <v>19335</v>
      </c>
      <c r="AZ2134" s="6" t="s">
        <v>19335</v>
      </c>
      <c r="BA2134" s="6" t="s">
        <v>19336</v>
      </c>
      <c r="BB2134" s="28"/>
      <c r="BC2134" s="6" t="s">
        <v>19337</v>
      </c>
      <c r="BE2134" s="15" t="s">
        <v>2145</v>
      </c>
      <c r="BF2134" s="6" t="s">
        <v>19338</v>
      </c>
    </row>
    <row r="2135" customFormat="false" ht="140" hidden="false" customHeight="false" outlineLevel="0" collapsed="false">
      <c r="A2135" s="26" t="s">
        <v>63</v>
      </c>
      <c r="B2135" s="27" t="s">
        <v>2129</v>
      </c>
      <c r="C2135" s="27" t="s">
        <v>2130</v>
      </c>
      <c r="D2135" s="27" t="s">
        <v>19339</v>
      </c>
      <c r="E2135" s="27" t="s">
        <v>19340</v>
      </c>
      <c r="F2135" s="27" t="s">
        <v>19341</v>
      </c>
      <c r="G2135" s="28"/>
      <c r="H2135" s="6" t="s">
        <v>63</v>
      </c>
      <c r="I2135" s="6" t="s">
        <v>62</v>
      </c>
      <c r="J2135" s="6" t="s">
        <v>63</v>
      </c>
      <c r="K2135" s="6" t="s">
        <v>63</v>
      </c>
      <c r="L2135" s="6" t="s">
        <v>64</v>
      </c>
      <c r="M2135" s="27" t="s">
        <v>4867</v>
      </c>
      <c r="N2135" s="27" t="s">
        <v>19342</v>
      </c>
      <c r="O2135" s="6" t="s">
        <v>8920</v>
      </c>
      <c r="P2135" s="28"/>
      <c r="Q2135" s="6" t="s">
        <v>67</v>
      </c>
      <c r="R2135" s="6" t="s">
        <v>181</v>
      </c>
      <c r="S2135" s="27" t="s">
        <v>19343</v>
      </c>
      <c r="T2135" s="6" t="s">
        <v>6138</v>
      </c>
      <c r="U2135" s="7" t="n">
        <v>2</v>
      </c>
      <c r="V2135" s="7" t="n">
        <v>2</v>
      </c>
      <c r="W2135" s="8" t="s">
        <v>19344</v>
      </c>
      <c r="X2135" s="8" t="s">
        <v>19344</v>
      </c>
      <c r="Y2135" s="8" t="s">
        <v>16816</v>
      </c>
      <c r="Z2135" s="8" t="s">
        <v>16816</v>
      </c>
      <c r="AA2135" s="7" t="n">
        <v>398</v>
      </c>
      <c r="AB2135" s="7" t="n">
        <v>358</v>
      </c>
      <c r="AC2135" s="7" t="n">
        <v>795</v>
      </c>
      <c r="AD2135" s="7" t="n">
        <v>4</v>
      </c>
      <c r="AE2135" s="7" t="n">
        <v>5</v>
      </c>
      <c r="AF2135" s="7" t="n">
        <v>17</v>
      </c>
      <c r="AG2135" s="7" t="n">
        <v>45</v>
      </c>
      <c r="AH2135" s="7" t="n">
        <v>6</v>
      </c>
      <c r="AI2135" s="7" t="n">
        <v>20</v>
      </c>
      <c r="AJ2135" s="7" t="n">
        <v>5</v>
      </c>
      <c r="AK2135" s="7" t="n">
        <v>9</v>
      </c>
      <c r="AL2135" s="7" t="n">
        <v>9</v>
      </c>
      <c r="AM2135" s="7" t="n">
        <v>23</v>
      </c>
      <c r="AN2135" s="7" t="n">
        <v>3</v>
      </c>
      <c r="AO2135" s="7" t="n">
        <v>4</v>
      </c>
      <c r="AP2135" s="7" t="n">
        <v>0</v>
      </c>
      <c r="AQ2135" s="7" t="n">
        <v>0</v>
      </c>
      <c r="AR2135" s="6" t="s">
        <v>63</v>
      </c>
      <c r="AS2135" s="6" t="s">
        <v>57</v>
      </c>
      <c r="AT2135" s="9" t="str">
        <f aca="false">HYPERLINK("http://catalog.hathitrust.org/Record/001383324","HathiTrust Record")</f>
        <v>HathiTrust Record</v>
      </c>
      <c r="AU2135" s="9" t="str">
        <f aca="false">HYPERLINK("https://creighton-primo.hosted.exlibrisgroup.com/primo-explore/search?tab=default_tab&amp;search_scope=EVERYTHING&amp;vid=01CRU&amp;lang=en_US&amp;offset=0&amp;query=any,contains,991003389669702656","Catalog Record")</f>
        <v>Catalog Record</v>
      </c>
      <c r="AV2135" s="9" t="str">
        <f aca="false">HYPERLINK("http://www.worldcat.org/oclc/927223","WorldCat Record")</f>
        <v>WorldCat Record</v>
      </c>
      <c r="AW2135" s="6" t="s">
        <v>19345</v>
      </c>
      <c r="AX2135" s="6" t="s">
        <v>19346</v>
      </c>
      <c r="AY2135" s="6" t="s">
        <v>19347</v>
      </c>
      <c r="AZ2135" s="6" t="s">
        <v>19347</v>
      </c>
      <c r="BA2135" s="6" t="s">
        <v>19348</v>
      </c>
      <c r="BB2135" s="28"/>
      <c r="BC2135" s="6" t="s">
        <v>19349</v>
      </c>
      <c r="BE2135" s="15" t="s">
        <v>2145</v>
      </c>
      <c r="BF2135" s="6" t="s">
        <v>19350</v>
      </c>
    </row>
    <row r="2136" customFormat="false" ht="140" hidden="false" customHeight="false" outlineLevel="0" collapsed="false">
      <c r="A2136" s="26" t="s">
        <v>63</v>
      </c>
      <c r="B2136" s="27" t="s">
        <v>2129</v>
      </c>
      <c r="C2136" s="27" t="s">
        <v>2130</v>
      </c>
      <c r="D2136" s="27" t="s">
        <v>19351</v>
      </c>
      <c r="E2136" s="27" t="s">
        <v>19352</v>
      </c>
      <c r="F2136" s="27" t="s">
        <v>19353</v>
      </c>
      <c r="G2136" s="28"/>
      <c r="H2136" s="6" t="s">
        <v>63</v>
      </c>
      <c r="I2136" s="6" t="s">
        <v>62</v>
      </c>
      <c r="J2136" s="6" t="s">
        <v>63</v>
      </c>
      <c r="K2136" s="6" t="s">
        <v>63</v>
      </c>
      <c r="L2136" s="6" t="s">
        <v>64</v>
      </c>
      <c r="M2136" s="27" t="s">
        <v>4867</v>
      </c>
      <c r="N2136" s="27" t="s">
        <v>19354</v>
      </c>
      <c r="O2136" s="6" t="s">
        <v>2610</v>
      </c>
      <c r="P2136" s="28"/>
      <c r="Q2136" s="6" t="s">
        <v>67</v>
      </c>
      <c r="R2136" s="6" t="s">
        <v>3782</v>
      </c>
      <c r="S2136" s="28"/>
      <c r="T2136" s="6" t="s">
        <v>6138</v>
      </c>
      <c r="U2136" s="7" t="n">
        <v>3</v>
      </c>
      <c r="V2136" s="7" t="n">
        <v>3</v>
      </c>
      <c r="W2136" s="8" t="s">
        <v>19355</v>
      </c>
      <c r="X2136" s="8" t="s">
        <v>19355</v>
      </c>
      <c r="Y2136" s="8" t="s">
        <v>16816</v>
      </c>
      <c r="Z2136" s="8" t="s">
        <v>16816</v>
      </c>
      <c r="AA2136" s="7" t="n">
        <v>43</v>
      </c>
      <c r="AB2136" s="7" t="n">
        <v>40</v>
      </c>
      <c r="AC2136" s="7" t="n">
        <v>324</v>
      </c>
      <c r="AD2136" s="7" t="n">
        <v>2</v>
      </c>
      <c r="AE2136" s="7" t="n">
        <v>3</v>
      </c>
      <c r="AF2136" s="7" t="n">
        <v>7</v>
      </c>
      <c r="AG2136" s="7" t="n">
        <v>19</v>
      </c>
      <c r="AH2136" s="7" t="n">
        <v>2</v>
      </c>
      <c r="AI2136" s="7" t="n">
        <v>4</v>
      </c>
      <c r="AJ2136" s="7" t="n">
        <v>2</v>
      </c>
      <c r="AK2136" s="7" t="n">
        <v>6</v>
      </c>
      <c r="AL2136" s="7" t="n">
        <v>3</v>
      </c>
      <c r="AM2136" s="7" t="n">
        <v>11</v>
      </c>
      <c r="AN2136" s="7" t="n">
        <v>1</v>
      </c>
      <c r="AO2136" s="7" t="n">
        <v>2</v>
      </c>
      <c r="AP2136" s="7" t="n">
        <v>0</v>
      </c>
      <c r="AQ2136" s="7" t="n">
        <v>0</v>
      </c>
      <c r="AR2136" s="6" t="s">
        <v>63</v>
      </c>
      <c r="AS2136" s="6" t="s">
        <v>63</v>
      </c>
      <c r="AT2136" s="28"/>
      <c r="AU2136" s="9" t="str">
        <f aca="false">HYPERLINK("https://creighton-primo.hosted.exlibrisgroup.com/primo-explore/search?tab=default_tab&amp;search_scope=EVERYTHING&amp;vid=01CRU&amp;lang=en_US&amp;offset=0&amp;query=any,contains,991004468699702656","Catalog Record")</f>
        <v>Catalog Record</v>
      </c>
      <c r="AV2136" s="9" t="str">
        <f aca="false">HYPERLINK("http://www.worldcat.org/oclc/3585050","WorldCat Record")</f>
        <v>WorldCat Record</v>
      </c>
      <c r="AW2136" s="6" t="s">
        <v>19356</v>
      </c>
      <c r="AX2136" s="6" t="s">
        <v>19357</v>
      </c>
      <c r="AY2136" s="6" t="s">
        <v>19358</v>
      </c>
      <c r="AZ2136" s="6" t="s">
        <v>19358</v>
      </c>
      <c r="BA2136" s="6" t="s">
        <v>19359</v>
      </c>
      <c r="BB2136" s="28"/>
      <c r="BC2136" s="6" t="s">
        <v>19360</v>
      </c>
      <c r="BE2136" s="15" t="s">
        <v>2145</v>
      </c>
      <c r="BF2136" s="6" t="s">
        <v>19361</v>
      </c>
    </row>
    <row r="2137" customFormat="false" ht="82.5" hidden="false" customHeight="false" outlineLevel="0" collapsed="false">
      <c r="A2137" s="26" t="s">
        <v>63</v>
      </c>
      <c r="B2137" s="27" t="s">
        <v>2129</v>
      </c>
      <c r="C2137" s="27" t="s">
        <v>2130</v>
      </c>
      <c r="D2137" s="27" t="s">
        <v>19362</v>
      </c>
      <c r="E2137" s="27" t="s">
        <v>19363</v>
      </c>
      <c r="F2137" s="27" t="s">
        <v>19364</v>
      </c>
      <c r="G2137" s="28"/>
      <c r="H2137" s="6" t="s">
        <v>63</v>
      </c>
      <c r="I2137" s="6" t="s">
        <v>62</v>
      </c>
      <c r="J2137" s="6" t="s">
        <v>63</v>
      </c>
      <c r="K2137" s="6" t="s">
        <v>63</v>
      </c>
      <c r="L2137" s="6" t="s">
        <v>64</v>
      </c>
      <c r="M2137" s="27" t="s">
        <v>19365</v>
      </c>
      <c r="N2137" s="27" t="s">
        <v>19366</v>
      </c>
      <c r="O2137" s="6" t="s">
        <v>3340</v>
      </c>
      <c r="P2137" s="28"/>
      <c r="Q2137" s="6" t="s">
        <v>67</v>
      </c>
      <c r="R2137" s="6" t="s">
        <v>222</v>
      </c>
      <c r="S2137" s="27" t="s">
        <v>19367</v>
      </c>
      <c r="T2137" s="6" t="s">
        <v>6138</v>
      </c>
      <c r="U2137" s="7" t="n">
        <v>3</v>
      </c>
      <c r="V2137" s="7" t="n">
        <v>3</v>
      </c>
      <c r="W2137" s="8" t="s">
        <v>19355</v>
      </c>
      <c r="X2137" s="8" t="s">
        <v>19355</v>
      </c>
      <c r="Y2137" s="8" t="s">
        <v>16816</v>
      </c>
      <c r="Z2137" s="8" t="s">
        <v>16816</v>
      </c>
      <c r="AA2137" s="7" t="n">
        <v>517</v>
      </c>
      <c r="AB2137" s="7" t="n">
        <v>437</v>
      </c>
      <c r="AC2137" s="7" t="n">
        <v>447</v>
      </c>
      <c r="AD2137" s="7" t="n">
        <v>3</v>
      </c>
      <c r="AE2137" s="7" t="n">
        <v>3</v>
      </c>
      <c r="AF2137" s="7" t="n">
        <v>17</v>
      </c>
      <c r="AG2137" s="7" t="n">
        <v>18</v>
      </c>
      <c r="AH2137" s="7" t="n">
        <v>5</v>
      </c>
      <c r="AI2137" s="7" t="n">
        <v>5</v>
      </c>
      <c r="AJ2137" s="7" t="n">
        <v>4</v>
      </c>
      <c r="AK2137" s="7" t="n">
        <v>5</v>
      </c>
      <c r="AL2137" s="7" t="n">
        <v>11</v>
      </c>
      <c r="AM2137" s="7" t="n">
        <v>12</v>
      </c>
      <c r="AN2137" s="7" t="n">
        <v>2</v>
      </c>
      <c r="AO2137" s="7" t="n">
        <v>2</v>
      </c>
      <c r="AP2137" s="7" t="n">
        <v>0</v>
      </c>
      <c r="AQ2137" s="7" t="n">
        <v>0</v>
      </c>
      <c r="AR2137" s="6" t="s">
        <v>63</v>
      </c>
      <c r="AS2137" s="6" t="s">
        <v>57</v>
      </c>
      <c r="AT2137" s="9" t="str">
        <f aca="false">HYPERLINK("http://catalog.hathitrust.org/Record/000725794","HathiTrust Record")</f>
        <v>HathiTrust Record</v>
      </c>
      <c r="AU2137" s="9" t="str">
        <f aca="false">HYPERLINK("https://creighton-primo.hosted.exlibrisgroup.com/primo-explore/search?tab=default_tab&amp;search_scope=EVERYTHING&amp;vid=01CRU&amp;lang=en_US&amp;offset=0&amp;query=any,contains,991004092299702656","Catalog Record")</f>
        <v>Catalog Record</v>
      </c>
      <c r="AV2137" s="9" t="str">
        <f aca="false">HYPERLINK("http://www.worldcat.org/oclc/2346194","WorldCat Record")</f>
        <v>WorldCat Record</v>
      </c>
      <c r="AW2137" s="6" t="s">
        <v>19368</v>
      </c>
      <c r="AX2137" s="6" t="s">
        <v>19369</v>
      </c>
      <c r="AY2137" s="6" t="s">
        <v>19370</v>
      </c>
      <c r="AZ2137" s="6" t="s">
        <v>19370</v>
      </c>
      <c r="BA2137" s="6" t="s">
        <v>19371</v>
      </c>
      <c r="BB2137" s="6" t="s">
        <v>19372</v>
      </c>
      <c r="BC2137" s="6" t="s">
        <v>19373</v>
      </c>
      <c r="BE2137" s="15" t="s">
        <v>2145</v>
      </c>
      <c r="BF2137" s="6" t="s">
        <v>19374</v>
      </c>
    </row>
    <row r="2138" customFormat="false" ht="82.5" hidden="false" customHeight="false" outlineLevel="0" collapsed="false">
      <c r="A2138" s="26" t="s">
        <v>63</v>
      </c>
      <c r="B2138" s="27" t="s">
        <v>2129</v>
      </c>
      <c r="C2138" s="27" t="s">
        <v>2130</v>
      </c>
      <c r="D2138" s="27" t="s">
        <v>19375</v>
      </c>
      <c r="E2138" s="27" t="s">
        <v>19376</v>
      </c>
      <c r="F2138" s="27" t="s">
        <v>19377</v>
      </c>
      <c r="G2138" s="28"/>
      <c r="H2138" s="6" t="s">
        <v>63</v>
      </c>
      <c r="I2138" s="6" t="s">
        <v>62</v>
      </c>
      <c r="J2138" s="6" t="s">
        <v>57</v>
      </c>
      <c r="K2138" s="6" t="s">
        <v>63</v>
      </c>
      <c r="L2138" s="6" t="s">
        <v>64</v>
      </c>
      <c r="M2138" s="27" t="s">
        <v>16916</v>
      </c>
      <c r="N2138" s="27" t="s">
        <v>19378</v>
      </c>
      <c r="O2138" s="6" t="s">
        <v>167</v>
      </c>
      <c r="P2138" s="28"/>
      <c r="Q2138" s="6" t="s">
        <v>67</v>
      </c>
      <c r="R2138" s="6" t="s">
        <v>123</v>
      </c>
      <c r="S2138" s="28"/>
      <c r="T2138" s="6" t="s">
        <v>6138</v>
      </c>
      <c r="U2138" s="7" t="n">
        <v>3</v>
      </c>
      <c r="V2138" s="7" t="n">
        <v>3</v>
      </c>
      <c r="W2138" s="8" t="s">
        <v>19250</v>
      </c>
      <c r="X2138" s="8" t="s">
        <v>19250</v>
      </c>
      <c r="Y2138" s="8" t="s">
        <v>16816</v>
      </c>
      <c r="Z2138" s="8" t="s">
        <v>16816</v>
      </c>
      <c r="AA2138" s="7" t="n">
        <v>243</v>
      </c>
      <c r="AB2138" s="7" t="n">
        <v>205</v>
      </c>
      <c r="AC2138" s="7" t="n">
        <v>206</v>
      </c>
      <c r="AD2138" s="7" t="n">
        <v>1</v>
      </c>
      <c r="AE2138" s="7" t="n">
        <v>1</v>
      </c>
      <c r="AF2138" s="7" t="n">
        <v>28</v>
      </c>
      <c r="AG2138" s="7" t="n">
        <v>28</v>
      </c>
      <c r="AH2138" s="7" t="n">
        <v>11</v>
      </c>
      <c r="AI2138" s="7" t="n">
        <v>11</v>
      </c>
      <c r="AJ2138" s="7" t="n">
        <v>8</v>
      </c>
      <c r="AK2138" s="7" t="n">
        <v>8</v>
      </c>
      <c r="AL2138" s="7" t="n">
        <v>21</v>
      </c>
      <c r="AM2138" s="7" t="n">
        <v>21</v>
      </c>
      <c r="AN2138" s="7" t="n">
        <v>0</v>
      </c>
      <c r="AO2138" s="7" t="n">
        <v>0</v>
      </c>
      <c r="AP2138" s="7" t="n">
        <v>0</v>
      </c>
      <c r="AQ2138" s="7" t="n">
        <v>0</v>
      </c>
      <c r="AR2138" s="6" t="s">
        <v>63</v>
      </c>
      <c r="AS2138" s="6" t="s">
        <v>57</v>
      </c>
      <c r="AT2138" s="9" t="str">
        <f aca="false">HYPERLINK("http://catalog.hathitrust.org/Record/009974906","HathiTrust Record")</f>
        <v>HathiTrust Record</v>
      </c>
      <c r="AU2138" s="9" t="str">
        <f aca="false">HYPERLINK("https://creighton-primo.hosted.exlibrisgroup.com/primo-explore/search?tab=default_tab&amp;search_scope=EVERYTHING&amp;vid=01CRU&amp;lang=en_US&amp;offset=0&amp;query=any,contains,991003763039702656","Catalog Record")</f>
        <v>Catalog Record</v>
      </c>
      <c r="AV2138" s="9" t="str">
        <f aca="false">HYPERLINK("http://www.worldcat.org/oclc/1453289","WorldCat Record")</f>
        <v>WorldCat Record</v>
      </c>
      <c r="AW2138" s="6" t="s">
        <v>19379</v>
      </c>
      <c r="AX2138" s="6" t="s">
        <v>19380</v>
      </c>
      <c r="AY2138" s="6" t="s">
        <v>19381</v>
      </c>
      <c r="AZ2138" s="6" t="s">
        <v>19381</v>
      </c>
      <c r="BA2138" s="6" t="s">
        <v>19382</v>
      </c>
      <c r="BB2138" s="28"/>
      <c r="BC2138" s="6" t="s">
        <v>19383</v>
      </c>
      <c r="BE2138" s="15" t="s">
        <v>2145</v>
      </c>
      <c r="BF2138" s="6" t="s">
        <v>19384</v>
      </c>
    </row>
    <row r="2139" customFormat="false" ht="82.5" hidden="false" customHeight="false" outlineLevel="0" collapsed="false">
      <c r="A2139" s="26" t="s">
        <v>63</v>
      </c>
      <c r="B2139" s="27" t="s">
        <v>2129</v>
      </c>
      <c r="C2139" s="27" t="s">
        <v>2130</v>
      </c>
      <c r="D2139" s="27" t="s">
        <v>19375</v>
      </c>
      <c r="E2139" s="27" t="s">
        <v>19376</v>
      </c>
      <c r="F2139" s="27" t="s">
        <v>19377</v>
      </c>
      <c r="G2139" s="28"/>
      <c r="H2139" s="6" t="s">
        <v>63</v>
      </c>
      <c r="I2139" s="6" t="s">
        <v>62</v>
      </c>
      <c r="J2139" s="6" t="s">
        <v>57</v>
      </c>
      <c r="K2139" s="6" t="s">
        <v>63</v>
      </c>
      <c r="L2139" s="6" t="s">
        <v>64</v>
      </c>
      <c r="M2139" s="27" t="s">
        <v>16916</v>
      </c>
      <c r="N2139" s="27" t="s">
        <v>19378</v>
      </c>
      <c r="O2139" s="6" t="s">
        <v>167</v>
      </c>
      <c r="P2139" s="28"/>
      <c r="Q2139" s="6" t="s">
        <v>67</v>
      </c>
      <c r="R2139" s="6" t="s">
        <v>123</v>
      </c>
      <c r="S2139" s="28"/>
      <c r="T2139" s="6" t="s">
        <v>6138</v>
      </c>
      <c r="U2139" s="7" t="n">
        <v>0</v>
      </c>
      <c r="V2139" s="7" t="n">
        <v>3</v>
      </c>
      <c r="W2139" s="28"/>
      <c r="X2139" s="8" t="s">
        <v>19250</v>
      </c>
      <c r="Y2139" s="8" t="s">
        <v>16816</v>
      </c>
      <c r="Z2139" s="8" t="s">
        <v>16816</v>
      </c>
      <c r="AA2139" s="7" t="n">
        <v>243</v>
      </c>
      <c r="AB2139" s="7" t="n">
        <v>205</v>
      </c>
      <c r="AC2139" s="7" t="n">
        <v>206</v>
      </c>
      <c r="AD2139" s="7" t="n">
        <v>1</v>
      </c>
      <c r="AE2139" s="7" t="n">
        <v>1</v>
      </c>
      <c r="AF2139" s="7" t="n">
        <v>28</v>
      </c>
      <c r="AG2139" s="7" t="n">
        <v>28</v>
      </c>
      <c r="AH2139" s="7" t="n">
        <v>11</v>
      </c>
      <c r="AI2139" s="7" t="n">
        <v>11</v>
      </c>
      <c r="AJ2139" s="7" t="n">
        <v>8</v>
      </c>
      <c r="AK2139" s="7" t="n">
        <v>8</v>
      </c>
      <c r="AL2139" s="7" t="n">
        <v>21</v>
      </c>
      <c r="AM2139" s="7" t="n">
        <v>21</v>
      </c>
      <c r="AN2139" s="7" t="n">
        <v>0</v>
      </c>
      <c r="AO2139" s="7" t="n">
        <v>0</v>
      </c>
      <c r="AP2139" s="7" t="n">
        <v>0</v>
      </c>
      <c r="AQ2139" s="7" t="n">
        <v>0</v>
      </c>
      <c r="AR2139" s="6" t="s">
        <v>63</v>
      </c>
      <c r="AS2139" s="6" t="s">
        <v>57</v>
      </c>
      <c r="AT2139" s="9" t="str">
        <f aca="false">HYPERLINK("http://catalog.hathitrust.org/Record/009974906","HathiTrust Record")</f>
        <v>HathiTrust Record</v>
      </c>
      <c r="AU2139" s="9" t="str">
        <f aca="false">HYPERLINK("https://creighton-primo.hosted.exlibrisgroup.com/primo-explore/search?tab=default_tab&amp;search_scope=EVERYTHING&amp;vid=01CRU&amp;lang=en_US&amp;offset=0&amp;query=any,contains,991003763039702656","Catalog Record")</f>
        <v>Catalog Record</v>
      </c>
      <c r="AV2139" s="9" t="str">
        <f aca="false">HYPERLINK("http://www.worldcat.org/oclc/1453289","WorldCat Record")</f>
        <v>WorldCat Record</v>
      </c>
      <c r="AW2139" s="6" t="s">
        <v>19379</v>
      </c>
      <c r="AX2139" s="6" t="s">
        <v>19380</v>
      </c>
      <c r="AY2139" s="6" t="s">
        <v>19381</v>
      </c>
      <c r="AZ2139" s="6" t="s">
        <v>19381</v>
      </c>
      <c r="BA2139" s="6" t="s">
        <v>19382</v>
      </c>
      <c r="BB2139" s="28"/>
      <c r="BC2139" s="6" t="s">
        <v>19385</v>
      </c>
      <c r="BE2139" s="15" t="s">
        <v>2145</v>
      </c>
      <c r="BF2139" s="6" t="s">
        <v>19386</v>
      </c>
    </row>
    <row r="2140" customFormat="false" ht="94" hidden="false" customHeight="false" outlineLevel="0" collapsed="false">
      <c r="A2140" s="26" t="s">
        <v>63</v>
      </c>
      <c r="B2140" s="27" t="s">
        <v>2129</v>
      </c>
      <c r="C2140" s="27" t="s">
        <v>2130</v>
      </c>
      <c r="D2140" s="27" t="s">
        <v>19387</v>
      </c>
      <c r="E2140" s="27" t="s">
        <v>19388</v>
      </c>
      <c r="F2140" s="27" t="s">
        <v>19389</v>
      </c>
      <c r="G2140" s="28"/>
      <c r="H2140" s="6" t="s">
        <v>63</v>
      </c>
      <c r="I2140" s="6" t="s">
        <v>62</v>
      </c>
      <c r="J2140" s="6" t="s">
        <v>63</v>
      </c>
      <c r="K2140" s="6" t="s">
        <v>63</v>
      </c>
      <c r="L2140" s="6" t="s">
        <v>64</v>
      </c>
      <c r="M2140" s="28"/>
      <c r="N2140" s="27" t="s">
        <v>19390</v>
      </c>
      <c r="O2140" s="6" t="s">
        <v>2693</v>
      </c>
      <c r="P2140" s="27" t="s">
        <v>255</v>
      </c>
      <c r="Q2140" s="6" t="s">
        <v>67</v>
      </c>
      <c r="R2140" s="6" t="s">
        <v>1059</v>
      </c>
      <c r="S2140" s="27" t="s">
        <v>19391</v>
      </c>
      <c r="T2140" s="6" t="s">
        <v>6138</v>
      </c>
      <c r="U2140" s="7" t="n">
        <v>1</v>
      </c>
      <c r="V2140" s="7" t="n">
        <v>1</v>
      </c>
      <c r="W2140" s="8" t="s">
        <v>19392</v>
      </c>
      <c r="X2140" s="8" t="s">
        <v>19392</v>
      </c>
      <c r="Y2140" s="8" t="s">
        <v>16816</v>
      </c>
      <c r="Z2140" s="8" t="s">
        <v>16816</v>
      </c>
      <c r="AA2140" s="7" t="n">
        <v>895</v>
      </c>
      <c r="AB2140" s="7" t="n">
        <v>772</v>
      </c>
      <c r="AC2140" s="7" t="n">
        <v>782</v>
      </c>
      <c r="AD2140" s="7" t="n">
        <v>6</v>
      </c>
      <c r="AE2140" s="7" t="n">
        <v>6</v>
      </c>
      <c r="AF2140" s="7" t="n">
        <v>39</v>
      </c>
      <c r="AG2140" s="7" t="n">
        <v>39</v>
      </c>
      <c r="AH2140" s="7" t="n">
        <v>16</v>
      </c>
      <c r="AI2140" s="7" t="n">
        <v>16</v>
      </c>
      <c r="AJ2140" s="7" t="n">
        <v>9</v>
      </c>
      <c r="AK2140" s="7" t="n">
        <v>9</v>
      </c>
      <c r="AL2140" s="7" t="n">
        <v>22</v>
      </c>
      <c r="AM2140" s="7" t="n">
        <v>22</v>
      </c>
      <c r="AN2140" s="7" t="n">
        <v>4</v>
      </c>
      <c r="AO2140" s="7" t="n">
        <v>4</v>
      </c>
      <c r="AP2140" s="7" t="n">
        <v>0</v>
      </c>
      <c r="AQ2140" s="7" t="n">
        <v>0</v>
      </c>
      <c r="AR2140" s="6" t="s">
        <v>63</v>
      </c>
      <c r="AS2140" s="6" t="s">
        <v>57</v>
      </c>
      <c r="AT2140" s="9" t="str">
        <f aca="false">HYPERLINK("http://catalog.hathitrust.org/Record/001915261","HathiTrust Record")</f>
        <v>HathiTrust Record</v>
      </c>
      <c r="AU2140" s="9" t="str">
        <f aca="false">HYPERLINK("https://creighton-primo.hosted.exlibrisgroup.com/primo-explore/search?tab=default_tab&amp;search_scope=EVERYTHING&amp;vid=01CRU&amp;lang=en_US&amp;offset=0&amp;query=any,contains,991005431019702656","Catalog Record")</f>
        <v>Catalog Record</v>
      </c>
      <c r="AV2140" s="9" t="str">
        <f aca="false">HYPERLINK("http://www.worldcat.org/oclc/158","WorldCat Record")</f>
        <v>WorldCat Record</v>
      </c>
      <c r="AW2140" s="6" t="s">
        <v>19393</v>
      </c>
      <c r="AX2140" s="6" t="s">
        <v>19394</v>
      </c>
      <c r="AY2140" s="6" t="s">
        <v>19395</v>
      </c>
      <c r="AZ2140" s="6" t="s">
        <v>19395</v>
      </c>
      <c r="BA2140" s="6" t="s">
        <v>19396</v>
      </c>
      <c r="BB2140" s="28"/>
      <c r="BC2140" s="6" t="s">
        <v>19397</v>
      </c>
      <c r="BE2140" s="15" t="s">
        <v>2145</v>
      </c>
      <c r="BF2140" s="6" t="s">
        <v>19398</v>
      </c>
    </row>
    <row r="2141" customFormat="false" ht="71" hidden="false" customHeight="false" outlineLevel="0" collapsed="false">
      <c r="A2141" s="26" t="s">
        <v>63</v>
      </c>
      <c r="B2141" s="27" t="s">
        <v>2129</v>
      </c>
      <c r="C2141" s="27" t="s">
        <v>2130</v>
      </c>
      <c r="D2141" s="27" t="s">
        <v>19399</v>
      </c>
      <c r="E2141" s="27" t="s">
        <v>19400</v>
      </c>
      <c r="F2141" s="27" t="s">
        <v>19401</v>
      </c>
      <c r="G2141" s="28"/>
      <c r="H2141" s="6" t="s">
        <v>63</v>
      </c>
      <c r="I2141" s="6" t="s">
        <v>62</v>
      </c>
      <c r="J2141" s="6" t="s">
        <v>63</v>
      </c>
      <c r="K2141" s="6" t="s">
        <v>63</v>
      </c>
      <c r="L2141" s="6" t="s">
        <v>64</v>
      </c>
      <c r="M2141" s="27" t="s">
        <v>18566</v>
      </c>
      <c r="N2141" s="27" t="s">
        <v>19402</v>
      </c>
      <c r="O2141" s="6" t="s">
        <v>3513</v>
      </c>
      <c r="P2141" s="28"/>
      <c r="Q2141" s="6" t="s">
        <v>67</v>
      </c>
      <c r="R2141" s="6" t="s">
        <v>1224</v>
      </c>
      <c r="S2141" s="28"/>
      <c r="T2141" s="6" t="s">
        <v>6138</v>
      </c>
      <c r="U2141" s="7" t="n">
        <v>3</v>
      </c>
      <c r="V2141" s="7" t="n">
        <v>3</v>
      </c>
      <c r="W2141" s="8" t="s">
        <v>19403</v>
      </c>
      <c r="X2141" s="8" t="s">
        <v>19403</v>
      </c>
      <c r="Y2141" s="8" t="s">
        <v>16816</v>
      </c>
      <c r="Z2141" s="8" t="s">
        <v>16816</v>
      </c>
      <c r="AA2141" s="7" t="n">
        <v>969</v>
      </c>
      <c r="AB2141" s="7" t="n">
        <v>820</v>
      </c>
      <c r="AC2141" s="7" t="n">
        <v>1243</v>
      </c>
      <c r="AD2141" s="7" t="n">
        <v>7</v>
      </c>
      <c r="AE2141" s="7" t="n">
        <v>9</v>
      </c>
      <c r="AF2141" s="7" t="n">
        <v>38</v>
      </c>
      <c r="AG2141" s="7" t="n">
        <v>53</v>
      </c>
      <c r="AH2141" s="7" t="n">
        <v>13</v>
      </c>
      <c r="AI2141" s="7" t="n">
        <v>24</v>
      </c>
      <c r="AJ2141" s="7" t="n">
        <v>7</v>
      </c>
      <c r="AK2141" s="7" t="n">
        <v>9</v>
      </c>
      <c r="AL2141" s="7" t="n">
        <v>22</v>
      </c>
      <c r="AM2141" s="7" t="n">
        <v>26</v>
      </c>
      <c r="AN2141" s="7" t="n">
        <v>6</v>
      </c>
      <c r="AO2141" s="7" t="n">
        <v>7</v>
      </c>
      <c r="AP2141" s="7" t="n">
        <v>0</v>
      </c>
      <c r="AQ2141" s="7" t="n">
        <v>0</v>
      </c>
      <c r="AR2141" s="6" t="s">
        <v>63</v>
      </c>
      <c r="AS2141" s="6" t="s">
        <v>63</v>
      </c>
      <c r="AT2141" s="9" t="str">
        <f aca="false">HYPERLINK("http://catalog.hathitrust.org/Record/001383340","HathiTrust Record")</f>
        <v>HathiTrust Record</v>
      </c>
      <c r="AU2141" s="9" t="str">
        <f aca="false">HYPERLINK("https://creighton-primo.hosted.exlibrisgroup.com/primo-explore/search?tab=default_tab&amp;search_scope=EVERYTHING&amp;vid=01CRU&amp;lang=en_US&amp;offset=0&amp;query=any,contains,991002145279702656","Catalog Record")</f>
        <v>Catalog Record</v>
      </c>
      <c r="AV2141" s="9" t="str">
        <f aca="false">HYPERLINK("http://www.worldcat.org/oclc/271427","WorldCat Record")</f>
        <v>WorldCat Record</v>
      </c>
      <c r="AW2141" s="6" t="s">
        <v>19404</v>
      </c>
      <c r="AX2141" s="6" t="s">
        <v>19405</v>
      </c>
      <c r="AY2141" s="6" t="s">
        <v>19406</v>
      </c>
      <c r="AZ2141" s="6" t="s">
        <v>19406</v>
      </c>
      <c r="BA2141" s="6" t="s">
        <v>19407</v>
      </c>
      <c r="BB2141" s="28"/>
      <c r="BC2141" s="6" t="s">
        <v>19408</v>
      </c>
      <c r="BE2141" s="15" t="s">
        <v>2145</v>
      </c>
      <c r="BF2141" s="6" t="s">
        <v>19409</v>
      </c>
    </row>
    <row r="2142" customFormat="false" ht="71" hidden="false" customHeight="false" outlineLevel="0" collapsed="false">
      <c r="A2142" s="26" t="s">
        <v>63</v>
      </c>
      <c r="B2142" s="27" t="s">
        <v>2129</v>
      </c>
      <c r="C2142" s="27" t="s">
        <v>2130</v>
      </c>
      <c r="D2142" s="27" t="s">
        <v>19410</v>
      </c>
      <c r="E2142" s="27" t="s">
        <v>19411</v>
      </c>
      <c r="F2142" s="27" t="s">
        <v>19412</v>
      </c>
      <c r="G2142" s="28"/>
      <c r="H2142" s="6" t="s">
        <v>63</v>
      </c>
      <c r="I2142" s="6" t="s">
        <v>62</v>
      </c>
      <c r="J2142" s="6" t="s">
        <v>63</v>
      </c>
      <c r="K2142" s="6" t="s">
        <v>63</v>
      </c>
      <c r="L2142" s="6" t="s">
        <v>64</v>
      </c>
      <c r="M2142" s="27" t="s">
        <v>18566</v>
      </c>
      <c r="N2142" s="27" t="s">
        <v>8968</v>
      </c>
      <c r="O2142" s="6" t="s">
        <v>3094</v>
      </c>
      <c r="P2142" s="28"/>
      <c r="Q2142" s="6" t="s">
        <v>67</v>
      </c>
      <c r="R2142" s="6" t="s">
        <v>1224</v>
      </c>
      <c r="S2142" s="28"/>
      <c r="T2142" s="6" t="s">
        <v>6138</v>
      </c>
      <c r="U2142" s="7" t="n">
        <v>1</v>
      </c>
      <c r="V2142" s="7" t="n">
        <v>1</v>
      </c>
      <c r="W2142" s="8" t="s">
        <v>9511</v>
      </c>
      <c r="X2142" s="8" t="s">
        <v>9511</v>
      </c>
      <c r="Y2142" s="8" t="s">
        <v>16816</v>
      </c>
      <c r="Z2142" s="8" t="s">
        <v>16816</v>
      </c>
      <c r="AA2142" s="7" t="n">
        <v>807</v>
      </c>
      <c r="AB2142" s="7" t="n">
        <v>697</v>
      </c>
      <c r="AC2142" s="7" t="n">
        <v>803</v>
      </c>
      <c r="AD2142" s="7" t="n">
        <v>4</v>
      </c>
      <c r="AE2142" s="7" t="n">
        <v>6</v>
      </c>
      <c r="AF2142" s="7" t="n">
        <v>37</v>
      </c>
      <c r="AG2142" s="7" t="n">
        <v>42</v>
      </c>
      <c r="AH2142" s="7" t="n">
        <v>15</v>
      </c>
      <c r="AI2142" s="7" t="n">
        <v>18</v>
      </c>
      <c r="AJ2142" s="7" t="n">
        <v>9</v>
      </c>
      <c r="AK2142" s="7" t="n">
        <v>10</v>
      </c>
      <c r="AL2142" s="7" t="n">
        <v>23</v>
      </c>
      <c r="AM2142" s="7" t="n">
        <v>23</v>
      </c>
      <c r="AN2142" s="7" t="n">
        <v>2</v>
      </c>
      <c r="AO2142" s="7" t="n">
        <v>4</v>
      </c>
      <c r="AP2142" s="7" t="n">
        <v>0</v>
      </c>
      <c r="AQ2142" s="7" t="n">
        <v>0</v>
      </c>
      <c r="AR2142" s="6" t="s">
        <v>63</v>
      </c>
      <c r="AS2142" s="6" t="s">
        <v>57</v>
      </c>
      <c r="AT2142" s="9" t="str">
        <f aca="false">HYPERLINK("http://catalog.hathitrust.org/Record/001383343","HathiTrust Record")</f>
        <v>HathiTrust Record</v>
      </c>
      <c r="AU2142" s="9" t="str">
        <f aca="false">HYPERLINK("https://creighton-primo.hosted.exlibrisgroup.com/primo-explore/search?tab=default_tab&amp;search_scope=EVERYTHING&amp;vid=01CRU&amp;lang=en_US&amp;offset=0&amp;query=any,contains,991002557319702656","Catalog Record")</f>
        <v>Catalog Record</v>
      </c>
      <c r="AV2142" s="9" t="str">
        <f aca="false">HYPERLINK("http://www.worldcat.org/oclc/371257","WorldCat Record")</f>
        <v>WorldCat Record</v>
      </c>
      <c r="AW2142" s="6" t="s">
        <v>19413</v>
      </c>
      <c r="AX2142" s="6" t="s">
        <v>19414</v>
      </c>
      <c r="AY2142" s="6" t="s">
        <v>19415</v>
      </c>
      <c r="AZ2142" s="6" t="s">
        <v>19415</v>
      </c>
      <c r="BA2142" s="6" t="s">
        <v>19416</v>
      </c>
      <c r="BB2142" s="28"/>
      <c r="BC2142" s="6" t="s">
        <v>19417</v>
      </c>
      <c r="BE2142" s="15" t="s">
        <v>2145</v>
      </c>
      <c r="BF2142" s="6" t="s">
        <v>19418</v>
      </c>
    </row>
    <row r="2143" customFormat="false" ht="94" hidden="false" customHeight="false" outlineLevel="0" collapsed="false">
      <c r="A2143" s="26" t="s">
        <v>63</v>
      </c>
      <c r="B2143" s="27" t="s">
        <v>2129</v>
      </c>
      <c r="C2143" s="27" t="s">
        <v>2130</v>
      </c>
      <c r="D2143" s="27" t="s">
        <v>19419</v>
      </c>
      <c r="E2143" s="27" t="s">
        <v>19420</v>
      </c>
      <c r="F2143" s="27" t="s">
        <v>19421</v>
      </c>
      <c r="G2143" s="28"/>
      <c r="H2143" s="6" t="s">
        <v>63</v>
      </c>
      <c r="I2143" s="6" t="s">
        <v>62</v>
      </c>
      <c r="J2143" s="6" t="s">
        <v>63</v>
      </c>
      <c r="K2143" s="6" t="s">
        <v>63</v>
      </c>
      <c r="L2143" s="6" t="s">
        <v>64</v>
      </c>
      <c r="M2143" s="27" t="s">
        <v>19422</v>
      </c>
      <c r="N2143" s="27" t="s">
        <v>19423</v>
      </c>
      <c r="O2143" s="6" t="s">
        <v>2623</v>
      </c>
      <c r="P2143" s="28"/>
      <c r="Q2143" s="6" t="s">
        <v>67</v>
      </c>
      <c r="R2143" s="6" t="s">
        <v>14737</v>
      </c>
      <c r="S2143" s="28"/>
      <c r="T2143" s="6" t="s">
        <v>6138</v>
      </c>
      <c r="U2143" s="7" t="n">
        <v>1</v>
      </c>
      <c r="V2143" s="7" t="n">
        <v>1</v>
      </c>
      <c r="W2143" s="8" t="s">
        <v>17667</v>
      </c>
      <c r="X2143" s="8" t="s">
        <v>17667</v>
      </c>
      <c r="Y2143" s="8" t="s">
        <v>16765</v>
      </c>
      <c r="Z2143" s="8" t="s">
        <v>16765</v>
      </c>
      <c r="AA2143" s="7" t="n">
        <v>500</v>
      </c>
      <c r="AB2143" s="7" t="n">
        <v>446</v>
      </c>
      <c r="AC2143" s="7" t="n">
        <v>448</v>
      </c>
      <c r="AD2143" s="7" t="n">
        <v>4</v>
      </c>
      <c r="AE2143" s="7" t="n">
        <v>4</v>
      </c>
      <c r="AF2143" s="7" t="n">
        <v>25</v>
      </c>
      <c r="AG2143" s="7" t="n">
        <v>25</v>
      </c>
      <c r="AH2143" s="7" t="n">
        <v>8</v>
      </c>
      <c r="AI2143" s="7" t="n">
        <v>8</v>
      </c>
      <c r="AJ2143" s="7" t="n">
        <v>7</v>
      </c>
      <c r="AK2143" s="7" t="n">
        <v>7</v>
      </c>
      <c r="AL2143" s="7" t="n">
        <v>13</v>
      </c>
      <c r="AM2143" s="7" t="n">
        <v>13</v>
      </c>
      <c r="AN2143" s="7" t="n">
        <v>3</v>
      </c>
      <c r="AO2143" s="7" t="n">
        <v>3</v>
      </c>
      <c r="AP2143" s="7" t="n">
        <v>0</v>
      </c>
      <c r="AQ2143" s="7" t="n">
        <v>0</v>
      </c>
      <c r="AR2143" s="6" t="s">
        <v>63</v>
      </c>
      <c r="AS2143" s="6" t="s">
        <v>57</v>
      </c>
      <c r="AT2143" s="9" t="str">
        <f aca="false">HYPERLINK("http://catalog.hathitrust.org/Record/000731509","HathiTrust Record")</f>
        <v>HathiTrust Record</v>
      </c>
      <c r="AU2143" s="9" t="str">
        <f aca="false">HYPERLINK("https://creighton-primo.hosted.exlibrisgroup.com/primo-explore/search?tab=default_tab&amp;search_scope=EVERYTHING&amp;vid=01CRU&amp;lang=en_US&amp;offset=0&amp;query=any,contains,991004870679702656","Catalog Record")</f>
        <v>Catalog Record</v>
      </c>
      <c r="AV2143" s="9" t="str">
        <f aca="false">HYPERLINK("http://www.worldcat.org/oclc/5751405","WorldCat Record")</f>
        <v>WorldCat Record</v>
      </c>
      <c r="AW2143" s="6" t="s">
        <v>19424</v>
      </c>
      <c r="AX2143" s="6" t="s">
        <v>19425</v>
      </c>
      <c r="AY2143" s="6" t="s">
        <v>19426</v>
      </c>
      <c r="AZ2143" s="6" t="s">
        <v>19426</v>
      </c>
      <c r="BA2143" s="6" t="s">
        <v>19427</v>
      </c>
      <c r="BB2143" s="6" t="s">
        <v>19428</v>
      </c>
      <c r="BC2143" s="6" t="s">
        <v>19429</v>
      </c>
      <c r="BE2143" s="15" t="s">
        <v>2145</v>
      </c>
      <c r="BF2143" s="6" t="s">
        <v>19430</v>
      </c>
    </row>
    <row r="2144" customFormat="false" ht="82.5" hidden="false" customHeight="false" outlineLevel="0" collapsed="false">
      <c r="A2144" s="26" t="s">
        <v>63</v>
      </c>
      <c r="B2144" s="27" t="s">
        <v>2129</v>
      </c>
      <c r="C2144" s="27" t="s">
        <v>2130</v>
      </c>
      <c r="D2144" s="27" t="s">
        <v>19431</v>
      </c>
      <c r="E2144" s="27" t="s">
        <v>19432</v>
      </c>
      <c r="F2144" s="27" t="s">
        <v>19433</v>
      </c>
      <c r="G2144" s="28"/>
      <c r="H2144" s="6" t="s">
        <v>63</v>
      </c>
      <c r="I2144" s="6" t="s">
        <v>62</v>
      </c>
      <c r="J2144" s="6" t="s">
        <v>63</v>
      </c>
      <c r="K2144" s="6" t="s">
        <v>63</v>
      </c>
      <c r="L2144" s="6" t="s">
        <v>64</v>
      </c>
      <c r="M2144" s="27" t="s">
        <v>19434</v>
      </c>
      <c r="N2144" s="27" t="s">
        <v>17128</v>
      </c>
      <c r="O2144" s="6" t="s">
        <v>195</v>
      </c>
      <c r="P2144" s="28"/>
      <c r="Q2144" s="6" t="s">
        <v>67</v>
      </c>
      <c r="R2144" s="6" t="s">
        <v>1059</v>
      </c>
      <c r="S2144" s="28"/>
      <c r="T2144" s="6" t="s">
        <v>6138</v>
      </c>
      <c r="U2144" s="7" t="n">
        <v>5</v>
      </c>
      <c r="V2144" s="7" t="n">
        <v>5</v>
      </c>
      <c r="W2144" s="8" t="s">
        <v>11198</v>
      </c>
      <c r="X2144" s="8" t="s">
        <v>11198</v>
      </c>
      <c r="Y2144" s="8" t="s">
        <v>7062</v>
      </c>
      <c r="Z2144" s="8" t="s">
        <v>7062</v>
      </c>
      <c r="AA2144" s="7" t="n">
        <v>620</v>
      </c>
      <c r="AB2144" s="7" t="n">
        <v>557</v>
      </c>
      <c r="AC2144" s="7" t="n">
        <v>626</v>
      </c>
      <c r="AD2144" s="7" t="n">
        <v>3</v>
      </c>
      <c r="AE2144" s="7" t="n">
        <v>3</v>
      </c>
      <c r="AF2144" s="7" t="n">
        <v>36</v>
      </c>
      <c r="AG2144" s="7" t="n">
        <v>37</v>
      </c>
      <c r="AH2144" s="7" t="n">
        <v>11</v>
      </c>
      <c r="AI2144" s="7" t="n">
        <v>12</v>
      </c>
      <c r="AJ2144" s="7" t="n">
        <v>9</v>
      </c>
      <c r="AK2144" s="7" t="n">
        <v>9</v>
      </c>
      <c r="AL2144" s="7" t="n">
        <v>23</v>
      </c>
      <c r="AM2144" s="7" t="n">
        <v>24</v>
      </c>
      <c r="AN2144" s="7" t="n">
        <v>2</v>
      </c>
      <c r="AO2144" s="7" t="n">
        <v>2</v>
      </c>
      <c r="AP2144" s="7" t="n">
        <v>0</v>
      </c>
      <c r="AQ2144" s="7" t="n">
        <v>0</v>
      </c>
      <c r="AR2144" s="6" t="s">
        <v>63</v>
      </c>
      <c r="AS2144" s="6" t="s">
        <v>57</v>
      </c>
      <c r="AT2144" s="9" t="str">
        <f aca="false">HYPERLINK("http://catalog.hathitrust.org/Record/001395834","HathiTrust Record")</f>
        <v>HathiTrust Record</v>
      </c>
      <c r="AU2144" s="9" t="str">
        <f aca="false">HYPERLINK("https://creighton-primo.hosted.exlibrisgroup.com/primo-explore/search?tab=default_tab&amp;search_scope=EVERYTHING&amp;vid=01CRU&amp;lang=en_US&amp;offset=0&amp;query=any,contains,991002194729702656","Catalog Record")</f>
        <v>Catalog Record</v>
      </c>
      <c r="AV2144" s="9" t="str">
        <f aca="false">HYPERLINK("http://www.worldcat.org/oclc/282584","WorldCat Record")</f>
        <v>WorldCat Record</v>
      </c>
      <c r="AW2144" s="6" t="s">
        <v>19435</v>
      </c>
      <c r="AX2144" s="6" t="s">
        <v>19436</v>
      </c>
      <c r="AY2144" s="6" t="s">
        <v>19437</v>
      </c>
      <c r="AZ2144" s="6" t="s">
        <v>19437</v>
      </c>
      <c r="BA2144" s="6" t="s">
        <v>19438</v>
      </c>
      <c r="BB2144" s="28"/>
      <c r="BC2144" s="6" t="s">
        <v>19439</v>
      </c>
      <c r="BE2144" s="15" t="s">
        <v>2145</v>
      </c>
      <c r="BF2144" s="6" t="s">
        <v>19440</v>
      </c>
    </row>
    <row r="2145" customFormat="false" ht="140" hidden="false" customHeight="false" outlineLevel="0" collapsed="false">
      <c r="A2145" s="26" t="s">
        <v>63</v>
      </c>
      <c r="B2145" s="27" t="s">
        <v>2129</v>
      </c>
      <c r="C2145" s="27" t="s">
        <v>2130</v>
      </c>
      <c r="D2145" s="27" t="s">
        <v>19441</v>
      </c>
      <c r="E2145" s="27" t="s">
        <v>19442</v>
      </c>
      <c r="F2145" s="27" t="s">
        <v>19443</v>
      </c>
      <c r="G2145" s="28"/>
      <c r="H2145" s="6" t="s">
        <v>63</v>
      </c>
      <c r="I2145" s="6" t="s">
        <v>62</v>
      </c>
      <c r="J2145" s="6" t="s">
        <v>63</v>
      </c>
      <c r="K2145" s="6" t="s">
        <v>63</v>
      </c>
      <c r="L2145" s="6" t="s">
        <v>64</v>
      </c>
      <c r="M2145" s="27" t="s">
        <v>12539</v>
      </c>
      <c r="N2145" s="27" t="s">
        <v>19444</v>
      </c>
      <c r="O2145" s="6" t="s">
        <v>2693</v>
      </c>
      <c r="P2145" s="28"/>
      <c r="Q2145" s="6" t="s">
        <v>67</v>
      </c>
      <c r="R2145" s="6" t="s">
        <v>222</v>
      </c>
      <c r="S2145" s="28"/>
      <c r="T2145" s="6" t="s">
        <v>6138</v>
      </c>
      <c r="U2145" s="7" t="n">
        <v>5</v>
      </c>
      <c r="V2145" s="7" t="n">
        <v>5</v>
      </c>
      <c r="W2145" s="8" t="s">
        <v>19445</v>
      </c>
      <c r="X2145" s="8" t="s">
        <v>19445</v>
      </c>
      <c r="Y2145" s="8" t="s">
        <v>16816</v>
      </c>
      <c r="Z2145" s="8" t="s">
        <v>16816</v>
      </c>
      <c r="AA2145" s="7" t="n">
        <v>943</v>
      </c>
      <c r="AB2145" s="7" t="n">
        <v>853</v>
      </c>
      <c r="AC2145" s="7" t="n">
        <v>1016</v>
      </c>
      <c r="AD2145" s="7" t="n">
        <v>5</v>
      </c>
      <c r="AE2145" s="7" t="n">
        <v>7</v>
      </c>
      <c r="AF2145" s="7" t="n">
        <v>37</v>
      </c>
      <c r="AG2145" s="7" t="n">
        <v>46</v>
      </c>
      <c r="AH2145" s="7" t="n">
        <v>14</v>
      </c>
      <c r="AI2145" s="7" t="n">
        <v>16</v>
      </c>
      <c r="AJ2145" s="7" t="n">
        <v>8</v>
      </c>
      <c r="AK2145" s="7" t="n">
        <v>10</v>
      </c>
      <c r="AL2145" s="7" t="n">
        <v>21</v>
      </c>
      <c r="AM2145" s="7" t="n">
        <v>24</v>
      </c>
      <c r="AN2145" s="7" t="n">
        <v>4</v>
      </c>
      <c r="AO2145" s="7" t="n">
        <v>6</v>
      </c>
      <c r="AP2145" s="7" t="n">
        <v>2</v>
      </c>
      <c r="AQ2145" s="7" t="n">
        <v>2</v>
      </c>
      <c r="AR2145" s="6" t="s">
        <v>63</v>
      </c>
      <c r="AS2145" s="6" t="s">
        <v>63</v>
      </c>
      <c r="AT2145" s="28"/>
      <c r="AU2145" s="9" t="str">
        <f aca="false">HYPERLINK("https://creighton-primo.hosted.exlibrisgroup.com/primo-explore/search?tab=default_tab&amp;search_scope=EVERYTHING&amp;vid=01CRU&amp;lang=en_US&amp;offset=0&amp;query=any,contains,991002557079702656","Catalog Record")</f>
        <v>Catalog Record</v>
      </c>
      <c r="AV2145" s="9" t="str">
        <f aca="false">HYPERLINK("http://www.worldcat.org/oclc/371254","WorldCat Record")</f>
        <v>WorldCat Record</v>
      </c>
      <c r="AW2145" s="6" t="s">
        <v>19446</v>
      </c>
      <c r="AX2145" s="6" t="s">
        <v>19447</v>
      </c>
      <c r="AY2145" s="6" t="s">
        <v>19448</v>
      </c>
      <c r="AZ2145" s="6" t="s">
        <v>19448</v>
      </c>
      <c r="BA2145" s="6" t="s">
        <v>19449</v>
      </c>
      <c r="BB2145" s="28"/>
      <c r="BC2145" s="6" t="s">
        <v>19450</v>
      </c>
      <c r="BE2145" s="15" t="s">
        <v>2145</v>
      </c>
      <c r="BF2145" s="6" t="s">
        <v>19451</v>
      </c>
    </row>
    <row r="2146" customFormat="false" ht="82.5" hidden="false" customHeight="false" outlineLevel="0" collapsed="false">
      <c r="A2146" s="26" t="s">
        <v>63</v>
      </c>
      <c r="B2146" s="27" t="s">
        <v>2129</v>
      </c>
      <c r="C2146" s="27" t="s">
        <v>2130</v>
      </c>
      <c r="D2146" s="27" t="s">
        <v>19452</v>
      </c>
      <c r="E2146" s="27" t="s">
        <v>19453</v>
      </c>
      <c r="F2146" s="27" t="s">
        <v>19454</v>
      </c>
      <c r="G2146" s="28"/>
      <c r="H2146" s="6" t="s">
        <v>63</v>
      </c>
      <c r="I2146" s="6" t="s">
        <v>62</v>
      </c>
      <c r="J2146" s="6" t="s">
        <v>63</v>
      </c>
      <c r="K2146" s="6" t="s">
        <v>63</v>
      </c>
      <c r="L2146" s="6" t="s">
        <v>64</v>
      </c>
      <c r="M2146" s="27" t="s">
        <v>19455</v>
      </c>
      <c r="N2146" s="27" t="s">
        <v>19456</v>
      </c>
      <c r="O2146" s="6" t="s">
        <v>3340</v>
      </c>
      <c r="P2146" s="28"/>
      <c r="Q2146" s="6" t="s">
        <v>67</v>
      </c>
      <c r="R2146" s="6" t="s">
        <v>2288</v>
      </c>
      <c r="S2146" s="28"/>
      <c r="T2146" s="6" t="s">
        <v>6138</v>
      </c>
      <c r="U2146" s="7" t="n">
        <v>2</v>
      </c>
      <c r="V2146" s="7" t="n">
        <v>2</v>
      </c>
      <c r="W2146" s="8" t="s">
        <v>15272</v>
      </c>
      <c r="X2146" s="8" t="s">
        <v>15272</v>
      </c>
      <c r="Y2146" s="8" t="s">
        <v>16765</v>
      </c>
      <c r="Z2146" s="8" t="s">
        <v>16765</v>
      </c>
      <c r="AA2146" s="7" t="n">
        <v>276</v>
      </c>
      <c r="AB2146" s="7" t="n">
        <v>236</v>
      </c>
      <c r="AC2146" s="7" t="n">
        <v>238</v>
      </c>
      <c r="AD2146" s="7" t="n">
        <v>1</v>
      </c>
      <c r="AE2146" s="7" t="n">
        <v>1</v>
      </c>
      <c r="AF2146" s="7" t="n">
        <v>17</v>
      </c>
      <c r="AG2146" s="7" t="n">
        <v>17</v>
      </c>
      <c r="AH2146" s="7" t="n">
        <v>4</v>
      </c>
      <c r="AI2146" s="7" t="n">
        <v>4</v>
      </c>
      <c r="AJ2146" s="7" t="n">
        <v>6</v>
      </c>
      <c r="AK2146" s="7" t="n">
        <v>6</v>
      </c>
      <c r="AL2146" s="7" t="n">
        <v>11</v>
      </c>
      <c r="AM2146" s="7" t="n">
        <v>11</v>
      </c>
      <c r="AN2146" s="7" t="n">
        <v>0</v>
      </c>
      <c r="AO2146" s="7" t="n">
        <v>0</v>
      </c>
      <c r="AP2146" s="7" t="n">
        <v>0</v>
      </c>
      <c r="AQ2146" s="7" t="n">
        <v>0</v>
      </c>
      <c r="AR2146" s="6" t="s">
        <v>63</v>
      </c>
      <c r="AS2146" s="6" t="s">
        <v>57</v>
      </c>
      <c r="AT2146" s="9" t="str">
        <f aca="false">HYPERLINK("http://catalog.hathitrust.org/Record/000132087","HathiTrust Record")</f>
        <v>HathiTrust Record</v>
      </c>
      <c r="AU2146" s="9" t="str">
        <f aca="false">HYPERLINK("https://creighton-primo.hosted.exlibrisgroup.com/primo-explore/search?tab=default_tab&amp;search_scope=EVERYTHING&amp;vid=01CRU&amp;lang=en_US&amp;offset=0&amp;query=any,contains,991004502849702656","Catalog Record")</f>
        <v>Catalog Record</v>
      </c>
      <c r="AV2146" s="9" t="str">
        <f aca="false">HYPERLINK("http://www.worldcat.org/oclc/3729294","WorldCat Record")</f>
        <v>WorldCat Record</v>
      </c>
      <c r="AW2146" s="6" t="s">
        <v>19457</v>
      </c>
      <c r="AX2146" s="6" t="s">
        <v>19458</v>
      </c>
      <c r="AY2146" s="6" t="s">
        <v>19459</v>
      </c>
      <c r="AZ2146" s="6" t="s">
        <v>19459</v>
      </c>
      <c r="BA2146" s="6" t="s">
        <v>19460</v>
      </c>
      <c r="BB2146" s="6" t="s">
        <v>19461</v>
      </c>
      <c r="BC2146" s="6" t="s">
        <v>19462</v>
      </c>
      <c r="BE2146" s="15" t="s">
        <v>2145</v>
      </c>
      <c r="BF2146" s="6" t="s">
        <v>19463</v>
      </c>
    </row>
    <row r="2147" customFormat="false" ht="128.5" hidden="false" customHeight="false" outlineLevel="0" collapsed="false">
      <c r="A2147" s="26" t="s">
        <v>63</v>
      </c>
      <c r="B2147" s="27" t="s">
        <v>2129</v>
      </c>
      <c r="C2147" s="27" t="s">
        <v>2130</v>
      </c>
      <c r="D2147" s="27" t="s">
        <v>19464</v>
      </c>
      <c r="E2147" s="27" t="s">
        <v>19465</v>
      </c>
      <c r="F2147" s="27" t="s">
        <v>19466</v>
      </c>
      <c r="G2147" s="28"/>
      <c r="H2147" s="6" t="s">
        <v>63</v>
      </c>
      <c r="I2147" s="6" t="s">
        <v>62</v>
      </c>
      <c r="J2147" s="6" t="s">
        <v>63</v>
      </c>
      <c r="K2147" s="6" t="s">
        <v>63</v>
      </c>
      <c r="L2147" s="6" t="s">
        <v>64</v>
      </c>
      <c r="M2147" s="28"/>
      <c r="N2147" s="27" t="s">
        <v>19467</v>
      </c>
      <c r="O2147" s="6" t="s">
        <v>264</v>
      </c>
      <c r="P2147" s="28"/>
      <c r="Q2147" s="6" t="s">
        <v>67</v>
      </c>
      <c r="R2147" s="6" t="s">
        <v>68</v>
      </c>
      <c r="S2147" s="27" t="s">
        <v>13603</v>
      </c>
      <c r="T2147" s="6" t="s">
        <v>6138</v>
      </c>
      <c r="U2147" s="7" t="n">
        <v>1</v>
      </c>
      <c r="V2147" s="7" t="n">
        <v>1</v>
      </c>
      <c r="W2147" s="8" t="s">
        <v>15272</v>
      </c>
      <c r="X2147" s="8" t="s">
        <v>15272</v>
      </c>
      <c r="Y2147" s="8" t="s">
        <v>16816</v>
      </c>
      <c r="Z2147" s="8" t="s">
        <v>16816</v>
      </c>
      <c r="AA2147" s="7" t="n">
        <v>728</v>
      </c>
      <c r="AB2147" s="7" t="n">
        <v>644</v>
      </c>
      <c r="AC2147" s="7" t="n">
        <v>669</v>
      </c>
      <c r="AD2147" s="7" t="n">
        <v>8</v>
      </c>
      <c r="AE2147" s="7" t="n">
        <v>8</v>
      </c>
      <c r="AF2147" s="7" t="n">
        <v>36</v>
      </c>
      <c r="AG2147" s="7" t="n">
        <v>38</v>
      </c>
      <c r="AH2147" s="7" t="n">
        <v>13</v>
      </c>
      <c r="AI2147" s="7" t="n">
        <v>14</v>
      </c>
      <c r="AJ2147" s="7" t="n">
        <v>9</v>
      </c>
      <c r="AK2147" s="7" t="n">
        <v>10</v>
      </c>
      <c r="AL2147" s="7" t="n">
        <v>17</v>
      </c>
      <c r="AM2147" s="7" t="n">
        <v>17</v>
      </c>
      <c r="AN2147" s="7" t="n">
        <v>7</v>
      </c>
      <c r="AO2147" s="7" t="n">
        <v>7</v>
      </c>
      <c r="AP2147" s="7" t="n">
        <v>0</v>
      </c>
      <c r="AQ2147" s="7" t="n">
        <v>0</v>
      </c>
      <c r="AR2147" s="6" t="s">
        <v>63</v>
      </c>
      <c r="AS2147" s="6" t="s">
        <v>57</v>
      </c>
      <c r="AT2147" s="9" t="str">
        <f aca="false">HYPERLINK("http://catalog.hathitrust.org/Record/001395835","HathiTrust Record")</f>
        <v>HathiTrust Record</v>
      </c>
      <c r="AU2147" s="9" t="str">
        <f aca="false">HYPERLINK("https://creighton-primo.hosted.exlibrisgroup.com/primo-explore/search?tab=default_tab&amp;search_scope=EVERYTHING&amp;vid=01CRU&amp;lang=en_US&amp;offset=0&amp;query=any,contains,991000492209702656","Catalog Record")</f>
        <v>Catalog Record</v>
      </c>
      <c r="AV2147" s="9" t="str">
        <f aca="false">HYPERLINK("http://www.worldcat.org/oclc/80647","WorldCat Record")</f>
        <v>WorldCat Record</v>
      </c>
      <c r="AW2147" s="6" t="s">
        <v>19468</v>
      </c>
      <c r="AX2147" s="6" t="s">
        <v>19469</v>
      </c>
      <c r="AY2147" s="6" t="s">
        <v>19470</v>
      </c>
      <c r="AZ2147" s="6" t="s">
        <v>19470</v>
      </c>
      <c r="BA2147" s="6" t="s">
        <v>19471</v>
      </c>
      <c r="BB2147" s="28"/>
      <c r="BC2147" s="6" t="s">
        <v>19472</v>
      </c>
      <c r="BE2147" s="15" t="s">
        <v>2145</v>
      </c>
      <c r="BF2147" s="6" t="s">
        <v>19473</v>
      </c>
    </row>
    <row r="2148" customFormat="false" ht="117" hidden="false" customHeight="false" outlineLevel="0" collapsed="false">
      <c r="A2148" s="26" t="s">
        <v>63</v>
      </c>
      <c r="B2148" s="27" t="s">
        <v>2129</v>
      </c>
      <c r="C2148" s="27" t="s">
        <v>2130</v>
      </c>
      <c r="D2148" s="27" t="s">
        <v>19474</v>
      </c>
      <c r="E2148" s="27" t="s">
        <v>19475</v>
      </c>
      <c r="F2148" s="27" t="s">
        <v>19476</v>
      </c>
      <c r="G2148" s="28"/>
      <c r="H2148" s="6" t="s">
        <v>63</v>
      </c>
      <c r="I2148" s="6" t="s">
        <v>62</v>
      </c>
      <c r="J2148" s="6" t="s">
        <v>63</v>
      </c>
      <c r="K2148" s="6" t="s">
        <v>63</v>
      </c>
      <c r="L2148" s="6" t="s">
        <v>64</v>
      </c>
      <c r="M2148" s="27" t="s">
        <v>17664</v>
      </c>
      <c r="N2148" s="27" t="s">
        <v>19477</v>
      </c>
      <c r="O2148" s="6" t="s">
        <v>264</v>
      </c>
      <c r="P2148" s="28"/>
      <c r="Q2148" s="6" t="s">
        <v>67</v>
      </c>
      <c r="R2148" s="6" t="s">
        <v>68</v>
      </c>
      <c r="S2148" s="27" t="s">
        <v>19478</v>
      </c>
      <c r="T2148" s="6" t="s">
        <v>6138</v>
      </c>
      <c r="U2148" s="7" t="n">
        <v>1</v>
      </c>
      <c r="V2148" s="7" t="n">
        <v>1</v>
      </c>
      <c r="W2148" s="8" t="s">
        <v>15272</v>
      </c>
      <c r="X2148" s="8" t="s">
        <v>15272</v>
      </c>
      <c r="Y2148" s="8" t="s">
        <v>16816</v>
      </c>
      <c r="Z2148" s="8" t="s">
        <v>16816</v>
      </c>
      <c r="AA2148" s="7" t="n">
        <v>903</v>
      </c>
      <c r="AB2148" s="7" t="n">
        <v>830</v>
      </c>
      <c r="AC2148" s="7" t="n">
        <v>836</v>
      </c>
      <c r="AD2148" s="7" t="n">
        <v>4</v>
      </c>
      <c r="AE2148" s="7" t="n">
        <v>4</v>
      </c>
      <c r="AF2148" s="7" t="n">
        <v>36</v>
      </c>
      <c r="AG2148" s="7" t="n">
        <v>36</v>
      </c>
      <c r="AH2148" s="7" t="n">
        <v>14</v>
      </c>
      <c r="AI2148" s="7" t="n">
        <v>14</v>
      </c>
      <c r="AJ2148" s="7" t="n">
        <v>10</v>
      </c>
      <c r="AK2148" s="7" t="n">
        <v>10</v>
      </c>
      <c r="AL2148" s="7" t="n">
        <v>20</v>
      </c>
      <c r="AM2148" s="7" t="n">
        <v>20</v>
      </c>
      <c r="AN2148" s="7" t="n">
        <v>2</v>
      </c>
      <c r="AO2148" s="7" t="n">
        <v>2</v>
      </c>
      <c r="AP2148" s="7" t="n">
        <v>0</v>
      </c>
      <c r="AQ2148" s="7" t="n">
        <v>0</v>
      </c>
      <c r="AR2148" s="6" t="s">
        <v>63</v>
      </c>
      <c r="AS2148" s="6" t="s">
        <v>57</v>
      </c>
      <c r="AT2148" s="9" t="str">
        <f aca="false">HYPERLINK("http://catalog.hathitrust.org/Record/001395836","HathiTrust Record")</f>
        <v>HathiTrust Record</v>
      </c>
      <c r="AU2148" s="9" t="str">
        <f aca="false">HYPERLINK("https://creighton-primo.hosted.exlibrisgroup.com/primo-explore/search?tab=default_tab&amp;search_scope=EVERYTHING&amp;vid=01CRU&amp;lang=en_US&amp;offset=0&amp;query=any,contains,991000502159702656","Catalog Record")</f>
        <v>Catalog Record</v>
      </c>
      <c r="AV2148" s="9" t="str">
        <f aca="false">HYPERLINK("http://www.worldcat.org/oclc/81719","WorldCat Record")</f>
        <v>WorldCat Record</v>
      </c>
      <c r="AW2148" s="6" t="s">
        <v>19479</v>
      </c>
      <c r="AX2148" s="6" t="s">
        <v>19480</v>
      </c>
      <c r="AY2148" s="6" t="s">
        <v>19481</v>
      </c>
      <c r="AZ2148" s="6" t="s">
        <v>19481</v>
      </c>
      <c r="BA2148" s="6" t="s">
        <v>19482</v>
      </c>
      <c r="BB2148" s="6" t="s">
        <v>19483</v>
      </c>
      <c r="BC2148" s="6" t="s">
        <v>19484</v>
      </c>
      <c r="BE2148" s="15" t="s">
        <v>2145</v>
      </c>
      <c r="BF2148" s="6" t="s">
        <v>19485</v>
      </c>
    </row>
    <row r="2149" customFormat="false" ht="117" hidden="false" customHeight="false" outlineLevel="0" collapsed="false">
      <c r="A2149" s="26" t="s">
        <v>63</v>
      </c>
      <c r="B2149" s="27" t="s">
        <v>2129</v>
      </c>
      <c r="C2149" s="27" t="s">
        <v>2130</v>
      </c>
      <c r="D2149" s="27" t="s">
        <v>19486</v>
      </c>
      <c r="E2149" s="27" t="s">
        <v>19487</v>
      </c>
      <c r="F2149" s="27" t="s">
        <v>19488</v>
      </c>
      <c r="G2149" s="28"/>
      <c r="H2149" s="6" t="s">
        <v>63</v>
      </c>
      <c r="I2149" s="6" t="s">
        <v>62</v>
      </c>
      <c r="J2149" s="6" t="s">
        <v>63</v>
      </c>
      <c r="K2149" s="6" t="s">
        <v>63</v>
      </c>
      <c r="L2149" s="6" t="s">
        <v>64</v>
      </c>
      <c r="M2149" s="27" t="s">
        <v>19489</v>
      </c>
      <c r="N2149" s="27" t="s">
        <v>14303</v>
      </c>
      <c r="O2149" s="6" t="s">
        <v>208</v>
      </c>
      <c r="P2149" s="28"/>
      <c r="Q2149" s="6" t="s">
        <v>67</v>
      </c>
      <c r="R2149" s="6" t="s">
        <v>68</v>
      </c>
      <c r="S2149" s="27" t="s">
        <v>19490</v>
      </c>
      <c r="T2149" s="6" t="s">
        <v>6138</v>
      </c>
      <c r="U2149" s="7" t="n">
        <v>2</v>
      </c>
      <c r="V2149" s="7" t="n">
        <v>2</v>
      </c>
      <c r="W2149" s="8" t="s">
        <v>7011</v>
      </c>
      <c r="X2149" s="8" t="s">
        <v>7011</v>
      </c>
      <c r="Y2149" s="8" t="s">
        <v>18364</v>
      </c>
      <c r="Z2149" s="8" t="s">
        <v>18364</v>
      </c>
      <c r="AA2149" s="7" t="n">
        <v>189</v>
      </c>
      <c r="AB2149" s="7" t="n">
        <v>143</v>
      </c>
      <c r="AC2149" s="7" t="n">
        <v>144</v>
      </c>
      <c r="AD2149" s="7" t="n">
        <v>2</v>
      </c>
      <c r="AE2149" s="7" t="n">
        <v>2</v>
      </c>
      <c r="AF2149" s="7" t="n">
        <v>4</v>
      </c>
      <c r="AG2149" s="7" t="n">
        <v>4</v>
      </c>
      <c r="AH2149" s="7" t="n">
        <v>0</v>
      </c>
      <c r="AI2149" s="7" t="n">
        <v>0</v>
      </c>
      <c r="AJ2149" s="7" t="n">
        <v>1</v>
      </c>
      <c r="AK2149" s="7" t="n">
        <v>1</v>
      </c>
      <c r="AL2149" s="7" t="n">
        <v>3</v>
      </c>
      <c r="AM2149" s="7" t="n">
        <v>3</v>
      </c>
      <c r="AN2149" s="7" t="n">
        <v>1</v>
      </c>
      <c r="AO2149" s="7" t="n">
        <v>1</v>
      </c>
      <c r="AP2149" s="7" t="n">
        <v>0</v>
      </c>
      <c r="AQ2149" s="7" t="n">
        <v>0</v>
      </c>
      <c r="AR2149" s="6" t="s">
        <v>63</v>
      </c>
      <c r="AS2149" s="6" t="s">
        <v>57</v>
      </c>
      <c r="AT2149" s="9" t="str">
        <f aca="false">HYPERLINK("http://catalog.hathitrust.org/Record/000876998","HathiTrust Record")</f>
        <v>HathiTrust Record</v>
      </c>
      <c r="AU2149" s="9" t="str">
        <f aca="false">HYPERLINK("https://creighton-primo.hosted.exlibrisgroup.com/primo-explore/search?tab=default_tab&amp;search_scope=EVERYTHING&amp;vid=01CRU&amp;lang=en_US&amp;offset=0&amp;query=any,contains,991001004389702656","Catalog Record")</f>
        <v>Catalog Record</v>
      </c>
      <c r="AV2149" s="9" t="str">
        <f aca="false">HYPERLINK("http://www.worldcat.org/oclc/15223532","WorldCat Record")</f>
        <v>WorldCat Record</v>
      </c>
      <c r="AW2149" s="6" t="s">
        <v>19491</v>
      </c>
      <c r="AX2149" s="6" t="s">
        <v>19492</v>
      </c>
      <c r="AY2149" s="6" t="s">
        <v>19493</v>
      </c>
      <c r="AZ2149" s="6" t="s">
        <v>19493</v>
      </c>
      <c r="BA2149" s="6" t="s">
        <v>19494</v>
      </c>
      <c r="BB2149" s="6" t="s">
        <v>19495</v>
      </c>
      <c r="BC2149" s="6" t="s">
        <v>19496</v>
      </c>
      <c r="BE2149" s="15" t="s">
        <v>2145</v>
      </c>
      <c r="BF2149" s="6" t="s">
        <v>19497</v>
      </c>
    </row>
    <row r="2150" customFormat="false" ht="163" hidden="false" customHeight="false" outlineLevel="0" collapsed="false">
      <c r="A2150" s="26" t="s">
        <v>63</v>
      </c>
      <c r="B2150" s="27" t="s">
        <v>2129</v>
      </c>
      <c r="C2150" s="27" t="s">
        <v>2130</v>
      </c>
      <c r="D2150" s="27" t="s">
        <v>19498</v>
      </c>
      <c r="E2150" s="27" t="s">
        <v>19499</v>
      </c>
      <c r="F2150" s="27" t="s">
        <v>19500</v>
      </c>
      <c r="G2150" s="28"/>
      <c r="H2150" s="6" t="s">
        <v>63</v>
      </c>
      <c r="I2150" s="6" t="s">
        <v>62</v>
      </c>
      <c r="J2150" s="6" t="s">
        <v>63</v>
      </c>
      <c r="K2150" s="6" t="s">
        <v>63</v>
      </c>
      <c r="L2150" s="6" t="s">
        <v>64</v>
      </c>
      <c r="M2150" s="27" t="s">
        <v>19501</v>
      </c>
      <c r="N2150" s="27" t="s">
        <v>19502</v>
      </c>
      <c r="O2150" s="6" t="s">
        <v>2315</v>
      </c>
      <c r="P2150" s="28"/>
      <c r="Q2150" s="6" t="s">
        <v>67</v>
      </c>
      <c r="R2150" s="6" t="s">
        <v>222</v>
      </c>
      <c r="S2150" s="27" t="s">
        <v>12379</v>
      </c>
      <c r="T2150" s="6" t="s">
        <v>6138</v>
      </c>
      <c r="U2150" s="7" t="n">
        <v>4</v>
      </c>
      <c r="V2150" s="7" t="n">
        <v>4</v>
      </c>
      <c r="W2150" s="8" t="s">
        <v>8885</v>
      </c>
      <c r="X2150" s="8" t="s">
        <v>8885</v>
      </c>
      <c r="Y2150" s="8" t="s">
        <v>18364</v>
      </c>
      <c r="Z2150" s="8" t="s">
        <v>18364</v>
      </c>
      <c r="AA2150" s="7" t="n">
        <v>385</v>
      </c>
      <c r="AB2150" s="7" t="n">
        <v>321</v>
      </c>
      <c r="AC2150" s="7" t="n">
        <v>417</v>
      </c>
      <c r="AD2150" s="7" t="n">
        <v>2</v>
      </c>
      <c r="AE2150" s="7" t="n">
        <v>3</v>
      </c>
      <c r="AF2150" s="7" t="n">
        <v>22</v>
      </c>
      <c r="AG2150" s="7" t="n">
        <v>26</v>
      </c>
      <c r="AH2150" s="7" t="n">
        <v>7</v>
      </c>
      <c r="AI2150" s="7" t="n">
        <v>8</v>
      </c>
      <c r="AJ2150" s="7" t="n">
        <v>7</v>
      </c>
      <c r="AK2150" s="7" t="n">
        <v>8</v>
      </c>
      <c r="AL2150" s="7" t="n">
        <v>14</v>
      </c>
      <c r="AM2150" s="7" t="n">
        <v>16</v>
      </c>
      <c r="AN2150" s="7" t="n">
        <v>1</v>
      </c>
      <c r="AO2150" s="7" t="n">
        <v>2</v>
      </c>
      <c r="AP2150" s="7" t="n">
        <v>0</v>
      </c>
      <c r="AQ2150" s="7" t="n">
        <v>0</v>
      </c>
      <c r="AR2150" s="6" t="s">
        <v>63</v>
      </c>
      <c r="AS2150" s="6" t="s">
        <v>63</v>
      </c>
      <c r="AT2150" s="28"/>
      <c r="AU2150" s="9" t="str">
        <f aca="false">HYPERLINK("https://creighton-primo.hosted.exlibrisgroup.com/primo-explore/search?tab=default_tab&amp;search_scope=EVERYTHING&amp;vid=01CRU&amp;lang=en_US&amp;offset=0&amp;query=any,contains,991000591929702656","Catalog Record")</f>
        <v>Catalog Record</v>
      </c>
      <c r="AV2150" s="9" t="str">
        <f aca="false">HYPERLINK("http://www.worldcat.org/oclc/11785560","WorldCat Record")</f>
        <v>WorldCat Record</v>
      </c>
      <c r="AW2150" s="6" t="s">
        <v>19503</v>
      </c>
      <c r="AX2150" s="6" t="s">
        <v>19504</v>
      </c>
      <c r="AY2150" s="6" t="s">
        <v>19505</v>
      </c>
      <c r="AZ2150" s="6" t="s">
        <v>19505</v>
      </c>
      <c r="BA2150" s="6" t="s">
        <v>19506</v>
      </c>
      <c r="BB2150" s="6" t="s">
        <v>19507</v>
      </c>
      <c r="BC2150" s="6" t="s">
        <v>19508</v>
      </c>
      <c r="BE2150" s="15" t="s">
        <v>2145</v>
      </c>
      <c r="BF2150" s="6" t="s">
        <v>19509</v>
      </c>
    </row>
    <row r="2151" customFormat="false" ht="117" hidden="false" customHeight="false" outlineLevel="0" collapsed="false">
      <c r="A2151" s="26" t="s">
        <v>63</v>
      </c>
      <c r="B2151" s="27" t="s">
        <v>2129</v>
      </c>
      <c r="C2151" s="27" t="s">
        <v>2130</v>
      </c>
      <c r="D2151" s="27" t="s">
        <v>19510</v>
      </c>
      <c r="E2151" s="27" t="s">
        <v>19511</v>
      </c>
      <c r="F2151" s="27" t="s">
        <v>19512</v>
      </c>
      <c r="G2151" s="28"/>
      <c r="H2151" s="6" t="s">
        <v>63</v>
      </c>
      <c r="I2151" s="6" t="s">
        <v>62</v>
      </c>
      <c r="J2151" s="6" t="s">
        <v>63</v>
      </c>
      <c r="K2151" s="6" t="s">
        <v>63</v>
      </c>
      <c r="L2151" s="6" t="s">
        <v>64</v>
      </c>
      <c r="M2151" s="28"/>
      <c r="N2151" s="27" t="s">
        <v>19513</v>
      </c>
      <c r="O2151" s="6" t="s">
        <v>254</v>
      </c>
      <c r="P2151" s="28"/>
      <c r="Q2151" s="6" t="s">
        <v>67</v>
      </c>
      <c r="R2151" s="6" t="s">
        <v>9632</v>
      </c>
      <c r="S2151" s="28"/>
      <c r="T2151" s="6" t="s">
        <v>6138</v>
      </c>
      <c r="U2151" s="7" t="n">
        <v>2</v>
      </c>
      <c r="V2151" s="7" t="n">
        <v>2</v>
      </c>
      <c r="W2151" s="8" t="s">
        <v>19514</v>
      </c>
      <c r="X2151" s="8" t="s">
        <v>19514</v>
      </c>
      <c r="Y2151" s="8" t="s">
        <v>18364</v>
      </c>
      <c r="Z2151" s="8" t="s">
        <v>18364</v>
      </c>
      <c r="AA2151" s="7" t="n">
        <v>158</v>
      </c>
      <c r="AB2151" s="7" t="n">
        <v>134</v>
      </c>
      <c r="AC2151" s="7" t="n">
        <v>136</v>
      </c>
      <c r="AD2151" s="7" t="n">
        <v>1</v>
      </c>
      <c r="AE2151" s="7" t="n">
        <v>1</v>
      </c>
      <c r="AF2151" s="7" t="n">
        <v>11</v>
      </c>
      <c r="AG2151" s="7" t="n">
        <v>11</v>
      </c>
      <c r="AH2151" s="7" t="n">
        <v>5</v>
      </c>
      <c r="AI2151" s="7" t="n">
        <v>5</v>
      </c>
      <c r="AJ2151" s="7" t="n">
        <v>5</v>
      </c>
      <c r="AK2151" s="7" t="n">
        <v>5</v>
      </c>
      <c r="AL2151" s="7" t="n">
        <v>8</v>
      </c>
      <c r="AM2151" s="7" t="n">
        <v>8</v>
      </c>
      <c r="AN2151" s="7" t="n">
        <v>0</v>
      </c>
      <c r="AO2151" s="7" t="n">
        <v>0</v>
      </c>
      <c r="AP2151" s="7" t="n">
        <v>0</v>
      </c>
      <c r="AQ2151" s="7" t="n">
        <v>0</v>
      </c>
      <c r="AR2151" s="6" t="s">
        <v>63</v>
      </c>
      <c r="AS2151" s="6" t="s">
        <v>57</v>
      </c>
      <c r="AT2151" s="9" t="str">
        <f aca="false">HYPERLINK("http://catalog.hathitrust.org/Record/000017878","HathiTrust Record")</f>
        <v>HathiTrust Record</v>
      </c>
      <c r="AU2151" s="9" t="str">
        <f aca="false">HYPERLINK("https://creighton-primo.hosted.exlibrisgroup.com/primo-explore/search?tab=default_tab&amp;search_scope=EVERYTHING&amp;vid=01CRU&amp;lang=en_US&amp;offset=0&amp;query=any,contains,991003618629702656","Catalog Record")</f>
        <v>Catalog Record</v>
      </c>
      <c r="AV2151" s="9" t="str">
        <f aca="false">HYPERLINK("http://www.worldcat.org/oclc/1205447","WorldCat Record")</f>
        <v>WorldCat Record</v>
      </c>
      <c r="AW2151" s="6" t="s">
        <v>19515</v>
      </c>
      <c r="AX2151" s="6" t="s">
        <v>19516</v>
      </c>
      <c r="AY2151" s="6" t="s">
        <v>19517</v>
      </c>
      <c r="AZ2151" s="6" t="s">
        <v>19517</v>
      </c>
      <c r="BA2151" s="6" t="s">
        <v>19518</v>
      </c>
      <c r="BB2151" s="28"/>
      <c r="BC2151" s="6" t="s">
        <v>19519</v>
      </c>
      <c r="BE2151" s="15" t="s">
        <v>2145</v>
      </c>
      <c r="BF2151" s="6" t="s">
        <v>19520</v>
      </c>
    </row>
    <row r="2152" customFormat="false" ht="117" hidden="false" customHeight="false" outlineLevel="0" collapsed="false">
      <c r="A2152" s="26" t="s">
        <v>63</v>
      </c>
      <c r="B2152" s="27" t="s">
        <v>2129</v>
      </c>
      <c r="C2152" s="27" t="s">
        <v>2130</v>
      </c>
      <c r="D2152" s="27" t="s">
        <v>19521</v>
      </c>
      <c r="E2152" s="27" t="s">
        <v>19522</v>
      </c>
      <c r="F2152" s="27" t="s">
        <v>19523</v>
      </c>
      <c r="G2152" s="28"/>
      <c r="H2152" s="6" t="s">
        <v>63</v>
      </c>
      <c r="I2152" s="6" t="s">
        <v>62</v>
      </c>
      <c r="J2152" s="6" t="s">
        <v>63</v>
      </c>
      <c r="K2152" s="6" t="s">
        <v>63</v>
      </c>
      <c r="L2152" s="6" t="s">
        <v>64</v>
      </c>
      <c r="M2152" s="27" t="s">
        <v>19524</v>
      </c>
      <c r="N2152" s="27" t="s">
        <v>19525</v>
      </c>
      <c r="O2152" s="6" t="s">
        <v>2651</v>
      </c>
      <c r="P2152" s="28"/>
      <c r="Q2152" s="6" t="s">
        <v>67</v>
      </c>
      <c r="R2152" s="6" t="s">
        <v>123</v>
      </c>
      <c r="S2152" s="28"/>
      <c r="T2152" s="6" t="s">
        <v>6138</v>
      </c>
      <c r="U2152" s="7" t="n">
        <v>3</v>
      </c>
      <c r="V2152" s="7" t="n">
        <v>3</v>
      </c>
      <c r="W2152" s="8" t="s">
        <v>19526</v>
      </c>
      <c r="X2152" s="8" t="s">
        <v>19526</v>
      </c>
      <c r="Y2152" s="8" t="s">
        <v>16816</v>
      </c>
      <c r="Z2152" s="8" t="s">
        <v>16816</v>
      </c>
      <c r="AA2152" s="7" t="n">
        <v>360</v>
      </c>
      <c r="AB2152" s="7" t="n">
        <v>341</v>
      </c>
      <c r="AC2152" s="7" t="n">
        <v>417</v>
      </c>
      <c r="AD2152" s="7" t="n">
        <v>2</v>
      </c>
      <c r="AE2152" s="7" t="n">
        <v>2</v>
      </c>
      <c r="AF2152" s="7" t="n">
        <v>7</v>
      </c>
      <c r="AG2152" s="7" t="n">
        <v>13</v>
      </c>
      <c r="AH2152" s="7" t="n">
        <v>3</v>
      </c>
      <c r="AI2152" s="7" t="n">
        <v>4</v>
      </c>
      <c r="AJ2152" s="7" t="n">
        <v>2</v>
      </c>
      <c r="AK2152" s="7" t="n">
        <v>5</v>
      </c>
      <c r="AL2152" s="7" t="n">
        <v>5</v>
      </c>
      <c r="AM2152" s="7" t="n">
        <v>8</v>
      </c>
      <c r="AN2152" s="7" t="n">
        <v>1</v>
      </c>
      <c r="AO2152" s="7" t="n">
        <v>1</v>
      </c>
      <c r="AP2152" s="7" t="n">
        <v>0</v>
      </c>
      <c r="AQ2152" s="7" t="n">
        <v>0</v>
      </c>
      <c r="AR2152" s="6" t="s">
        <v>63</v>
      </c>
      <c r="AS2152" s="6" t="s">
        <v>63</v>
      </c>
      <c r="AT2152" s="28"/>
      <c r="AU2152" s="9" t="str">
        <f aca="false">HYPERLINK("https://creighton-primo.hosted.exlibrisgroup.com/primo-explore/search?tab=default_tab&amp;search_scope=EVERYTHING&amp;vid=01CRU&amp;lang=en_US&amp;offset=0&amp;query=any,contains,991003578989702656","Catalog Record")</f>
        <v>Catalog Record</v>
      </c>
      <c r="AV2152" s="9" t="str">
        <f aca="false">HYPERLINK("http://www.worldcat.org/oclc/1159552","WorldCat Record")</f>
        <v>WorldCat Record</v>
      </c>
      <c r="AW2152" s="6" t="s">
        <v>19527</v>
      </c>
      <c r="AX2152" s="6" t="s">
        <v>19528</v>
      </c>
      <c r="AY2152" s="6" t="s">
        <v>19529</v>
      </c>
      <c r="AZ2152" s="6" t="s">
        <v>19529</v>
      </c>
      <c r="BA2152" s="6" t="s">
        <v>19530</v>
      </c>
      <c r="BB2152" s="28"/>
      <c r="BC2152" s="6" t="s">
        <v>19531</v>
      </c>
      <c r="BE2152" s="15" t="s">
        <v>2145</v>
      </c>
      <c r="BF2152" s="6" t="s">
        <v>19532</v>
      </c>
    </row>
    <row r="2153" customFormat="false" ht="163" hidden="false" customHeight="false" outlineLevel="0" collapsed="false">
      <c r="A2153" s="26" t="s">
        <v>63</v>
      </c>
      <c r="B2153" s="27" t="s">
        <v>2129</v>
      </c>
      <c r="C2153" s="27" t="s">
        <v>2130</v>
      </c>
      <c r="D2153" s="27" t="s">
        <v>19533</v>
      </c>
      <c r="E2153" s="27" t="s">
        <v>19534</v>
      </c>
      <c r="F2153" s="27" t="s">
        <v>19535</v>
      </c>
      <c r="G2153" s="28"/>
      <c r="H2153" s="6" t="s">
        <v>63</v>
      </c>
      <c r="I2153" s="6" t="s">
        <v>62</v>
      </c>
      <c r="J2153" s="6" t="s">
        <v>63</v>
      </c>
      <c r="K2153" s="6" t="s">
        <v>63</v>
      </c>
      <c r="L2153" s="6" t="s">
        <v>64</v>
      </c>
      <c r="M2153" s="27" t="s">
        <v>6917</v>
      </c>
      <c r="N2153" s="27" t="s">
        <v>19536</v>
      </c>
      <c r="O2153" s="6" t="s">
        <v>264</v>
      </c>
      <c r="P2153" s="28"/>
      <c r="Q2153" s="6" t="s">
        <v>67</v>
      </c>
      <c r="R2153" s="6" t="s">
        <v>222</v>
      </c>
      <c r="S2153" s="28"/>
      <c r="T2153" s="6" t="s">
        <v>6138</v>
      </c>
      <c r="U2153" s="7" t="n">
        <v>2</v>
      </c>
      <c r="V2153" s="7" t="n">
        <v>2</v>
      </c>
      <c r="W2153" s="8" t="s">
        <v>19537</v>
      </c>
      <c r="X2153" s="8" t="s">
        <v>19537</v>
      </c>
      <c r="Y2153" s="8" t="s">
        <v>16816</v>
      </c>
      <c r="Z2153" s="8" t="s">
        <v>16816</v>
      </c>
      <c r="AA2153" s="7" t="n">
        <v>360</v>
      </c>
      <c r="AB2153" s="7" t="n">
        <v>317</v>
      </c>
      <c r="AC2153" s="7" t="n">
        <v>331</v>
      </c>
      <c r="AD2153" s="7" t="n">
        <v>4</v>
      </c>
      <c r="AE2153" s="7" t="n">
        <v>4</v>
      </c>
      <c r="AF2153" s="7" t="n">
        <v>17</v>
      </c>
      <c r="AG2153" s="7" t="n">
        <v>17</v>
      </c>
      <c r="AH2153" s="7" t="n">
        <v>5</v>
      </c>
      <c r="AI2153" s="7" t="n">
        <v>5</v>
      </c>
      <c r="AJ2153" s="7" t="n">
        <v>4</v>
      </c>
      <c r="AK2153" s="7" t="n">
        <v>4</v>
      </c>
      <c r="AL2153" s="7" t="n">
        <v>9</v>
      </c>
      <c r="AM2153" s="7" t="n">
        <v>9</v>
      </c>
      <c r="AN2153" s="7" t="n">
        <v>3</v>
      </c>
      <c r="AO2153" s="7" t="n">
        <v>3</v>
      </c>
      <c r="AP2153" s="7" t="n">
        <v>0</v>
      </c>
      <c r="AQ2153" s="7" t="n">
        <v>0</v>
      </c>
      <c r="AR2153" s="6" t="s">
        <v>63</v>
      </c>
      <c r="AS2153" s="6" t="s">
        <v>57</v>
      </c>
      <c r="AT2153" s="9" t="str">
        <f aca="false">HYPERLINK("http://catalog.hathitrust.org/Record/001383401","HathiTrust Record")</f>
        <v>HathiTrust Record</v>
      </c>
      <c r="AU2153" s="9" t="str">
        <f aca="false">HYPERLINK("https://creighton-primo.hosted.exlibrisgroup.com/primo-explore/search?tab=default_tab&amp;search_scope=EVERYTHING&amp;vid=01CRU&amp;lang=en_US&amp;offset=0&amp;query=any,contains,991000209929702656","Catalog Record")</f>
        <v>Catalog Record</v>
      </c>
      <c r="AV2153" s="9" t="str">
        <f aca="false">HYPERLINK("http://www.worldcat.org/oclc/66289","WorldCat Record")</f>
        <v>WorldCat Record</v>
      </c>
      <c r="AW2153" s="6" t="s">
        <v>19538</v>
      </c>
      <c r="AX2153" s="6" t="s">
        <v>19539</v>
      </c>
      <c r="AY2153" s="6" t="s">
        <v>19540</v>
      </c>
      <c r="AZ2153" s="6" t="s">
        <v>19540</v>
      </c>
      <c r="BA2153" s="6" t="s">
        <v>19541</v>
      </c>
      <c r="BB2153" s="6" t="s">
        <v>19542</v>
      </c>
      <c r="BC2153" s="6" t="s">
        <v>19543</v>
      </c>
      <c r="BE2153" s="15" t="s">
        <v>2145</v>
      </c>
      <c r="BF2153" s="6" t="s">
        <v>19544</v>
      </c>
    </row>
    <row r="2154" customFormat="false" ht="82.5" hidden="false" customHeight="false" outlineLevel="0" collapsed="false">
      <c r="A2154" s="26" t="s">
        <v>63</v>
      </c>
      <c r="B2154" s="27" t="s">
        <v>2129</v>
      </c>
      <c r="C2154" s="27" t="s">
        <v>2130</v>
      </c>
      <c r="D2154" s="27" t="s">
        <v>19545</v>
      </c>
      <c r="E2154" s="27" t="s">
        <v>19546</v>
      </c>
      <c r="F2154" s="27" t="s">
        <v>19547</v>
      </c>
      <c r="G2154" s="28"/>
      <c r="H2154" s="6" t="s">
        <v>63</v>
      </c>
      <c r="I2154" s="6" t="s">
        <v>62</v>
      </c>
      <c r="J2154" s="6" t="s">
        <v>63</v>
      </c>
      <c r="K2154" s="6" t="s">
        <v>63</v>
      </c>
      <c r="L2154" s="6" t="s">
        <v>64</v>
      </c>
      <c r="M2154" s="27" t="s">
        <v>19548</v>
      </c>
      <c r="N2154" s="27" t="s">
        <v>19549</v>
      </c>
      <c r="O2154" s="6" t="s">
        <v>3405</v>
      </c>
      <c r="P2154" s="28"/>
      <c r="Q2154" s="6" t="s">
        <v>67</v>
      </c>
      <c r="R2154" s="6" t="s">
        <v>384</v>
      </c>
      <c r="S2154" s="27" t="s">
        <v>19550</v>
      </c>
      <c r="T2154" s="6" t="s">
        <v>6138</v>
      </c>
      <c r="U2154" s="7" t="n">
        <v>2</v>
      </c>
      <c r="V2154" s="7" t="n">
        <v>2</v>
      </c>
      <c r="W2154" s="8" t="s">
        <v>16894</v>
      </c>
      <c r="X2154" s="8" t="s">
        <v>16894</v>
      </c>
      <c r="Y2154" s="8" t="s">
        <v>16816</v>
      </c>
      <c r="Z2154" s="8" t="s">
        <v>16816</v>
      </c>
      <c r="AA2154" s="7" t="n">
        <v>358</v>
      </c>
      <c r="AB2154" s="7" t="n">
        <v>218</v>
      </c>
      <c r="AC2154" s="7" t="n">
        <v>777</v>
      </c>
      <c r="AD2154" s="7" t="n">
        <v>3</v>
      </c>
      <c r="AE2154" s="7" t="n">
        <v>7</v>
      </c>
      <c r="AF2154" s="7" t="n">
        <v>7</v>
      </c>
      <c r="AG2154" s="7" t="n">
        <v>37</v>
      </c>
      <c r="AH2154" s="7" t="n">
        <v>3</v>
      </c>
      <c r="AI2154" s="7" t="n">
        <v>14</v>
      </c>
      <c r="AJ2154" s="7" t="n">
        <v>0</v>
      </c>
      <c r="AK2154" s="7" t="n">
        <v>9</v>
      </c>
      <c r="AL2154" s="7" t="n">
        <v>4</v>
      </c>
      <c r="AM2154" s="7" t="n">
        <v>19</v>
      </c>
      <c r="AN2154" s="7" t="n">
        <v>1</v>
      </c>
      <c r="AO2154" s="7" t="n">
        <v>4</v>
      </c>
      <c r="AP2154" s="7" t="n">
        <v>0</v>
      </c>
      <c r="AQ2154" s="7" t="n">
        <v>0</v>
      </c>
      <c r="AR2154" s="6" t="s">
        <v>63</v>
      </c>
      <c r="AS2154" s="6" t="s">
        <v>57</v>
      </c>
      <c r="AT2154" s="9" t="str">
        <f aca="false">HYPERLINK("http://catalog.hathitrust.org/Record/006752783","HathiTrust Record")</f>
        <v>HathiTrust Record</v>
      </c>
      <c r="AU2154" s="9" t="str">
        <f aca="false">HYPERLINK("https://creighton-primo.hosted.exlibrisgroup.com/primo-explore/search?tab=default_tab&amp;search_scope=EVERYTHING&amp;vid=01CRU&amp;lang=en_US&amp;offset=0&amp;query=any,contains,991003698059702656","Catalog Record")</f>
        <v>Catalog Record</v>
      </c>
      <c r="AV2154" s="9" t="str">
        <f aca="false">HYPERLINK("http://www.worldcat.org/oclc/40247131","WorldCat Record")</f>
        <v>WorldCat Record</v>
      </c>
      <c r="AW2154" s="6" t="s">
        <v>19551</v>
      </c>
      <c r="AX2154" s="6" t="s">
        <v>19552</v>
      </c>
      <c r="AY2154" s="6" t="s">
        <v>19553</v>
      </c>
      <c r="AZ2154" s="6" t="s">
        <v>19553</v>
      </c>
      <c r="BA2154" s="6" t="s">
        <v>19554</v>
      </c>
      <c r="BB2154" s="28"/>
      <c r="BC2154" s="6" t="s">
        <v>19555</v>
      </c>
      <c r="BE2154" s="15" t="s">
        <v>2145</v>
      </c>
      <c r="BF2154" s="6" t="s">
        <v>19556</v>
      </c>
    </row>
    <row r="2155" customFormat="false" ht="82.5" hidden="false" customHeight="false" outlineLevel="0" collapsed="false">
      <c r="A2155" s="26" t="s">
        <v>63</v>
      </c>
      <c r="B2155" s="27" t="s">
        <v>2129</v>
      </c>
      <c r="C2155" s="27" t="s">
        <v>2130</v>
      </c>
      <c r="D2155" s="27" t="s">
        <v>19557</v>
      </c>
      <c r="E2155" s="27" t="s">
        <v>19558</v>
      </c>
      <c r="F2155" s="27" t="s">
        <v>19559</v>
      </c>
      <c r="G2155" s="28"/>
      <c r="H2155" s="6" t="s">
        <v>63</v>
      </c>
      <c r="I2155" s="6" t="s">
        <v>62</v>
      </c>
      <c r="J2155" s="6" t="s">
        <v>63</v>
      </c>
      <c r="K2155" s="6" t="s">
        <v>63</v>
      </c>
      <c r="L2155" s="6" t="s">
        <v>64</v>
      </c>
      <c r="M2155" s="27" t="s">
        <v>19560</v>
      </c>
      <c r="N2155" s="27" t="s">
        <v>7827</v>
      </c>
      <c r="O2155" s="6" t="s">
        <v>2315</v>
      </c>
      <c r="P2155" s="28"/>
      <c r="Q2155" s="6" t="s">
        <v>67</v>
      </c>
      <c r="R2155" s="6" t="s">
        <v>384</v>
      </c>
      <c r="S2155" s="27" t="s">
        <v>7693</v>
      </c>
      <c r="T2155" s="6" t="s">
        <v>6138</v>
      </c>
      <c r="U2155" s="7" t="n">
        <v>1</v>
      </c>
      <c r="V2155" s="7" t="n">
        <v>1</v>
      </c>
      <c r="W2155" s="8" t="s">
        <v>19561</v>
      </c>
      <c r="X2155" s="8" t="s">
        <v>19561</v>
      </c>
      <c r="Y2155" s="8" t="s">
        <v>16816</v>
      </c>
      <c r="Z2155" s="8" t="s">
        <v>16816</v>
      </c>
      <c r="AA2155" s="7" t="n">
        <v>456</v>
      </c>
      <c r="AB2155" s="7" t="n">
        <v>309</v>
      </c>
      <c r="AC2155" s="7" t="n">
        <v>400</v>
      </c>
      <c r="AD2155" s="7" t="n">
        <v>2</v>
      </c>
      <c r="AE2155" s="7" t="n">
        <v>3</v>
      </c>
      <c r="AF2155" s="7" t="n">
        <v>20</v>
      </c>
      <c r="AG2155" s="7" t="n">
        <v>24</v>
      </c>
      <c r="AH2155" s="7" t="n">
        <v>6</v>
      </c>
      <c r="AI2155" s="7" t="n">
        <v>6</v>
      </c>
      <c r="AJ2155" s="7" t="n">
        <v>5</v>
      </c>
      <c r="AK2155" s="7" t="n">
        <v>7</v>
      </c>
      <c r="AL2155" s="7" t="n">
        <v>16</v>
      </c>
      <c r="AM2155" s="7" t="n">
        <v>18</v>
      </c>
      <c r="AN2155" s="7" t="n">
        <v>0</v>
      </c>
      <c r="AO2155" s="7" t="n">
        <v>1</v>
      </c>
      <c r="AP2155" s="7" t="n">
        <v>0</v>
      </c>
      <c r="AQ2155" s="7" t="n">
        <v>0</v>
      </c>
      <c r="AR2155" s="6" t="s">
        <v>63</v>
      </c>
      <c r="AS2155" s="6" t="s">
        <v>57</v>
      </c>
      <c r="AT2155" s="9" t="str">
        <f aca="false">HYPERLINK("http://catalog.hathitrust.org/Record/000569333","HathiTrust Record")</f>
        <v>HathiTrust Record</v>
      </c>
      <c r="AU2155" s="9" t="str">
        <f aca="false">HYPERLINK("https://creighton-primo.hosted.exlibrisgroup.com/primo-explore/search?tab=default_tab&amp;search_scope=EVERYTHING&amp;vid=01CRU&amp;lang=en_US&amp;offset=0&amp;query=any,contains,991000454309702656","Catalog Record")</f>
        <v>Catalog Record</v>
      </c>
      <c r="AV2155" s="9" t="str">
        <f aca="false">HYPERLINK("http://www.worldcat.org/oclc/10913078","WorldCat Record")</f>
        <v>WorldCat Record</v>
      </c>
      <c r="AW2155" s="6" t="s">
        <v>19562</v>
      </c>
      <c r="AX2155" s="6" t="s">
        <v>19563</v>
      </c>
      <c r="AY2155" s="6" t="s">
        <v>19564</v>
      </c>
      <c r="AZ2155" s="6" t="s">
        <v>19564</v>
      </c>
      <c r="BA2155" s="6" t="s">
        <v>19565</v>
      </c>
      <c r="BB2155" s="6" t="s">
        <v>19566</v>
      </c>
      <c r="BC2155" s="6" t="s">
        <v>19567</v>
      </c>
      <c r="BE2155" s="15" t="s">
        <v>2145</v>
      </c>
      <c r="BF2155" s="6" t="s">
        <v>19568</v>
      </c>
    </row>
    <row r="2156" customFormat="false" ht="105.5" hidden="false" customHeight="false" outlineLevel="0" collapsed="false">
      <c r="A2156" s="26" t="s">
        <v>63</v>
      </c>
      <c r="B2156" s="27" t="s">
        <v>2129</v>
      </c>
      <c r="C2156" s="27" t="s">
        <v>2130</v>
      </c>
      <c r="D2156" s="27" t="s">
        <v>19569</v>
      </c>
      <c r="E2156" s="27" t="s">
        <v>19570</v>
      </c>
      <c r="F2156" s="27" t="s">
        <v>19571</v>
      </c>
      <c r="G2156" s="28"/>
      <c r="H2156" s="6" t="s">
        <v>63</v>
      </c>
      <c r="I2156" s="6" t="s">
        <v>62</v>
      </c>
      <c r="J2156" s="6" t="s">
        <v>63</v>
      </c>
      <c r="K2156" s="6" t="s">
        <v>63</v>
      </c>
      <c r="L2156" s="6" t="s">
        <v>64</v>
      </c>
      <c r="M2156" s="27" t="s">
        <v>19572</v>
      </c>
      <c r="N2156" s="27" t="s">
        <v>19573</v>
      </c>
      <c r="O2156" s="6" t="s">
        <v>254</v>
      </c>
      <c r="P2156" s="28"/>
      <c r="Q2156" s="6" t="s">
        <v>67</v>
      </c>
      <c r="R2156" s="6" t="s">
        <v>802</v>
      </c>
      <c r="S2156" s="27" t="s">
        <v>19574</v>
      </c>
      <c r="T2156" s="6" t="s">
        <v>6138</v>
      </c>
      <c r="U2156" s="7" t="n">
        <v>1</v>
      </c>
      <c r="V2156" s="7" t="n">
        <v>1</v>
      </c>
      <c r="W2156" s="8" t="s">
        <v>19575</v>
      </c>
      <c r="X2156" s="8" t="s">
        <v>19575</v>
      </c>
      <c r="Y2156" s="8" t="s">
        <v>19575</v>
      </c>
      <c r="Z2156" s="8" t="s">
        <v>19575</v>
      </c>
      <c r="AA2156" s="7" t="n">
        <v>278</v>
      </c>
      <c r="AB2156" s="7" t="n">
        <v>191</v>
      </c>
      <c r="AC2156" s="7" t="n">
        <v>753</v>
      </c>
      <c r="AD2156" s="7" t="n">
        <v>3</v>
      </c>
      <c r="AE2156" s="7" t="n">
        <v>7</v>
      </c>
      <c r="AF2156" s="7" t="n">
        <v>17</v>
      </c>
      <c r="AG2156" s="7" t="n">
        <v>33</v>
      </c>
      <c r="AH2156" s="7" t="n">
        <v>2</v>
      </c>
      <c r="AI2156" s="7" t="n">
        <v>9</v>
      </c>
      <c r="AJ2156" s="7" t="n">
        <v>6</v>
      </c>
      <c r="AK2156" s="7" t="n">
        <v>9</v>
      </c>
      <c r="AL2156" s="7" t="n">
        <v>10</v>
      </c>
      <c r="AM2156" s="7" t="n">
        <v>14</v>
      </c>
      <c r="AN2156" s="7" t="n">
        <v>2</v>
      </c>
      <c r="AO2156" s="7" t="n">
        <v>6</v>
      </c>
      <c r="AP2156" s="7" t="n">
        <v>0</v>
      </c>
      <c r="AQ2156" s="7" t="n">
        <v>1</v>
      </c>
      <c r="AR2156" s="6" t="s">
        <v>63</v>
      </c>
      <c r="AS2156" s="6" t="s">
        <v>57</v>
      </c>
      <c r="AT2156" s="9" t="str">
        <f aca="false">HYPERLINK("http://catalog.hathitrust.org/Record/001383411","HathiTrust Record")</f>
        <v>HathiTrust Record</v>
      </c>
      <c r="AU2156" s="9" t="str">
        <f aca="false">HYPERLINK("https://creighton-primo.hosted.exlibrisgroup.com/primo-explore/search?tab=default_tab&amp;search_scope=EVERYTHING&amp;vid=01CRU&amp;lang=en_US&amp;offset=0&amp;query=any,contains,991005271299702656","Catalog Record")</f>
        <v>Catalog Record</v>
      </c>
      <c r="AV2156" s="9" t="str">
        <f aca="false">HYPERLINK("http://www.worldcat.org/oclc/821124","WorldCat Record")</f>
        <v>WorldCat Record</v>
      </c>
      <c r="AW2156" s="6" t="s">
        <v>19576</v>
      </c>
      <c r="AX2156" s="6" t="s">
        <v>19577</v>
      </c>
      <c r="AY2156" s="6" t="s">
        <v>19578</v>
      </c>
      <c r="AZ2156" s="6" t="s">
        <v>19578</v>
      </c>
      <c r="BA2156" s="6" t="s">
        <v>19579</v>
      </c>
      <c r="BB2156" s="28"/>
      <c r="BC2156" s="6" t="s">
        <v>19580</v>
      </c>
      <c r="BE2156" s="15" t="s">
        <v>2145</v>
      </c>
      <c r="BF2156" s="6" t="s">
        <v>19581</v>
      </c>
    </row>
    <row r="2157" customFormat="false" ht="174.5" hidden="false" customHeight="false" outlineLevel="0" collapsed="false">
      <c r="A2157" s="26" t="s">
        <v>63</v>
      </c>
      <c r="B2157" s="27" t="s">
        <v>2129</v>
      </c>
      <c r="C2157" s="27" t="s">
        <v>2130</v>
      </c>
      <c r="D2157" s="27" t="s">
        <v>19582</v>
      </c>
      <c r="E2157" s="27" t="s">
        <v>19583</v>
      </c>
      <c r="F2157" s="27" t="s">
        <v>19584</v>
      </c>
      <c r="G2157" s="28"/>
      <c r="H2157" s="6" t="s">
        <v>63</v>
      </c>
      <c r="I2157" s="6" t="s">
        <v>62</v>
      </c>
      <c r="J2157" s="6" t="s">
        <v>63</v>
      </c>
      <c r="K2157" s="6" t="s">
        <v>63</v>
      </c>
      <c r="L2157" s="6" t="s">
        <v>64</v>
      </c>
      <c r="M2157" s="27" t="s">
        <v>19585</v>
      </c>
      <c r="N2157" s="27" t="s">
        <v>19586</v>
      </c>
      <c r="O2157" s="6" t="s">
        <v>2426</v>
      </c>
      <c r="P2157" s="28"/>
      <c r="Q2157" s="6" t="s">
        <v>67</v>
      </c>
      <c r="R2157" s="6" t="s">
        <v>802</v>
      </c>
      <c r="S2157" s="27" t="s">
        <v>19587</v>
      </c>
      <c r="T2157" s="6" t="s">
        <v>6138</v>
      </c>
      <c r="U2157" s="7" t="n">
        <v>1</v>
      </c>
      <c r="V2157" s="7" t="n">
        <v>1</v>
      </c>
      <c r="W2157" s="8" t="s">
        <v>9548</v>
      </c>
      <c r="X2157" s="8" t="s">
        <v>9548</v>
      </c>
      <c r="Y2157" s="8" t="s">
        <v>16816</v>
      </c>
      <c r="Z2157" s="8" t="s">
        <v>16816</v>
      </c>
      <c r="AA2157" s="7" t="n">
        <v>229</v>
      </c>
      <c r="AB2157" s="7" t="n">
        <v>158</v>
      </c>
      <c r="AC2157" s="7" t="n">
        <v>164</v>
      </c>
      <c r="AD2157" s="7" t="n">
        <v>2</v>
      </c>
      <c r="AE2157" s="7" t="n">
        <v>2</v>
      </c>
      <c r="AF2157" s="7" t="n">
        <v>9</v>
      </c>
      <c r="AG2157" s="7" t="n">
        <v>9</v>
      </c>
      <c r="AH2157" s="7" t="n">
        <v>2</v>
      </c>
      <c r="AI2157" s="7" t="n">
        <v>2</v>
      </c>
      <c r="AJ2157" s="7" t="n">
        <v>4</v>
      </c>
      <c r="AK2157" s="7" t="n">
        <v>4</v>
      </c>
      <c r="AL2157" s="7" t="n">
        <v>6</v>
      </c>
      <c r="AM2157" s="7" t="n">
        <v>6</v>
      </c>
      <c r="AN2157" s="7" t="n">
        <v>1</v>
      </c>
      <c r="AO2157" s="7" t="n">
        <v>1</v>
      </c>
      <c r="AP2157" s="7" t="n">
        <v>0</v>
      </c>
      <c r="AQ2157" s="7" t="n">
        <v>0</v>
      </c>
      <c r="AR2157" s="6" t="s">
        <v>63</v>
      </c>
      <c r="AS2157" s="6" t="s">
        <v>63</v>
      </c>
      <c r="AT2157" s="28"/>
      <c r="AU2157" s="9" t="str">
        <f aca="false">HYPERLINK("https://creighton-primo.hosted.exlibrisgroup.com/primo-explore/search?tab=default_tab&amp;search_scope=EVERYTHING&amp;vid=01CRU&amp;lang=en_US&amp;offset=0&amp;query=any,contains,991003661449702656","Catalog Record")</f>
        <v>Catalog Record</v>
      </c>
      <c r="AV2157" s="9" t="str">
        <f aca="false">HYPERLINK("http://www.worldcat.org/oclc/1272449","WorldCat Record")</f>
        <v>WorldCat Record</v>
      </c>
      <c r="AW2157" s="6" t="s">
        <v>19588</v>
      </c>
      <c r="AX2157" s="6" t="s">
        <v>19589</v>
      </c>
      <c r="AY2157" s="6" t="s">
        <v>19590</v>
      </c>
      <c r="AZ2157" s="6" t="s">
        <v>19590</v>
      </c>
      <c r="BA2157" s="6" t="s">
        <v>19591</v>
      </c>
      <c r="BB2157" s="6" t="s">
        <v>19592</v>
      </c>
      <c r="BC2157" s="6" t="s">
        <v>19593</v>
      </c>
      <c r="BE2157" s="15" t="s">
        <v>2145</v>
      </c>
      <c r="BF2157" s="6" t="s">
        <v>19594</v>
      </c>
    </row>
    <row r="2158" customFormat="false" ht="128.5" hidden="false" customHeight="false" outlineLevel="0" collapsed="false">
      <c r="A2158" s="26" t="s">
        <v>63</v>
      </c>
      <c r="B2158" s="27" t="s">
        <v>2129</v>
      </c>
      <c r="C2158" s="27" t="s">
        <v>2130</v>
      </c>
      <c r="D2158" s="27" t="s">
        <v>19595</v>
      </c>
      <c r="E2158" s="27" t="s">
        <v>19596</v>
      </c>
      <c r="F2158" s="27" t="s">
        <v>19597</v>
      </c>
      <c r="G2158" s="28"/>
      <c r="H2158" s="6" t="s">
        <v>63</v>
      </c>
      <c r="I2158" s="6" t="s">
        <v>62</v>
      </c>
      <c r="J2158" s="6" t="s">
        <v>63</v>
      </c>
      <c r="K2158" s="6" t="s">
        <v>63</v>
      </c>
      <c r="L2158" s="6" t="s">
        <v>64</v>
      </c>
      <c r="M2158" s="27" t="s">
        <v>19598</v>
      </c>
      <c r="N2158" s="27" t="s">
        <v>19599</v>
      </c>
      <c r="O2158" s="6" t="s">
        <v>2623</v>
      </c>
      <c r="P2158" s="28"/>
      <c r="Q2158" s="6" t="s">
        <v>67</v>
      </c>
      <c r="R2158" s="6" t="s">
        <v>68</v>
      </c>
      <c r="S2158" s="28"/>
      <c r="T2158" s="6" t="s">
        <v>6138</v>
      </c>
      <c r="U2158" s="7" t="n">
        <v>1</v>
      </c>
      <c r="V2158" s="7" t="n">
        <v>1</v>
      </c>
      <c r="W2158" s="8" t="s">
        <v>8885</v>
      </c>
      <c r="X2158" s="8" t="s">
        <v>8885</v>
      </c>
      <c r="Y2158" s="8" t="s">
        <v>16816</v>
      </c>
      <c r="Z2158" s="8" t="s">
        <v>16816</v>
      </c>
      <c r="AA2158" s="7" t="n">
        <v>411</v>
      </c>
      <c r="AB2158" s="7" t="n">
        <v>343</v>
      </c>
      <c r="AC2158" s="7" t="n">
        <v>348</v>
      </c>
      <c r="AD2158" s="7" t="n">
        <v>4</v>
      </c>
      <c r="AE2158" s="7" t="n">
        <v>4</v>
      </c>
      <c r="AF2158" s="7" t="n">
        <v>24</v>
      </c>
      <c r="AG2158" s="7" t="n">
        <v>24</v>
      </c>
      <c r="AH2158" s="7" t="n">
        <v>7</v>
      </c>
      <c r="AI2158" s="7" t="n">
        <v>7</v>
      </c>
      <c r="AJ2158" s="7" t="n">
        <v>8</v>
      </c>
      <c r="AK2158" s="7" t="n">
        <v>8</v>
      </c>
      <c r="AL2158" s="7" t="n">
        <v>15</v>
      </c>
      <c r="AM2158" s="7" t="n">
        <v>15</v>
      </c>
      <c r="AN2158" s="7" t="n">
        <v>2</v>
      </c>
      <c r="AO2158" s="7" t="n">
        <v>2</v>
      </c>
      <c r="AP2158" s="7" t="n">
        <v>0</v>
      </c>
      <c r="AQ2158" s="7" t="n">
        <v>0</v>
      </c>
      <c r="AR2158" s="6" t="s">
        <v>63</v>
      </c>
      <c r="AS2158" s="6" t="s">
        <v>57</v>
      </c>
      <c r="AT2158" s="9" t="str">
        <f aca="false">HYPERLINK("http://catalog.hathitrust.org/Record/000098613","HathiTrust Record")</f>
        <v>HathiTrust Record</v>
      </c>
      <c r="AU2158" s="9" t="str">
        <f aca="false">HYPERLINK("https://creighton-primo.hosted.exlibrisgroup.com/primo-explore/search?tab=default_tab&amp;search_scope=EVERYTHING&amp;vid=01CRU&amp;lang=en_US&amp;offset=0&amp;query=any,contains,991005053649702656","Catalog Record")</f>
        <v>Catalog Record</v>
      </c>
      <c r="AV2158" s="9" t="str">
        <f aca="false">HYPERLINK("http://www.worldcat.org/oclc/6889515","WorldCat Record")</f>
        <v>WorldCat Record</v>
      </c>
      <c r="AW2158" s="6" t="s">
        <v>19600</v>
      </c>
      <c r="AX2158" s="6" t="s">
        <v>19601</v>
      </c>
      <c r="AY2158" s="6" t="s">
        <v>19602</v>
      </c>
      <c r="AZ2158" s="6" t="s">
        <v>19602</v>
      </c>
      <c r="BA2158" s="6" t="s">
        <v>19603</v>
      </c>
      <c r="BB2158" s="6" t="s">
        <v>19604</v>
      </c>
      <c r="BC2158" s="6" t="s">
        <v>19605</v>
      </c>
      <c r="BE2158" s="15" t="s">
        <v>2145</v>
      </c>
      <c r="BF2158" s="6" t="s">
        <v>19606</v>
      </c>
    </row>
    <row r="2159" customFormat="false" ht="209" hidden="false" customHeight="false" outlineLevel="0" collapsed="false">
      <c r="A2159" s="26" t="s">
        <v>63</v>
      </c>
      <c r="B2159" s="27" t="s">
        <v>2129</v>
      </c>
      <c r="C2159" s="27" t="s">
        <v>2130</v>
      </c>
      <c r="D2159" s="27" t="s">
        <v>19607</v>
      </c>
      <c r="E2159" s="27" t="s">
        <v>19608</v>
      </c>
      <c r="F2159" s="27" t="s">
        <v>19609</v>
      </c>
      <c r="G2159" s="28"/>
      <c r="H2159" s="6" t="s">
        <v>63</v>
      </c>
      <c r="I2159" s="6" t="s">
        <v>62</v>
      </c>
      <c r="J2159" s="6" t="s">
        <v>57</v>
      </c>
      <c r="K2159" s="6" t="s">
        <v>63</v>
      </c>
      <c r="L2159" s="6" t="s">
        <v>64</v>
      </c>
      <c r="M2159" s="27" t="s">
        <v>19610</v>
      </c>
      <c r="N2159" s="27" t="s">
        <v>19611</v>
      </c>
      <c r="O2159" s="6" t="s">
        <v>122</v>
      </c>
      <c r="P2159" s="28"/>
      <c r="Q2159" s="6" t="s">
        <v>67</v>
      </c>
      <c r="R2159" s="6" t="s">
        <v>4707</v>
      </c>
      <c r="S2159" s="28"/>
      <c r="T2159" s="6" t="s">
        <v>6138</v>
      </c>
      <c r="U2159" s="7" t="n">
        <v>5</v>
      </c>
      <c r="V2159" s="7" t="n">
        <v>5</v>
      </c>
      <c r="W2159" s="8" t="s">
        <v>3986</v>
      </c>
      <c r="X2159" s="8" t="s">
        <v>3986</v>
      </c>
      <c r="Y2159" s="8" t="s">
        <v>18533</v>
      </c>
      <c r="Z2159" s="8" t="s">
        <v>10208</v>
      </c>
      <c r="AA2159" s="7" t="n">
        <v>163</v>
      </c>
      <c r="AB2159" s="7" t="n">
        <v>139</v>
      </c>
      <c r="AC2159" s="7" t="n">
        <v>144</v>
      </c>
      <c r="AD2159" s="7" t="n">
        <v>2</v>
      </c>
      <c r="AE2159" s="7" t="n">
        <v>2</v>
      </c>
      <c r="AF2159" s="7" t="n">
        <v>22</v>
      </c>
      <c r="AG2159" s="7" t="n">
        <v>22</v>
      </c>
      <c r="AH2159" s="7" t="n">
        <v>6</v>
      </c>
      <c r="AI2159" s="7" t="n">
        <v>6</v>
      </c>
      <c r="AJ2159" s="7" t="n">
        <v>4</v>
      </c>
      <c r="AK2159" s="7" t="n">
        <v>4</v>
      </c>
      <c r="AL2159" s="7" t="n">
        <v>18</v>
      </c>
      <c r="AM2159" s="7" t="n">
        <v>18</v>
      </c>
      <c r="AN2159" s="7" t="n">
        <v>1</v>
      </c>
      <c r="AO2159" s="7" t="n">
        <v>1</v>
      </c>
      <c r="AP2159" s="7" t="n">
        <v>0</v>
      </c>
      <c r="AQ2159" s="7" t="n">
        <v>0</v>
      </c>
      <c r="AR2159" s="6" t="s">
        <v>63</v>
      </c>
      <c r="AS2159" s="6" t="s">
        <v>63</v>
      </c>
      <c r="AT2159" s="28"/>
      <c r="AU2159" s="9" t="str">
        <f aca="false">HYPERLINK("https://creighton-primo.hosted.exlibrisgroup.com/primo-explore/search?tab=default_tab&amp;search_scope=EVERYTHING&amp;vid=01CRU&amp;lang=en_US&amp;offset=0&amp;query=any,contains,991004513999702656","Catalog Record")</f>
        <v>Catalog Record</v>
      </c>
      <c r="AV2159" s="9" t="str">
        <f aca="false">HYPERLINK("http://www.worldcat.org/oclc/3776816","WorldCat Record")</f>
        <v>WorldCat Record</v>
      </c>
      <c r="AW2159" s="6" t="s">
        <v>19612</v>
      </c>
      <c r="AX2159" s="6" t="s">
        <v>19613</v>
      </c>
      <c r="AY2159" s="6" t="s">
        <v>19614</v>
      </c>
      <c r="AZ2159" s="6" t="s">
        <v>19614</v>
      </c>
      <c r="BA2159" s="6" t="s">
        <v>19615</v>
      </c>
      <c r="BB2159" s="28"/>
      <c r="BC2159" s="6" t="s">
        <v>19616</v>
      </c>
      <c r="BE2159" s="15" t="s">
        <v>2145</v>
      </c>
      <c r="BF2159" s="6" t="s">
        <v>19617</v>
      </c>
    </row>
    <row r="2160" customFormat="false" ht="71" hidden="false" customHeight="false" outlineLevel="0" collapsed="false">
      <c r="A2160" s="26" t="s">
        <v>63</v>
      </c>
      <c r="B2160" s="27" t="s">
        <v>2129</v>
      </c>
      <c r="C2160" s="27" t="s">
        <v>2130</v>
      </c>
      <c r="D2160" s="27" t="s">
        <v>19618</v>
      </c>
      <c r="E2160" s="27" t="s">
        <v>19619</v>
      </c>
      <c r="F2160" s="27" t="s">
        <v>19620</v>
      </c>
      <c r="G2160" s="28"/>
      <c r="H2160" s="6" t="s">
        <v>63</v>
      </c>
      <c r="I2160" s="6" t="s">
        <v>62</v>
      </c>
      <c r="J2160" s="6" t="s">
        <v>63</v>
      </c>
      <c r="K2160" s="6" t="s">
        <v>57</v>
      </c>
      <c r="L2160" s="6" t="s">
        <v>64</v>
      </c>
      <c r="M2160" s="27" t="s">
        <v>19621</v>
      </c>
      <c r="N2160" s="27" t="s">
        <v>19622</v>
      </c>
      <c r="O2160" s="6" t="s">
        <v>2693</v>
      </c>
      <c r="P2160" s="28"/>
      <c r="Q2160" s="6" t="s">
        <v>67</v>
      </c>
      <c r="R2160" s="6" t="s">
        <v>68</v>
      </c>
      <c r="S2160" s="28"/>
      <c r="T2160" s="6" t="s">
        <v>6138</v>
      </c>
      <c r="U2160" s="7" t="n">
        <v>1</v>
      </c>
      <c r="V2160" s="7" t="n">
        <v>1</v>
      </c>
      <c r="W2160" s="8" t="s">
        <v>19623</v>
      </c>
      <c r="X2160" s="8" t="s">
        <v>19623</v>
      </c>
      <c r="Y2160" s="8" t="s">
        <v>18533</v>
      </c>
      <c r="Z2160" s="8" t="s">
        <v>18533</v>
      </c>
      <c r="AA2160" s="7" t="n">
        <v>254</v>
      </c>
      <c r="AB2160" s="7" t="n">
        <v>223</v>
      </c>
      <c r="AC2160" s="7" t="n">
        <v>599</v>
      </c>
      <c r="AD2160" s="7" t="n">
        <v>1</v>
      </c>
      <c r="AE2160" s="7" t="n">
        <v>4</v>
      </c>
      <c r="AF2160" s="7" t="n">
        <v>17</v>
      </c>
      <c r="AG2160" s="7" t="n">
        <v>35</v>
      </c>
      <c r="AH2160" s="7" t="n">
        <v>6</v>
      </c>
      <c r="AI2160" s="7" t="n">
        <v>12</v>
      </c>
      <c r="AJ2160" s="7" t="n">
        <v>3</v>
      </c>
      <c r="AK2160" s="7" t="n">
        <v>8</v>
      </c>
      <c r="AL2160" s="7" t="n">
        <v>11</v>
      </c>
      <c r="AM2160" s="7" t="n">
        <v>24</v>
      </c>
      <c r="AN2160" s="7" t="n">
        <v>0</v>
      </c>
      <c r="AO2160" s="7" t="n">
        <v>2</v>
      </c>
      <c r="AP2160" s="7" t="n">
        <v>0</v>
      </c>
      <c r="AQ2160" s="7" t="n">
        <v>0</v>
      </c>
      <c r="AR2160" s="6" t="s">
        <v>63</v>
      </c>
      <c r="AS2160" s="6" t="s">
        <v>63</v>
      </c>
      <c r="AT2160" s="28"/>
      <c r="AU2160" s="9" t="str">
        <f aca="false">HYPERLINK("https://creighton-primo.hosted.exlibrisgroup.com/primo-explore/search?tab=default_tab&amp;search_scope=EVERYTHING&amp;vid=01CRU&amp;lang=en_US&amp;offset=0&amp;query=any,contains,991000089189702656","Catalog Record")</f>
        <v>Catalog Record</v>
      </c>
      <c r="AV2160" s="9" t="str">
        <f aca="false">HYPERLINK("http://www.worldcat.org/oclc/35887","WorldCat Record")</f>
        <v>WorldCat Record</v>
      </c>
      <c r="AW2160" s="6" t="s">
        <v>19624</v>
      </c>
      <c r="AX2160" s="6" t="s">
        <v>19625</v>
      </c>
      <c r="AY2160" s="6" t="s">
        <v>19626</v>
      </c>
      <c r="AZ2160" s="6" t="s">
        <v>19626</v>
      </c>
      <c r="BA2160" s="6" t="s">
        <v>19627</v>
      </c>
      <c r="BB2160" s="28"/>
      <c r="BC2160" s="6" t="s">
        <v>19628</v>
      </c>
      <c r="BE2160" s="15" t="s">
        <v>2145</v>
      </c>
      <c r="BF2160" s="6" t="s">
        <v>19629</v>
      </c>
    </row>
    <row r="2161" customFormat="false" ht="94" hidden="false" customHeight="false" outlineLevel="0" collapsed="false">
      <c r="A2161" s="26" t="s">
        <v>63</v>
      </c>
      <c r="B2161" s="27" t="s">
        <v>2129</v>
      </c>
      <c r="C2161" s="27" t="s">
        <v>2130</v>
      </c>
      <c r="D2161" s="27" t="s">
        <v>19630</v>
      </c>
      <c r="E2161" s="27" t="s">
        <v>19631</v>
      </c>
      <c r="F2161" s="27" t="s">
        <v>19632</v>
      </c>
      <c r="G2161" s="28"/>
      <c r="H2161" s="6" t="s">
        <v>63</v>
      </c>
      <c r="I2161" s="6" t="s">
        <v>62</v>
      </c>
      <c r="J2161" s="6" t="s">
        <v>63</v>
      </c>
      <c r="K2161" s="6" t="s">
        <v>63</v>
      </c>
      <c r="L2161" s="6" t="s">
        <v>64</v>
      </c>
      <c r="M2161" s="27" t="s">
        <v>19633</v>
      </c>
      <c r="N2161" s="27" t="s">
        <v>19634</v>
      </c>
      <c r="O2161" s="6" t="s">
        <v>167</v>
      </c>
      <c r="P2161" s="28"/>
      <c r="Q2161" s="6" t="s">
        <v>67</v>
      </c>
      <c r="R2161" s="6" t="s">
        <v>222</v>
      </c>
      <c r="S2161" s="28"/>
      <c r="T2161" s="6" t="s">
        <v>6138</v>
      </c>
      <c r="U2161" s="7" t="n">
        <v>1</v>
      </c>
      <c r="V2161" s="7" t="n">
        <v>1</v>
      </c>
      <c r="W2161" s="8" t="s">
        <v>19623</v>
      </c>
      <c r="X2161" s="8" t="s">
        <v>19623</v>
      </c>
      <c r="Y2161" s="8" t="s">
        <v>18533</v>
      </c>
      <c r="Z2161" s="8" t="s">
        <v>18533</v>
      </c>
      <c r="AA2161" s="7" t="n">
        <v>616</v>
      </c>
      <c r="AB2161" s="7" t="n">
        <v>533</v>
      </c>
      <c r="AC2161" s="7" t="n">
        <v>551</v>
      </c>
      <c r="AD2161" s="7" t="n">
        <v>4</v>
      </c>
      <c r="AE2161" s="7" t="n">
        <v>4</v>
      </c>
      <c r="AF2161" s="7" t="n">
        <v>30</v>
      </c>
      <c r="AG2161" s="7" t="n">
        <v>31</v>
      </c>
      <c r="AH2161" s="7" t="n">
        <v>11</v>
      </c>
      <c r="AI2161" s="7" t="n">
        <v>11</v>
      </c>
      <c r="AJ2161" s="7" t="n">
        <v>7</v>
      </c>
      <c r="AK2161" s="7" t="n">
        <v>8</v>
      </c>
      <c r="AL2161" s="7" t="n">
        <v>21</v>
      </c>
      <c r="AM2161" s="7" t="n">
        <v>21</v>
      </c>
      <c r="AN2161" s="7" t="n">
        <v>2</v>
      </c>
      <c r="AO2161" s="7" t="n">
        <v>2</v>
      </c>
      <c r="AP2161" s="7" t="n">
        <v>0</v>
      </c>
      <c r="AQ2161" s="7" t="n">
        <v>0</v>
      </c>
      <c r="AR2161" s="6" t="s">
        <v>63</v>
      </c>
      <c r="AS2161" s="6" t="s">
        <v>57</v>
      </c>
      <c r="AT2161" s="9" t="str">
        <f aca="false">HYPERLINK("http://catalog.hathitrust.org/Record/001383435","HathiTrust Record")</f>
        <v>HathiTrust Record</v>
      </c>
      <c r="AU2161" s="9" t="str">
        <f aca="false">HYPERLINK("https://creighton-primo.hosted.exlibrisgroup.com/primo-explore/search?tab=default_tab&amp;search_scope=EVERYTHING&amp;vid=01CRU&amp;lang=en_US&amp;offset=0&amp;query=any,contains,991003391669702656","Catalog Record")</f>
        <v>Catalog Record</v>
      </c>
      <c r="AV2161" s="9" t="str">
        <f aca="false">HYPERLINK("http://www.worldcat.org/oclc/929925","WorldCat Record")</f>
        <v>WorldCat Record</v>
      </c>
      <c r="AW2161" s="6" t="s">
        <v>19635</v>
      </c>
      <c r="AX2161" s="6" t="s">
        <v>19636</v>
      </c>
      <c r="AY2161" s="6" t="s">
        <v>19637</v>
      </c>
      <c r="AZ2161" s="6" t="s">
        <v>19637</v>
      </c>
      <c r="BA2161" s="6" t="s">
        <v>19638</v>
      </c>
      <c r="BB2161" s="28"/>
      <c r="BC2161" s="6" t="s">
        <v>19639</v>
      </c>
      <c r="BE2161" s="15" t="s">
        <v>2145</v>
      </c>
      <c r="BF2161" s="6" t="s">
        <v>19640</v>
      </c>
    </row>
    <row r="2162" customFormat="false" ht="82.5" hidden="false" customHeight="false" outlineLevel="0" collapsed="false">
      <c r="A2162" s="26" t="s">
        <v>63</v>
      </c>
      <c r="B2162" s="27" t="s">
        <v>2129</v>
      </c>
      <c r="C2162" s="27" t="s">
        <v>2130</v>
      </c>
      <c r="D2162" s="27" t="s">
        <v>19641</v>
      </c>
      <c r="E2162" s="27" t="s">
        <v>19642</v>
      </c>
      <c r="F2162" s="27" t="s">
        <v>19643</v>
      </c>
      <c r="G2162" s="28"/>
      <c r="H2162" s="6" t="s">
        <v>63</v>
      </c>
      <c r="I2162" s="6" t="s">
        <v>62</v>
      </c>
      <c r="J2162" s="6" t="s">
        <v>63</v>
      </c>
      <c r="K2162" s="6" t="s">
        <v>63</v>
      </c>
      <c r="L2162" s="6" t="s">
        <v>64</v>
      </c>
      <c r="M2162" s="27" t="s">
        <v>19644</v>
      </c>
      <c r="N2162" s="27" t="s">
        <v>19645</v>
      </c>
      <c r="O2162" s="6" t="s">
        <v>2665</v>
      </c>
      <c r="P2162" s="28"/>
      <c r="Q2162" s="6" t="s">
        <v>67</v>
      </c>
      <c r="R2162" s="6" t="s">
        <v>500</v>
      </c>
      <c r="S2162" s="28"/>
      <c r="T2162" s="6" t="s">
        <v>6138</v>
      </c>
      <c r="U2162" s="7" t="n">
        <v>2</v>
      </c>
      <c r="V2162" s="7" t="n">
        <v>2</v>
      </c>
      <c r="W2162" s="8" t="s">
        <v>5920</v>
      </c>
      <c r="X2162" s="8" t="s">
        <v>5920</v>
      </c>
      <c r="Y2162" s="8" t="s">
        <v>18533</v>
      </c>
      <c r="Z2162" s="8" t="s">
        <v>18533</v>
      </c>
      <c r="AA2162" s="7" t="n">
        <v>617</v>
      </c>
      <c r="AB2162" s="7" t="n">
        <v>552</v>
      </c>
      <c r="AC2162" s="7" t="n">
        <v>601</v>
      </c>
      <c r="AD2162" s="7" t="n">
        <v>4</v>
      </c>
      <c r="AE2162" s="7" t="n">
        <v>4</v>
      </c>
      <c r="AF2162" s="7" t="n">
        <v>26</v>
      </c>
      <c r="AG2162" s="7" t="n">
        <v>29</v>
      </c>
      <c r="AH2162" s="7" t="n">
        <v>8</v>
      </c>
      <c r="AI2162" s="7" t="n">
        <v>9</v>
      </c>
      <c r="AJ2162" s="7" t="n">
        <v>7</v>
      </c>
      <c r="AK2162" s="7" t="n">
        <v>9</v>
      </c>
      <c r="AL2162" s="7" t="n">
        <v>15</v>
      </c>
      <c r="AM2162" s="7" t="n">
        <v>17</v>
      </c>
      <c r="AN2162" s="7" t="n">
        <v>3</v>
      </c>
      <c r="AO2162" s="7" t="n">
        <v>3</v>
      </c>
      <c r="AP2162" s="7" t="n">
        <v>0</v>
      </c>
      <c r="AQ2162" s="7" t="n">
        <v>0</v>
      </c>
      <c r="AR2162" s="6" t="s">
        <v>63</v>
      </c>
      <c r="AS2162" s="6" t="s">
        <v>57</v>
      </c>
      <c r="AT2162" s="9" t="str">
        <f aca="false">HYPERLINK("http://catalog.hathitrust.org/Record/001383436","HathiTrust Record")</f>
        <v>HathiTrust Record</v>
      </c>
      <c r="AU2162" s="9" t="str">
        <f aca="false">HYPERLINK("https://creighton-primo.hosted.exlibrisgroup.com/primo-explore/search?tab=default_tab&amp;search_scope=EVERYTHING&amp;vid=01CRU&amp;lang=en_US&amp;offset=0&amp;query=any,contains,991002654809702656","Catalog Record")</f>
        <v>Catalog Record</v>
      </c>
      <c r="AV2162" s="9" t="str">
        <f aca="false">HYPERLINK("http://www.worldcat.org/oclc/388362","WorldCat Record")</f>
        <v>WorldCat Record</v>
      </c>
      <c r="AW2162" s="6" t="s">
        <v>19646</v>
      </c>
      <c r="AX2162" s="6" t="s">
        <v>19647</v>
      </c>
      <c r="AY2162" s="6" t="s">
        <v>19648</v>
      </c>
      <c r="AZ2162" s="6" t="s">
        <v>19648</v>
      </c>
      <c r="BA2162" s="6" t="s">
        <v>19649</v>
      </c>
      <c r="BB2162" s="28"/>
      <c r="BC2162" s="6" t="s">
        <v>19650</v>
      </c>
      <c r="BE2162" s="15" t="s">
        <v>2145</v>
      </c>
      <c r="BF2162" s="6" t="s">
        <v>19651</v>
      </c>
    </row>
    <row r="2163" customFormat="false" ht="59.5" hidden="false" customHeight="false" outlineLevel="0" collapsed="false">
      <c r="A2163" s="26" t="s">
        <v>63</v>
      </c>
      <c r="B2163" s="27" t="s">
        <v>2129</v>
      </c>
      <c r="C2163" s="27" t="s">
        <v>2130</v>
      </c>
      <c r="D2163" s="27" t="s">
        <v>19652</v>
      </c>
      <c r="E2163" s="27" t="s">
        <v>19653</v>
      </c>
      <c r="F2163" s="27" t="s">
        <v>19654</v>
      </c>
      <c r="G2163" s="28"/>
      <c r="H2163" s="6" t="s">
        <v>63</v>
      </c>
      <c r="I2163" s="6" t="s">
        <v>62</v>
      </c>
      <c r="J2163" s="6" t="s">
        <v>63</v>
      </c>
      <c r="K2163" s="6" t="s">
        <v>63</v>
      </c>
      <c r="L2163" s="6" t="s">
        <v>64</v>
      </c>
      <c r="M2163" s="27" t="s">
        <v>9966</v>
      </c>
      <c r="N2163" s="27" t="s">
        <v>19655</v>
      </c>
      <c r="O2163" s="6" t="s">
        <v>3661</v>
      </c>
      <c r="P2163" s="28"/>
      <c r="Q2163" s="6" t="s">
        <v>67</v>
      </c>
      <c r="R2163" s="6" t="s">
        <v>123</v>
      </c>
      <c r="S2163" s="28"/>
      <c r="T2163" s="6" t="s">
        <v>6138</v>
      </c>
      <c r="U2163" s="7" t="n">
        <v>1</v>
      </c>
      <c r="V2163" s="7" t="n">
        <v>1</v>
      </c>
      <c r="W2163" s="8" t="s">
        <v>19623</v>
      </c>
      <c r="X2163" s="8" t="s">
        <v>19623</v>
      </c>
      <c r="Y2163" s="8" t="s">
        <v>18533</v>
      </c>
      <c r="Z2163" s="8" t="s">
        <v>18533</v>
      </c>
      <c r="AA2163" s="7" t="n">
        <v>526</v>
      </c>
      <c r="AB2163" s="7" t="n">
        <v>483</v>
      </c>
      <c r="AC2163" s="7" t="n">
        <v>609</v>
      </c>
      <c r="AD2163" s="7" t="n">
        <v>3</v>
      </c>
      <c r="AE2163" s="7" t="n">
        <v>4</v>
      </c>
      <c r="AF2163" s="7" t="n">
        <v>35</v>
      </c>
      <c r="AG2163" s="7" t="n">
        <v>40</v>
      </c>
      <c r="AH2163" s="7" t="n">
        <v>13</v>
      </c>
      <c r="AI2163" s="7" t="n">
        <v>15</v>
      </c>
      <c r="AJ2163" s="7" t="n">
        <v>8</v>
      </c>
      <c r="AK2163" s="7" t="n">
        <v>10</v>
      </c>
      <c r="AL2163" s="7" t="n">
        <v>24</v>
      </c>
      <c r="AM2163" s="7" t="n">
        <v>26</v>
      </c>
      <c r="AN2163" s="7" t="n">
        <v>2</v>
      </c>
      <c r="AO2163" s="7" t="n">
        <v>2</v>
      </c>
      <c r="AP2163" s="7" t="n">
        <v>0</v>
      </c>
      <c r="AQ2163" s="7" t="n">
        <v>0</v>
      </c>
      <c r="AR2163" s="6" t="s">
        <v>63</v>
      </c>
      <c r="AS2163" s="6" t="s">
        <v>57</v>
      </c>
      <c r="AT2163" s="9" t="str">
        <f aca="false">HYPERLINK("http://catalog.hathitrust.org/Record/004463239","HathiTrust Record")</f>
        <v>HathiTrust Record</v>
      </c>
      <c r="AU2163" s="9" t="str">
        <f aca="false">HYPERLINK("https://creighton-primo.hosted.exlibrisgroup.com/primo-explore/search?tab=default_tab&amp;search_scope=EVERYTHING&amp;vid=01CRU&amp;lang=en_US&amp;offset=0&amp;query=any,contains,991002566629702656","Catalog Record")</f>
        <v>Catalog Record</v>
      </c>
      <c r="AV2163" s="9" t="str">
        <f aca="false">HYPERLINK("http://www.worldcat.org/oclc/372741","WorldCat Record")</f>
        <v>WorldCat Record</v>
      </c>
      <c r="AW2163" s="6" t="s">
        <v>19656</v>
      </c>
      <c r="AX2163" s="6" t="s">
        <v>19657</v>
      </c>
      <c r="AY2163" s="6" t="s">
        <v>19658</v>
      </c>
      <c r="AZ2163" s="6" t="s">
        <v>19658</v>
      </c>
      <c r="BA2163" s="6" t="s">
        <v>19659</v>
      </c>
      <c r="BB2163" s="28"/>
      <c r="BC2163" s="6" t="s">
        <v>19660</v>
      </c>
      <c r="BE2163" s="15" t="s">
        <v>2145</v>
      </c>
      <c r="BF2163" s="6" t="s">
        <v>19661</v>
      </c>
    </row>
    <row r="2164" customFormat="false" ht="163" hidden="false" customHeight="false" outlineLevel="0" collapsed="false">
      <c r="A2164" s="26" t="s">
        <v>63</v>
      </c>
      <c r="B2164" s="27" t="s">
        <v>2129</v>
      </c>
      <c r="C2164" s="27" t="s">
        <v>2130</v>
      </c>
      <c r="D2164" s="27" t="s">
        <v>19662</v>
      </c>
      <c r="E2164" s="27" t="s">
        <v>19663</v>
      </c>
      <c r="F2164" s="27" t="s">
        <v>19664</v>
      </c>
      <c r="G2164" s="28"/>
      <c r="H2164" s="6" t="s">
        <v>63</v>
      </c>
      <c r="I2164" s="6" t="s">
        <v>62</v>
      </c>
      <c r="J2164" s="6" t="s">
        <v>63</v>
      </c>
      <c r="K2164" s="6" t="s">
        <v>63</v>
      </c>
      <c r="L2164" s="6" t="s">
        <v>64</v>
      </c>
      <c r="M2164" s="27" t="s">
        <v>18603</v>
      </c>
      <c r="N2164" s="27" t="s">
        <v>19665</v>
      </c>
      <c r="O2164" s="6" t="s">
        <v>2975</v>
      </c>
      <c r="P2164" s="28"/>
      <c r="Q2164" s="6" t="s">
        <v>67</v>
      </c>
      <c r="R2164" s="6" t="s">
        <v>181</v>
      </c>
      <c r="S2164" s="28"/>
      <c r="T2164" s="6" t="s">
        <v>6138</v>
      </c>
      <c r="U2164" s="7" t="n">
        <v>1</v>
      </c>
      <c r="V2164" s="7" t="n">
        <v>1</v>
      </c>
      <c r="W2164" s="8" t="s">
        <v>19623</v>
      </c>
      <c r="X2164" s="8" t="s">
        <v>19623</v>
      </c>
      <c r="Y2164" s="8" t="s">
        <v>18533</v>
      </c>
      <c r="Z2164" s="8" t="s">
        <v>18533</v>
      </c>
      <c r="AA2164" s="7" t="n">
        <v>279</v>
      </c>
      <c r="AB2164" s="7" t="n">
        <v>245</v>
      </c>
      <c r="AC2164" s="7" t="n">
        <v>524</v>
      </c>
      <c r="AD2164" s="7" t="n">
        <v>1</v>
      </c>
      <c r="AE2164" s="7" t="n">
        <v>3</v>
      </c>
      <c r="AF2164" s="7" t="n">
        <v>20</v>
      </c>
      <c r="AG2164" s="7" t="n">
        <v>32</v>
      </c>
      <c r="AH2164" s="7" t="n">
        <v>11</v>
      </c>
      <c r="AI2164" s="7" t="n">
        <v>13</v>
      </c>
      <c r="AJ2164" s="7" t="n">
        <v>3</v>
      </c>
      <c r="AK2164" s="7" t="n">
        <v>7</v>
      </c>
      <c r="AL2164" s="7" t="n">
        <v>13</v>
      </c>
      <c r="AM2164" s="7" t="n">
        <v>22</v>
      </c>
      <c r="AN2164" s="7" t="n">
        <v>0</v>
      </c>
      <c r="AO2164" s="7" t="n">
        <v>2</v>
      </c>
      <c r="AP2164" s="7" t="n">
        <v>0</v>
      </c>
      <c r="AQ2164" s="7" t="n">
        <v>0</v>
      </c>
      <c r="AR2164" s="6" t="s">
        <v>63</v>
      </c>
      <c r="AS2164" s="6" t="s">
        <v>57</v>
      </c>
      <c r="AT2164" s="9" t="str">
        <f aca="false">HYPERLINK("http://catalog.hathitrust.org/Record/001383443","HathiTrust Record")</f>
        <v>HathiTrust Record</v>
      </c>
      <c r="AU2164" s="9" t="str">
        <f aca="false">HYPERLINK("https://creighton-primo.hosted.exlibrisgroup.com/primo-explore/search?tab=default_tab&amp;search_scope=EVERYTHING&amp;vid=01CRU&amp;lang=en_US&amp;offset=0&amp;query=any,contains,991005436829702656","Catalog Record")</f>
        <v>Catalog Record</v>
      </c>
      <c r="AV2164" s="9" t="str">
        <f aca="false">HYPERLINK("http://www.worldcat.org/oclc/4848","WorldCat Record")</f>
        <v>WorldCat Record</v>
      </c>
      <c r="AW2164" s="6" t="s">
        <v>19666</v>
      </c>
      <c r="AX2164" s="6" t="s">
        <v>19667</v>
      </c>
      <c r="AY2164" s="6" t="s">
        <v>19668</v>
      </c>
      <c r="AZ2164" s="6" t="s">
        <v>19668</v>
      </c>
      <c r="BA2164" s="6" t="s">
        <v>19669</v>
      </c>
      <c r="BB2164" s="6" t="s">
        <v>19670</v>
      </c>
      <c r="BC2164" s="6" t="s">
        <v>19671</v>
      </c>
      <c r="BE2164" s="15" t="s">
        <v>2145</v>
      </c>
      <c r="BF2164" s="6" t="s">
        <v>19672</v>
      </c>
    </row>
    <row r="2165" customFormat="false" ht="186" hidden="false" customHeight="false" outlineLevel="0" collapsed="false">
      <c r="A2165" s="26" t="s">
        <v>63</v>
      </c>
      <c r="B2165" s="27" t="s">
        <v>2129</v>
      </c>
      <c r="C2165" s="27" t="s">
        <v>2130</v>
      </c>
      <c r="D2165" s="27" t="s">
        <v>19673</v>
      </c>
      <c r="E2165" s="27" t="s">
        <v>19674</v>
      </c>
      <c r="F2165" s="27" t="s">
        <v>19675</v>
      </c>
      <c r="G2165" s="28"/>
      <c r="H2165" s="6" t="s">
        <v>63</v>
      </c>
      <c r="I2165" s="6" t="s">
        <v>62</v>
      </c>
      <c r="J2165" s="6" t="s">
        <v>63</v>
      </c>
      <c r="K2165" s="6" t="s">
        <v>63</v>
      </c>
      <c r="L2165" s="6" t="s">
        <v>64</v>
      </c>
      <c r="M2165" s="27" t="s">
        <v>19676</v>
      </c>
      <c r="N2165" s="27" t="s">
        <v>19677</v>
      </c>
      <c r="O2165" s="6" t="s">
        <v>246</v>
      </c>
      <c r="P2165" s="28"/>
      <c r="Q2165" s="6" t="s">
        <v>67</v>
      </c>
      <c r="R2165" s="6" t="s">
        <v>2288</v>
      </c>
      <c r="S2165" s="28"/>
      <c r="T2165" s="6" t="s">
        <v>6138</v>
      </c>
      <c r="U2165" s="7" t="n">
        <v>1</v>
      </c>
      <c r="V2165" s="7" t="n">
        <v>1</v>
      </c>
      <c r="W2165" s="8" t="s">
        <v>3056</v>
      </c>
      <c r="X2165" s="8" t="s">
        <v>3056</v>
      </c>
      <c r="Y2165" s="8" t="s">
        <v>18533</v>
      </c>
      <c r="Z2165" s="8" t="s">
        <v>18533</v>
      </c>
      <c r="AA2165" s="7" t="n">
        <v>238</v>
      </c>
      <c r="AB2165" s="7" t="n">
        <v>213</v>
      </c>
      <c r="AC2165" s="7" t="n">
        <v>218</v>
      </c>
      <c r="AD2165" s="7" t="n">
        <v>1</v>
      </c>
      <c r="AE2165" s="7" t="n">
        <v>1</v>
      </c>
      <c r="AF2165" s="7" t="n">
        <v>12</v>
      </c>
      <c r="AG2165" s="7" t="n">
        <v>12</v>
      </c>
      <c r="AH2165" s="7" t="n">
        <v>1</v>
      </c>
      <c r="AI2165" s="7" t="n">
        <v>1</v>
      </c>
      <c r="AJ2165" s="7" t="n">
        <v>5</v>
      </c>
      <c r="AK2165" s="7" t="n">
        <v>5</v>
      </c>
      <c r="AL2165" s="7" t="n">
        <v>11</v>
      </c>
      <c r="AM2165" s="7" t="n">
        <v>11</v>
      </c>
      <c r="AN2165" s="7" t="n">
        <v>0</v>
      </c>
      <c r="AO2165" s="7" t="n">
        <v>0</v>
      </c>
      <c r="AP2165" s="7" t="n">
        <v>0</v>
      </c>
      <c r="AQ2165" s="7" t="n">
        <v>0</v>
      </c>
      <c r="AR2165" s="6" t="s">
        <v>63</v>
      </c>
      <c r="AS2165" s="6" t="s">
        <v>63</v>
      </c>
      <c r="AT2165" s="28"/>
      <c r="AU2165" s="9" t="str">
        <f aca="false">HYPERLINK("https://creighton-primo.hosted.exlibrisgroup.com/primo-explore/search?tab=default_tab&amp;search_scope=EVERYTHING&amp;vid=01CRU&amp;lang=en_US&amp;offset=0&amp;query=any,contains,991004763479702656","Catalog Record")</f>
        <v>Catalog Record</v>
      </c>
      <c r="AV2165" s="9" t="str">
        <f aca="false">HYPERLINK("http://www.worldcat.org/oclc/5015921","WorldCat Record")</f>
        <v>WorldCat Record</v>
      </c>
      <c r="AW2165" s="6" t="s">
        <v>19678</v>
      </c>
      <c r="AX2165" s="6" t="s">
        <v>19679</v>
      </c>
      <c r="AY2165" s="6" t="s">
        <v>19680</v>
      </c>
      <c r="AZ2165" s="6" t="s">
        <v>19680</v>
      </c>
      <c r="BA2165" s="6" t="s">
        <v>19681</v>
      </c>
      <c r="BB2165" s="6" t="s">
        <v>19682</v>
      </c>
      <c r="BC2165" s="6" t="s">
        <v>19683</v>
      </c>
      <c r="BE2165" s="15" t="s">
        <v>2145</v>
      </c>
      <c r="BF2165" s="6" t="s">
        <v>19684</v>
      </c>
    </row>
    <row r="2166" customFormat="false" ht="197.5" hidden="false" customHeight="false" outlineLevel="0" collapsed="false">
      <c r="A2166" s="26" t="s">
        <v>63</v>
      </c>
      <c r="B2166" s="27" t="s">
        <v>2129</v>
      </c>
      <c r="C2166" s="27" t="s">
        <v>2130</v>
      </c>
      <c r="D2166" s="27" t="s">
        <v>19685</v>
      </c>
      <c r="E2166" s="27" t="s">
        <v>19686</v>
      </c>
      <c r="F2166" s="27" t="s">
        <v>19687</v>
      </c>
      <c r="G2166" s="28"/>
      <c r="H2166" s="6" t="s">
        <v>63</v>
      </c>
      <c r="I2166" s="6" t="s">
        <v>62</v>
      </c>
      <c r="J2166" s="6" t="s">
        <v>63</v>
      </c>
      <c r="K2166" s="6" t="s">
        <v>63</v>
      </c>
      <c r="L2166" s="6" t="s">
        <v>64</v>
      </c>
      <c r="M2166" s="27" t="s">
        <v>19688</v>
      </c>
      <c r="N2166" s="27" t="s">
        <v>19689</v>
      </c>
      <c r="O2166" s="6" t="s">
        <v>2693</v>
      </c>
      <c r="P2166" s="28"/>
      <c r="Q2166" s="6" t="s">
        <v>67</v>
      </c>
      <c r="R2166" s="6" t="s">
        <v>1059</v>
      </c>
      <c r="S2166" s="27" t="s">
        <v>19690</v>
      </c>
      <c r="T2166" s="6" t="s">
        <v>6138</v>
      </c>
      <c r="U2166" s="7" t="n">
        <v>3</v>
      </c>
      <c r="V2166" s="7" t="n">
        <v>3</v>
      </c>
      <c r="W2166" s="8" t="s">
        <v>19691</v>
      </c>
      <c r="X2166" s="8" t="s">
        <v>19691</v>
      </c>
      <c r="Y2166" s="8" t="s">
        <v>16844</v>
      </c>
      <c r="Z2166" s="8" t="s">
        <v>16844</v>
      </c>
      <c r="AA2166" s="7" t="n">
        <v>225</v>
      </c>
      <c r="AB2166" s="7" t="n">
        <v>185</v>
      </c>
      <c r="AC2166" s="7" t="n">
        <v>192</v>
      </c>
      <c r="AD2166" s="7" t="n">
        <v>3</v>
      </c>
      <c r="AE2166" s="7" t="n">
        <v>3</v>
      </c>
      <c r="AF2166" s="7" t="n">
        <v>12</v>
      </c>
      <c r="AG2166" s="7" t="n">
        <v>12</v>
      </c>
      <c r="AH2166" s="7" t="n">
        <v>3</v>
      </c>
      <c r="AI2166" s="7" t="n">
        <v>3</v>
      </c>
      <c r="AJ2166" s="7" t="n">
        <v>4</v>
      </c>
      <c r="AK2166" s="7" t="n">
        <v>4</v>
      </c>
      <c r="AL2166" s="7" t="n">
        <v>8</v>
      </c>
      <c r="AM2166" s="7" t="n">
        <v>8</v>
      </c>
      <c r="AN2166" s="7" t="n">
        <v>2</v>
      </c>
      <c r="AO2166" s="7" t="n">
        <v>2</v>
      </c>
      <c r="AP2166" s="7" t="n">
        <v>0</v>
      </c>
      <c r="AQ2166" s="7" t="n">
        <v>0</v>
      </c>
      <c r="AR2166" s="6" t="s">
        <v>63</v>
      </c>
      <c r="AS2166" s="6" t="s">
        <v>57</v>
      </c>
      <c r="AT2166" s="9" t="str">
        <f aca="false">HYPERLINK("http://catalog.hathitrust.org/Record/000872250","HathiTrust Record")</f>
        <v>HathiTrust Record</v>
      </c>
      <c r="AU2166" s="9" t="str">
        <f aca="false">HYPERLINK("https://creighton-primo.hosted.exlibrisgroup.com/primo-explore/search?tab=default_tab&amp;search_scope=EVERYTHING&amp;vid=01CRU&amp;lang=en_US&amp;offset=0&amp;query=any,contains,991003870819702656","Catalog Record")</f>
        <v>Catalog Record</v>
      </c>
      <c r="AV2166" s="9" t="str">
        <f aca="false">HYPERLINK("http://www.worldcat.org/oclc/1692836","WorldCat Record")</f>
        <v>WorldCat Record</v>
      </c>
      <c r="AW2166" s="6" t="s">
        <v>19692</v>
      </c>
      <c r="AX2166" s="6" t="s">
        <v>19693</v>
      </c>
      <c r="AY2166" s="6" t="s">
        <v>19694</v>
      </c>
      <c r="AZ2166" s="6" t="s">
        <v>19694</v>
      </c>
      <c r="BA2166" s="6" t="s">
        <v>19695</v>
      </c>
      <c r="BB2166" s="28"/>
      <c r="BC2166" s="6" t="s">
        <v>19696</v>
      </c>
      <c r="BE2166" s="15" t="s">
        <v>2145</v>
      </c>
      <c r="BF2166" s="6" t="s">
        <v>19697</v>
      </c>
    </row>
    <row r="2167" customFormat="false" ht="71" hidden="false" customHeight="false" outlineLevel="0" collapsed="false">
      <c r="A2167" s="26" t="s">
        <v>63</v>
      </c>
      <c r="B2167" s="27" t="s">
        <v>2129</v>
      </c>
      <c r="C2167" s="27" t="s">
        <v>2130</v>
      </c>
      <c r="D2167" s="27" t="s">
        <v>19698</v>
      </c>
      <c r="E2167" s="27" t="s">
        <v>19699</v>
      </c>
      <c r="F2167" s="27" t="s">
        <v>19700</v>
      </c>
      <c r="G2167" s="28"/>
      <c r="H2167" s="6" t="s">
        <v>63</v>
      </c>
      <c r="I2167" s="6" t="s">
        <v>62</v>
      </c>
      <c r="J2167" s="6" t="s">
        <v>63</v>
      </c>
      <c r="K2167" s="6" t="s">
        <v>63</v>
      </c>
      <c r="L2167" s="6" t="s">
        <v>64</v>
      </c>
      <c r="M2167" s="27" t="s">
        <v>14688</v>
      </c>
      <c r="N2167" s="27" t="s">
        <v>8836</v>
      </c>
      <c r="O2167" s="6" t="s">
        <v>3029</v>
      </c>
      <c r="P2167" s="28"/>
      <c r="Q2167" s="6" t="s">
        <v>67</v>
      </c>
      <c r="R2167" s="6" t="s">
        <v>123</v>
      </c>
      <c r="S2167" s="28"/>
      <c r="T2167" s="6" t="s">
        <v>6138</v>
      </c>
      <c r="U2167" s="7" t="n">
        <v>3</v>
      </c>
      <c r="V2167" s="7" t="n">
        <v>3</v>
      </c>
      <c r="W2167" s="8" t="s">
        <v>19701</v>
      </c>
      <c r="X2167" s="8" t="s">
        <v>19701</v>
      </c>
      <c r="Y2167" s="8" t="s">
        <v>16844</v>
      </c>
      <c r="Z2167" s="8" t="s">
        <v>16844</v>
      </c>
      <c r="AA2167" s="7" t="n">
        <v>623</v>
      </c>
      <c r="AB2167" s="7" t="n">
        <v>552</v>
      </c>
      <c r="AC2167" s="7" t="n">
        <v>567</v>
      </c>
      <c r="AD2167" s="7" t="n">
        <v>3</v>
      </c>
      <c r="AE2167" s="7" t="n">
        <v>3</v>
      </c>
      <c r="AF2167" s="7" t="n">
        <v>33</v>
      </c>
      <c r="AG2167" s="7" t="n">
        <v>33</v>
      </c>
      <c r="AH2167" s="7" t="n">
        <v>12</v>
      </c>
      <c r="AI2167" s="7" t="n">
        <v>12</v>
      </c>
      <c r="AJ2167" s="7" t="n">
        <v>7</v>
      </c>
      <c r="AK2167" s="7" t="n">
        <v>7</v>
      </c>
      <c r="AL2167" s="7" t="n">
        <v>22</v>
      </c>
      <c r="AM2167" s="7" t="n">
        <v>22</v>
      </c>
      <c r="AN2167" s="7" t="n">
        <v>2</v>
      </c>
      <c r="AO2167" s="7" t="n">
        <v>2</v>
      </c>
      <c r="AP2167" s="7" t="n">
        <v>0</v>
      </c>
      <c r="AQ2167" s="7" t="n">
        <v>0</v>
      </c>
      <c r="AR2167" s="6" t="s">
        <v>57</v>
      </c>
      <c r="AS2167" s="6" t="s">
        <v>63</v>
      </c>
      <c r="AT2167" s="9" t="str">
        <f aca="false">HYPERLINK("http://catalog.hathitrust.org/Record/001914879","HathiTrust Record")</f>
        <v>HathiTrust Record</v>
      </c>
      <c r="AU2167" s="9" t="str">
        <f aca="false">HYPERLINK("https://creighton-primo.hosted.exlibrisgroup.com/primo-explore/search?tab=default_tab&amp;search_scope=EVERYTHING&amp;vid=01CRU&amp;lang=en_US&amp;offset=0&amp;query=any,contains,991002555479702656","Catalog Record")</f>
        <v>Catalog Record</v>
      </c>
      <c r="AV2167" s="9" t="str">
        <f aca="false">HYPERLINK("http://www.worldcat.org/oclc/371046","WorldCat Record")</f>
        <v>WorldCat Record</v>
      </c>
      <c r="AW2167" s="6" t="s">
        <v>19702</v>
      </c>
      <c r="AX2167" s="6" t="s">
        <v>19703</v>
      </c>
      <c r="AY2167" s="6" t="s">
        <v>19704</v>
      </c>
      <c r="AZ2167" s="6" t="s">
        <v>19704</v>
      </c>
      <c r="BA2167" s="6" t="s">
        <v>19705</v>
      </c>
      <c r="BB2167" s="28"/>
      <c r="BC2167" s="6" t="s">
        <v>19706</v>
      </c>
      <c r="BE2167" s="15" t="s">
        <v>2145</v>
      </c>
      <c r="BF2167" s="6" t="s">
        <v>19707</v>
      </c>
    </row>
    <row r="2168" customFormat="false" ht="163" hidden="false" customHeight="false" outlineLevel="0" collapsed="false">
      <c r="A2168" s="26" t="s">
        <v>63</v>
      </c>
      <c r="B2168" s="27" t="s">
        <v>2129</v>
      </c>
      <c r="C2168" s="27" t="s">
        <v>2130</v>
      </c>
      <c r="D2168" s="27" t="s">
        <v>19708</v>
      </c>
      <c r="E2168" s="27" t="s">
        <v>19709</v>
      </c>
      <c r="F2168" s="27" t="s">
        <v>19710</v>
      </c>
      <c r="G2168" s="28"/>
      <c r="H2168" s="6" t="s">
        <v>63</v>
      </c>
      <c r="I2168" s="6" t="s">
        <v>62</v>
      </c>
      <c r="J2168" s="6" t="s">
        <v>63</v>
      </c>
      <c r="K2168" s="6" t="s">
        <v>63</v>
      </c>
      <c r="L2168" s="6" t="s">
        <v>64</v>
      </c>
      <c r="M2168" s="27" t="s">
        <v>19711</v>
      </c>
      <c r="N2168" s="27" t="s">
        <v>19712</v>
      </c>
      <c r="O2168" s="6" t="s">
        <v>2249</v>
      </c>
      <c r="P2168" s="28"/>
      <c r="Q2168" s="6" t="s">
        <v>67</v>
      </c>
      <c r="R2168" s="6" t="s">
        <v>1059</v>
      </c>
      <c r="S2168" s="28"/>
      <c r="T2168" s="6" t="s">
        <v>6138</v>
      </c>
      <c r="U2168" s="7" t="n">
        <v>1</v>
      </c>
      <c r="V2168" s="7" t="n">
        <v>1</v>
      </c>
      <c r="W2168" s="8" t="s">
        <v>19713</v>
      </c>
      <c r="X2168" s="8" t="s">
        <v>19713</v>
      </c>
      <c r="Y2168" s="8" t="s">
        <v>19714</v>
      </c>
      <c r="Z2168" s="8" t="s">
        <v>19714</v>
      </c>
      <c r="AA2168" s="7" t="n">
        <v>414</v>
      </c>
      <c r="AB2168" s="7" t="n">
        <v>351</v>
      </c>
      <c r="AC2168" s="7" t="n">
        <v>353</v>
      </c>
      <c r="AD2168" s="7" t="n">
        <v>5</v>
      </c>
      <c r="AE2168" s="7" t="n">
        <v>5</v>
      </c>
      <c r="AF2168" s="7" t="n">
        <v>21</v>
      </c>
      <c r="AG2168" s="7" t="n">
        <v>21</v>
      </c>
      <c r="AH2168" s="7" t="n">
        <v>6</v>
      </c>
      <c r="AI2168" s="7" t="n">
        <v>6</v>
      </c>
      <c r="AJ2168" s="7" t="n">
        <v>5</v>
      </c>
      <c r="AK2168" s="7" t="n">
        <v>5</v>
      </c>
      <c r="AL2168" s="7" t="n">
        <v>12</v>
      </c>
      <c r="AM2168" s="7" t="n">
        <v>12</v>
      </c>
      <c r="AN2168" s="7" t="n">
        <v>3</v>
      </c>
      <c r="AO2168" s="7" t="n">
        <v>3</v>
      </c>
      <c r="AP2168" s="7" t="n">
        <v>0</v>
      </c>
      <c r="AQ2168" s="7" t="n">
        <v>0</v>
      </c>
      <c r="AR2168" s="6" t="s">
        <v>63</v>
      </c>
      <c r="AS2168" s="6" t="s">
        <v>63</v>
      </c>
      <c r="AT2168" s="28"/>
      <c r="AU2168" s="9" t="str">
        <f aca="false">HYPERLINK("https://creighton-primo.hosted.exlibrisgroup.com/primo-explore/search?tab=default_tab&amp;search_scope=EVERYTHING&amp;vid=01CRU&amp;lang=en_US&amp;offset=0&amp;query=any,contains,991001940009702656","Catalog Record")</f>
        <v>Catalog Record</v>
      </c>
      <c r="AV2168" s="9" t="str">
        <f aca="false">HYPERLINK("http://www.worldcat.org/oclc/24503884","WorldCat Record")</f>
        <v>WorldCat Record</v>
      </c>
      <c r="AW2168" s="6" t="s">
        <v>19715</v>
      </c>
      <c r="AX2168" s="6" t="s">
        <v>19716</v>
      </c>
      <c r="AY2168" s="6" t="s">
        <v>19717</v>
      </c>
      <c r="AZ2168" s="6" t="s">
        <v>19717</v>
      </c>
      <c r="BA2168" s="6" t="s">
        <v>19718</v>
      </c>
      <c r="BB2168" s="6" t="s">
        <v>19719</v>
      </c>
      <c r="BC2168" s="6" t="s">
        <v>19720</v>
      </c>
      <c r="BE2168" s="15" t="s">
        <v>2145</v>
      </c>
      <c r="BF2168" s="6" t="s">
        <v>19721</v>
      </c>
    </row>
    <row r="2169" customFormat="false" ht="13.8" hidden="false" customHeight="false" outlineLevel="0" collapsed="false">
      <c r="B2169" s="28" t="s">
        <v>19722</v>
      </c>
      <c r="D2169" s="28" t="s">
        <v>19723</v>
      </c>
      <c r="BE2169" s="15" t="s">
        <v>1396</v>
      </c>
    </row>
    <row r="2170" customFormat="false" ht="13.8" hidden="false" customHeight="false" outlineLevel="0" collapsed="false">
      <c r="B2170" s="28" t="s">
        <v>19724</v>
      </c>
      <c r="D2170" s="28" t="s">
        <v>19725</v>
      </c>
      <c r="BE2170" s="15" t="s">
        <v>1396</v>
      </c>
    </row>
    <row r="2171" customFormat="false" ht="13.8" hidden="false" customHeight="false" outlineLevel="0" collapsed="false">
      <c r="B2171" s="28" t="s">
        <v>19726</v>
      </c>
      <c r="D2171" s="28" t="s">
        <v>19727</v>
      </c>
      <c r="BE2171" s="15" t="s">
        <v>1396</v>
      </c>
    </row>
    <row r="2172" customFormat="false" ht="13.8" hidden="false" customHeight="false" outlineLevel="0" collapsed="false">
      <c r="B2172" s="28" t="s">
        <v>19728</v>
      </c>
      <c r="D2172" s="28" t="s">
        <v>19729</v>
      </c>
      <c r="BE2172" s="15" t="s">
        <v>1396</v>
      </c>
    </row>
    <row r="2173" customFormat="false" ht="13.8" hidden="false" customHeight="false" outlineLevel="0" collapsed="false">
      <c r="B2173" s="28" t="s">
        <v>19730</v>
      </c>
      <c r="D2173" s="28" t="s">
        <v>19731</v>
      </c>
      <c r="BE2173" s="15" t="s">
        <v>1396</v>
      </c>
    </row>
    <row r="2174" customFormat="false" ht="13.8" hidden="false" customHeight="false" outlineLevel="0" collapsed="false">
      <c r="B2174" s="28" t="s">
        <v>19732</v>
      </c>
      <c r="D2174" s="28" t="s">
        <v>19733</v>
      </c>
      <c r="BE2174" s="15" t="s">
        <v>1396</v>
      </c>
    </row>
    <row r="2175" customFormat="false" ht="13.8" hidden="false" customHeight="false" outlineLevel="0" collapsed="false">
      <c r="B2175" s="28" t="s">
        <v>19734</v>
      </c>
      <c r="D2175" s="28" t="s">
        <v>19735</v>
      </c>
      <c r="BE2175" s="15" t="s">
        <v>1396</v>
      </c>
    </row>
    <row r="2176" customFormat="false" ht="13.8" hidden="false" customHeight="false" outlineLevel="0" collapsed="false">
      <c r="B2176" s="28" t="s">
        <v>19736</v>
      </c>
      <c r="D2176" s="28" t="s">
        <v>19737</v>
      </c>
      <c r="BE2176" s="15" t="s">
        <v>1396</v>
      </c>
    </row>
    <row r="2177" customFormat="false" ht="13.8" hidden="false" customHeight="false" outlineLevel="0" collapsed="false">
      <c r="B2177" s="28" t="s">
        <v>19738</v>
      </c>
      <c r="D2177" s="28" t="s">
        <v>19739</v>
      </c>
      <c r="BE2177" s="15" t="s">
        <v>1396</v>
      </c>
    </row>
    <row r="2178" customFormat="false" ht="13.8" hidden="false" customHeight="false" outlineLevel="0" collapsed="false">
      <c r="B2178" s="28" t="s">
        <v>19740</v>
      </c>
      <c r="D2178" s="28" t="s">
        <v>19741</v>
      </c>
      <c r="BE2178" s="15" t="s">
        <v>1396</v>
      </c>
    </row>
    <row r="2179" customFormat="false" ht="13.8" hidden="false" customHeight="false" outlineLevel="0" collapsed="false">
      <c r="B2179" s="28" t="s">
        <v>19742</v>
      </c>
      <c r="D2179" s="28" t="s">
        <v>19743</v>
      </c>
      <c r="BE2179" s="15" t="s">
        <v>1396</v>
      </c>
    </row>
    <row r="2180" customFormat="false" ht="13.8" hidden="false" customHeight="false" outlineLevel="0" collapsed="false">
      <c r="B2180" s="28" t="s">
        <v>19744</v>
      </c>
      <c r="D2180" s="28" t="s">
        <v>19745</v>
      </c>
      <c r="BE2180" s="15" t="s">
        <v>1396</v>
      </c>
    </row>
    <row r="2181" customFormat="false" ht="13.8" hidden="false" customHeight="false" outlineLevel="0" collapsed="false">
      <c r="B2181" s="28" t="s">
        <v>19746</v>
      </c>
      <c r="D2181" s="28" t="s">
        <v>19747</v>
      </c>
      <c r="BE2181" s="15" t="s">
        <v>1396</v>
      </c>
    </row>
    <row r="2182" customFormat="false" ht="13.8" hidden="false" customHeight="false" outlineLevel="0" collapsed="false">
      <c r="B2182" s="28" t="s">
        <v>19748</v>
      </c>
      <c r="D2182" s="28" t="s">
        <v>19749</v>
      </c>
      <c r="BE2182" s="15" t="s">
        <v>1396</v>
      </c>
    </row>
    <row r="2183" customFormat="false" ht="13.8" hidden="false" customHeight="false" outlineLevel="0" collapsed="false">
      <c r="B2183" s="28" t="s">
        <v>19750</v>
      </c>
      <c r="D2183" s="28" t="s">
        <v>19751</v>
      </c>
      <c r="BE2183" s="15" t="s">
        <v>1396</v>
      </c>
    </row>
    <row r="2184" customFormat="false" ht="13.8" hidden="false" customHeight="false" outlineLevel="0" collapsed="false">
      <c r="B2184" s="28" t="s">
        <v>19752</v>
      </c>
      <c r="D2184" s="28" t="s">
        <v>19753</v>
      </c>
      <c r="BE2184" s="15" t="s">
        <v>1396</v>
      </c>
    </row>
    <row r="2185" customFormat="false" ht="13.8" hidden="false" customHeight="false" outlineLevel="0" collapsed="false">
      <c r="B2185" s="28" t="s">
        <v>19754</v>
      </c>
      <c r="D2185" s="28" t="s">
        <v>19755</v>
      </c>
      <c r="BE2185" s="15" t="s">
        <v>1396</v>
      </c>
    </row>
    <row r="2186" customFormat="false" ht="13.8" hidden="false" customHeight="false" outlineLevel="0" collapsed="false">
      <c r="B2186" s="28" t="s">
        <v>19756</v>
      </c>
      <c r="D2186" s="28" t="s">
        <v>19757</v>
      </c>
      <c r="BE2186" s="15" t="s">
        <v>1396</v>
      </c>
    </row>
    <row r="2187" customFormat="false" ht="13.8" hidden="false" customHeight="false" outlineLevel="0" collapsed="false">
      <c r="B2187" s="28" t="s">
        <v>19758</v>
      </c>
      <c r="D2187" s="28" t="s">
        <v>19759</v>
      </c>
      <c r="BE2187" s="15" t="s">
        <v>1396</v>
      </c>
    </row>
    <row r="2188" customFormat="false" ht="13.8" hidden="false" customHeight="false" outlineLevel="0" collapsed="false">
      <c r="B2188" s="28" t="s">
        <v>19760</v>
      </c>
      <c r="D2188" s="28" t="s">
        <v>19761</v>
      </c>
      <c r="BE2188" s="15" t="s">
        <v>1396</v>
      </c>
    </row>
    <row r="2189" customFormat="false" ht="13.8" hidden="false" customHeight="false" outlineLevel="0" collapsed="false">
      <c r="B2189" s="28" t="s">
        <v>19762</v>
      </c>
      <c r="D2189" s="28" t="s">
        <v>19763</v>
      </c>
      <c r="BE2189" s="15" t="s">
        <v>1396</v>
      </c>
    </row>
    <row r="2190" customFormat="false" ht="13.8" hidden="false" customHeight="false" outlineLevel="0" collapsed="false">
      <c r="B2190" s="28" t="s">
        <v>19764</v>
      </c>
      <c r="D2190" s="28" t="s">
        <v>19765</v>
      </c>
      <c r="BE2190" s="15" t="s">
        <v>1396</v>
      </c>
    </row>
    <row r="2191" customFormat="false" ht="13.8" hidden="false" customHeight="false" outlineLevel="0" collapsed="false">
      <c r="B2191" s="28" t="s">
        <v>19766</v>
      </c>
      <c r="D2191" s="28" t="s">
        <v>19767</v>
      </c>
      <c r="BE2191" s="15" t="s">
        <v>1396</v>
      </c>
    </row>
    <row r="2192" customFormat="false" ht="13.8" hidden="false" customHeight="false" outlineLevel="0" collapsed="false">
      <c r="B2192" s="28" t="s">
        <v>19768</v>
      </c>
      <c r="D2192" s="28" t="s">
        <v>19769</v>
      </c>
      <c r="BE2192" s="15" t="s">
        <v>1396</v>
      </c>
    </row>
    <row r="2193" customFormat="false" ht="13.8" hidden="false" customHeight="false" outlineLevel="0" collapsed="false">
      <c r="B2193" s="28" t="s">
        <v>19770</v>
      </c>
      <c r="D2193" s="28" t="s">
        <v>19771</v>
      </c>
      <c r="BE2193" s="15" t="s">
        <v>1396</v>
      </c>
    </row>
    <row r="2194" customFormat="false" ht="13.8" hidden="false" customHeight="false" outlineLevel="0" collapsed="false">
      <c r="B2194" s="28" t="s">
        <v>19772</v>
      </c>
      <c r="D2194" s="28" t="s">
        <v>19773</v>
      </c>
      <c r="BE2194" s="15" t="s">
        <v>1396</v>
      </c>
    </row>
    <row r="2195" customFormat="false" ht="13.8" hidden="false" customHeight="false" outlineLevel="0" collapsed="false">
      <c r="B2195" s="28" t="s">
        <v>19774</v>
      </c>
      <c r="D2195" s="28" t="s">
        <v>19773</v>
      </c>
      <c r="BE2195" s="15" t="s">
        <v>1396</v>
      </c>
    </row>
    <row r="2196" customFormat="false" ht="13.8" hidden="false" customHeight="false" outlineLevel="0" collapsed="false">
      <c r="B2196" s="28" t="s">
        <v>19775</v>
      </c>
      <c r="D2196" s="28" t="s">
        <v>19776</v>
      </c>
      <c r="BE2196" s="15" t="s">
        <v>1396</v>
      </c>
    </row>
    <row r="2197" customFormat="false" ht="13.8" hidden="false" customHeight="false" outlineLevel="0" collapsed="false">
      <c r="B2197" s="28" t="s">
        <v>19777</v>
      </c>
      <c r="D2197" s="28" t="s">
        <v>19778</v>
      </c>
      <c r="BE2197" s="15" t="s">
        <v>1396</v>
      </c>
    </row>
    <row r="2198" customFormat="false" ht="13.8" hidden="false" customHeight="false" outlineLevel="0" collapsed="false">
      <c r="B2198" s="28" t="s">
        <v>19779</v>
      </c>
      <c r="D2198" s="28" t="s">
        <v>19780</v>
      </c>
      <c r="BE2198" s="15" t="s">
        <v>1396</v>
      </c>
    </row>
    <row r="2199" customFormat="false" ht="13.8" hidden="false" customHeight="false" outlineLevel="0" collapsed="false">
      <c r="B2199" s="28" t="s">
        <v>19781</v>
      </c>
      <c r="D2199" s="28" t="s">
        <v>19782</v>
      </c>
      <c r="BE2199" s="15" t="s">
        <v>1396</v>
      </c>
    </row>
    <row r="2200" customFormat="false" ht="13.8" hidden="false" customHeight="false" outlineLevel="0" collapsed="false">
      <c r="B2200" s="28" t="s">
        <v>19783</v>
      </c>
      <c r="D2200" s="28" t="s">
        <v>19784</v>
      </c>
      <c r="BE2200" s="15" t="s">
        <v>1396</v>
      </c>
    </row>
    <row r="2201" customFormat="false" ht="13.8" hidden="false" customHeight="false" outlineLevel="0" collapsed="false">
      <c r="B2201" s="28" t="s">
        <v>19785</v>
      </c>
      <c r="D2201" s="28" t="s">
        <v>19786</v>
      </c>
      <c r="BE2201" s="15" t="s">
        <v>1396</v>
      </c>
    </row>
    <row r="2202" customFormat="false" ht="13.8" hidden="false" customHeight="false" outlineLevel="0" collapsed="false">
      <c r="B2202" s="28" t="s">
        <v>19787</v>
      </c>
      <c r="D2202" s="28" t="s">
        <v>19788</v>
      </c>
      <c r="BE2202" s="15" t="s">
        <v>1396</v>
      </c>
    </row>
    <row r="2203" customFormat="false" ht="13.8" hidden="false" customHeight="false" outlineLevel="0" collapsed="false">
      <c r="B2203" s="28" t="s">
        <v>19789</v>
      </c>
      <c r="D2203" s="28" t="s">
        <v>19790</v>
      </c>
      <c r="BE2203" s="15" t="s">
        <v>1396</v>
      </c>
    </row>
    <row r="2204" customFormat="false" ht="13.8" hidden="false" customHeight="false" outlineLevel="0" collapsed="false">
      <c r="B2204" s="28" t="s">
        <v>19791</v>
      </c>
      <c r="D2204" s="28" t="s">
        <v>19792</v>
      </c>
      <c r="BE2204" s="15" t="s">
        <v>1396</v>
      </c>
    </row>
    <row r="2205" customFormat="false" ht="13.8" hidden="false" customHeight="false" outlineLevel="0" collapsed="false">
      <c r="B2205" s="28" t="s">
        <v>19793</v>
      </c>
      <c r="D2205" s="28" t="s">
        <v>19794</v>
      </c>
      <c r="BE2205" s="15" t="s">
        <v>1396</v>
      </c>
    </row>
    <row r="2206" customFormat="false" ht="13.8" hidden="false" customHeight="false" outlineLevel="0" collapsed="false">
      <c r="B2206" s="28" t="s">
        <v>19795</v>
      </c>
      <c r="D2206" s="28" t="s">
        <v>19796</v>
      </c>
      <c r="BE2206" s="15" t="s">
        <v>1396</v>
      </c>
    </row>
    <row r="2207" customFormat="false" ht="13.8" hidden="false" customHeight="false" outlineLevel="0" collapsed="false">
      <c r="B2207" s="28" t="s">
        <v>19797</v>
      </c>
      <c r="D2207" s="28" t="s">
        <v>19798</v>
      </c>
      <c r="BE2207" s="15" t="s">
        <v>1396</v>
      </c>
    </row>
    <row r="2208" customFormat="false" ht="13.8" hidden="false" customHeight="false" outlineLevel="0" collapsed="false">
      <c r="B2208" s="28" t="s">
        <v>19799</v>
      </c>
      <c r="D2208" s="28" t="s">
        <v>19800</v>
      </c>
      <c r="BE2208" s="15" t="s">
        <v>1396</v>
      </c>
    </row>
    <row r="2209" customFormat="false" ht="13.8" hidden="false" customHeight="false" outlineLevel="0" collapsed="false">
      <c r="B2209" s="28" t="s">
        <v>19801</v>
      </c>
      <c r="D2209" s="28" t="s">
        <v>19802</v>
      </c>
      <c r="BE2209" s="15" t="s">
        <v>1396</v>
      </c>
    </row>
    <row r="2210" customFormat="false" ht="13.8" hidden="false" customHeight="false" outlineLevel="0" collapsed="false">
      <c r="B2210" s="28" t="s">
        <v>19803</v>
      </c>
      <c r="D2210" s="28" t="s">
        <v>19804</v>
      </c>
      <c r="BE2210" s="15" t="s">
        <v>1396</v>
      </c>
    </row>
    <row r="2211" customFormat="false" ht="13.8" hidden="false" customHeight="false" outlineLevel="0" collapsed="false">
      <c r="B2211" s="28" t="s">
        <v>19805</v>
      </c>
      <c r="D2211" s="28" t="s">
        <v>19806</v>
      </c>
      <c r="BE2211" s="15" t="s">
        <v>1396</v>
      </c>
    </row>
    <row r="2212" customFormat="false" ht="13.8" hidden="false" customHeight="false" outlineLevel="0" collapsed="false">
      <c r="B2212" s="28" t="s">
        <v>19807</v>
      </c>
      <c r="D2212" s="28" t="s">
        <v>19808</v>
      </c>
      <c r="BE2212" s="15" t="s">
        <v>1396</v>
      </c>
    </row>
    <row r="2213" customFormat="false" ht="13.8" hidden="false" customHeight="false" outlineLevel="0" collapsed="false">
      <c r="B2213" s="28" t="s">
        <v>19809</v>
      </c>
      <c r="D2213" s="28" t="s">
        <v>19810</v>
      </c>
      <c r="BE2213" s="15" t="s">
        <v>1396</v>
      </c>
    </row>
    <row r="2214" customFormat="false" ht="13.8" hidden="false" customHeight="false" outlineLevel="0" collapsed="false">
      <c r="B2214" s="28" t="s">
        <v>19811</v>
      </c>
      <c r="D2214" s="28" t="s">
        <v>19812</v>
      </c>
      <c r="BE2214" s="15" t="s">
        <v>1396</v>
      </c>
    </row>
    <row r="2215" customFormat="false" ht="13.8" hidden="false" customHeight="false" outlineLevel="0" collapsed="false">
      <c r="B2215" s="28" t="s">
        <v>19813</v>
      </c>
      <c r="D2215" s="28" t="s">
        <v>19814</v>
      </c>
      <c r="BE2215" s="15" t="s">
        <v>1396</v>
      </c>
    </row>
    <row r="2216" customFormat="false" ht="13.8" hidden="false" customHeight="false" outlineLevel="0" collapsed="false">
      <c r="B2216" s="28" t="s">
        <v>19813</v>
      </c>
      <c r="D2216" s="28" t="s">
        <v>19814</v>
      </c>
      <c r="BE2216" s="15" t="s">
        <v>1396</v>
      </c>
    </row>
    <row r="2217" customFormat="false" ht="13.8" hidden="false" customHeight="false" outlineLevel="0" collapsed="false">
      <c r="B2217" s="28" t="s">
        <v>19815</v>
      </c>
      <c r="D2217" s="28" t="s">
        <v>19816</v>
      </c>
      <c r="BE2217" s="15" t="s">
        <v>1396</v>
      </c>
    </row>
    <row r="2218" customFormat="false" ht="13.8" hidden="false" customHeight="false" outlineLevel="0" collapsed="false">
      <c r="B2218" s="28" t="s">
        <v>19817</v>
      </c>
      <c r="D2218" s="28" t="s">
        <v>19818</v>
      </c>
      <c r="BE2218" s="15" t="s">
        <v>1396</v>
      </c>
    </row>
    <row r="2219" customFormat="false" ht="13.8" hidden="false" customHeight="false" outlineLevel="0" collapsed="false">
      <c r="B2219" s="28" t="s">
        <v>19819</v>
      </c>
      <c r="D2219" s="28" t="s">
        <v>19820</v>
      </c>
      <c r="BE2219" s="15" t="s">
        <v>1396</v>
      </c>
    </row>
    <row r="2220" customFormat="false" ht="13.8" hidden="false" customHeight="false" outlineLevel="0" collapsed="false">
      <c r="B2220" s="28" t="s">
        <v>19821</v>
      </c>
      <c r="D2220" s="28" t="s">
        <v>19822</v>
      </c>
      <c r="BE2220" s="15" t="s">
        <v>1396</v>
      </c>
    </row>
    <row r="2221" customFormat="false" ht="13.8" hidden="false" customHeight="false" outlineLevel="0" collapsed="false">
      <c r="B2221" s="28" t="s">
        <v>19823</v>
      </c>
      <c r="D2221" s="28" t="s">
        <v>19824</v>
      </c>
      <c r="BE2221" s="15" t="s">
        <v>1396</v>
      </c>
    </row>
    <row r="2222" customFormat="false" ht="13.8" hidden="false" customHeight="false" outlineLevel="0" collapsed="false">
      <c r="B2222" s="28" t="s">
        <v>19825</v>
      </c>
      <c r="D2222" s="28" t="s">
        <v>19824</v>
      </c>
      <c r="BE2222" s="15" t="s">
        <v>1396</v>
      </c>
    </row>
    <row r="2223" customFormat="false" ht="13.8" hidden="false" customHeight="false" outlineLevel="0" collapsed="false">
      <c r="B2223" s="28" t="s">
        <v>19826</v>
      </c>
      <c r="D2223" s="28" t="s">
        <v>19827</v>
      </c>
      <c r="BE2223" s="15" t="s">
        <v>1396</v>
      </c>
    </row>
    <row r="2224" customFormat="false" ht="13.8" hidden="false" customHeight="false" outlineLevel="0" collapsed="false">
      <c r="B2224" s="28" t="s">
        <v>19828</v>
      </c>
      <c r="D2224" s="28" t="s">
        <v>19829</v>
      </c>
      <c r="BE2224" s="15" t="s">
        <v>1396</v>
      </c>
    </row>
    <row r="2225" customFormat="false" ht="13.8" hidden="false" customHeight="false" outlineLevel="0" collapsed="false">
      <c r="B2225" s="28" t="s">
        <v>19830</v>
      </c>
      <c r="D2225" s="28" t="s">
        <v>19831</v>
      </c>
      <c r="BE2225" s="15" t="s">
        <v>1396</v>
      </c>
    </row>
    <row r="2226" customFormat="false" ht="13.8" hidden="false" customHeight="false" outlineLevel="0" collapsed="false">
      <c r="B2226" s="28" t="s">
        <v>19832</v>
      </c>
      <c r="D2226" s="28" t="s">
        <v>19833</v>
      </c>
      <c r="BE2226" s="15" t="s">
        <v>1396</v>
      </c>
    </row>
    <row r="2227" customFormat="false" ht="13.8" hidden="false" customHeight="false" outlineLevel="0" collapsed="false">
      <c r="B2227" s="28" t="s">
        <v>19834</v>
      </c>
      <c r="D2227" s="28" t="s">
        <v>19835</v>
      </c>
      <c r="BE2227" s="15" t="s">
        <v>1396</v>
      </c>
    </row>
    <row r="2228" customFormat="false" ht="13.8" hidden="false" customHeight="false" outlineLevel="0" collapsed="false">
      <c r="B2228" s="28" t="s">
        <v>19836</v>
      </c>
      <c r="D2228" s="28" t="s">
        <v>19837</v>
      </c>
      <c r="BE2228" s="15" t="s">
        <v>1396</v>
      </c>
    </row>
    <row r="2229" customFormat="false" ht="13.8" hidden="false" customHeight="false" outlineLevel="0" collapsed="false">
      <c r="B2229" s="28" t="s">
        <v>19838</v>
      </c>
      <c r="D2229" s="28" t="s">
        <v>19839</v>
      </c>
      <c r="BE2229" s="15" t="s">
        <v>1396</v>
      </c>
    </row>
    <row r="2230" customFormat="false" ht="13.8" hidden="false" customHeight="false" outlineLevel="0" collapsed="false">
      <c r="B2230" s="28" t="s">
        <v>19840</v>
      </c>
      <c r="D2230" s="28" t="s">
        <v>19841</v>
      </c>
      <c r="BE2230" s="15" t="s">
        <v>1396</v>
      </c>
    </row>
    <row r="2231" customFormat="false" ht="13.8" hidden="false" customHeight="false" outlineLevel="0" collapsed="false">
      <c r="B2231" s="28" t="s">
        <v>19842</v>
      </c>
      <c r="D2231" s="28" t="s">
        <v>19843</v>
      </c>
      <c r="BE2231" s="15" t="s">
        <v>1396</v>
      </c>
    </row>
    <row r="2232" customFormat="false" ht="13.8" hidden="false" customHeight="false" outlineLevel="0" collapsed="false">
      <c r="B2232" s="28" t="s">
        <v>19844</v>
      </c>
      <c r="D2232" s="28" t="s">
        <v>19845</v>
      </c>
      <c r="BE2232" s="15" t="s">
        <v>1396</v>
      </c>
    </row>
    <row r="2233" customFormat="false" ht="13.8" hidden="false" customHeight="false" outlineLevel="0" collapsed="false">
      <c r="B2233" s="28" t="s">
        <v>19846</v>
      </c>
      <c r="D2233" s="28" t="s">
        <v>19847</v>
      </c>
      <c r="BE2233" s="15" t="s">
        <v>1396</v>
      </c>
    </row>
    <row r="2234" customFormat="false" ht="13.8" hidden="false" customHeight="false" outlineLevel="0" collapsed="false">
      <c r="B2234" s="28" t="s">
        <v>19848</v>
      </c>
      <c r="D2234" s="28" t="s">
        <v>19849</v>
      </c>
      <c r="BE2234" s="15" t="s">
        <v>1396</v>
      </c>
    </row>
    <row r="2235" customFormat="false" ht="13.8" hidden="false" customHeight="false" outlineLevel="0" collapsed="false">
      <c r="B2235" s="28" t="s">
        <v>19850</v>
      </c>
      <c r="D2235" s="28" t="s">
        <v>19851</v>
      </c>
      <c r="BE2235" s="15" t="s">
        <v>1396</v>
      </c>
    </row>
    <row r="2236" customFormat="false" ht="13.8" hidden="false" customHeight="false" outlineLevel="0" collapsed="false">
      <c r="B2236" s="28" t="s">
        <v>19852</v>
      </c>
      <c r="D2236" s="28" t="s">
        <v>19853</v>
      </c>
      <c r="BE2236" s="15" t="s">
        <v>1396</v>
      </c>
    </row>
    <row r="2237" customFormat="false" ht="13.8" hidden="false" customHeight="false" outlineLevel="0" collapsed="false">
      <c r="B2237" s="28" t="s">
        <v>19854</v>
      </c>
      <c r="D2237" s="28" t="s">
        <v>19855</v>
      </c>
      <c r="BE2237" s="15" t="s">
        <v>1396</v>
      </c>
    </row>
    <row r="2238" customFormat="false" ht="13.8" hidden="false" customHeight="false" outlineLevel="0" collapsed="false">
      <c r="B2238" s="28" t="s">
        <v>19856</v>
      </c>
      <c r="D2238" s="28" t="s">
        <v>19857</v>
      </c>
      <c r="BE2238" s="15" t="s">
        <v>1396</v>
      </c>
    </row>
    <row r="2239" customFormat="false" ht="13.8" hidden="false" customHeight="false" outlineLevel="0" collapsed="false">
      <c r="B2239" s="28" t="s">
        <v>19858</v>
      </c>
      <c r="D2239" s="28" t="s">
        <v>19859</v>
      </c>
      <c r="BE2239" s="15" t="s">
        <v>1396</v>
      </c>
    </row>
    <row r="2240" customFormat="false" ht="13.8" hidden="false" customHeight="false" outlineLevel="0" collapsed="false">
      <c r="B2240" s="28" t="s">
        <v>19858</v>
      </c>
      <c r="D2240" s="28" t="s">
        <v>19859</v>
      </c>
      <c r="BE2240" s="15" t="s">
        <v>1396</v>
      </c>
    </row>
    <row r="2241" customFormat="false" ht="13.8" hidden="false" customHeight="false" outlineLevel="0" collapsed="false">
      <c r="B2241" s="28" t="s">
        <v>19860</v>
      </c>
      <c r="D2241" s="28" t="s">
        <v>19861</v>
      </c>
      <c r="BE2241" s="15" t="s">
        <v>1396</v>
      </c>
    </row>
    <row r="2242" customFormat="false" ht="13.8" hidden="false" customHeight="false" outlineLevel="0" collapsed="false">
      <c r="B2242" s="28" t="s">
        <v>19862</v>
      </c>
      <c r="D2242" s="28" t="s">
        <v>19863</v>
      </c>
      <c r="BE2242" s="15" t="s">
        <v>1396</v>
      </c>
    </row>
    <row r="2243" customFormat="false" ht="13.8" hidden="false" customHeight="false" outlineLevel="0" collapsed="false">
      <c r="B2243" s="28" t="s">
        <v>19864</v>
      </c>
      <c r="D2243" s="28" t="s">
        <v>19865</v>
      </c>
      <c r="BE2243" s="15" t="s">
        <v>1396</v>
      </c>
    </row>
    <row r="2244" customFormat="false" ht="13.8" hidden="false" customHeight="false" outlineLevel="0" collapsed="false">
      <c r="B2244" s="28" t="s">
        <v>19866</v>
      </c>
      <c r="D2244" s="28" t="s">
        <v>19867</v>
      </c>
      <c r="BE2244" s="15" t="s">
        <v>1396</v>
      </c>
    </row>
    <row r="2245" customFormat="false" ht="13.8" hidden="false" customHeight="false" outlineLevel="0" collapsed="false">
      <c r="B2245" s="28" t="s">
        <v>19868</v>
      </c>
      <c r="D2245" s="28" t="s">
        <v>19869</v>
      </c>
      <c r="BE2245" s="15" t="s">
        <v>1396</v>
      </c>
    </row>
    <row r="2246" customFormat="false" ht="13.8" hidden="false" customHeight="false" outlineLevel="0" collapsed="false">
      <c r="B2246" s="28" t="s">
        <v>19870</v>
      </c>
      <c r="D2246" s="28" t="s">
        <v>19871</v>
      </c>
      <c r="BE2246" s="15" t="s">
        <v>1396</v>
      </c>
    </row>
    <row r="2247" customFormat="false" ht="13.8" hidden="false" customHeight="false" outlineLevel="0" collapsed="false">
      <c r="B2247" s="28" t="s">
        <v>19872</v>
      </c>
      <c r="D2247" s="28" t="s">
        <v>19873</v>
      </c>
      <c r="BE2247" s="15" t="s">
        <v>1396</v>
      </c>
    </row>
    <row r="2248" customFormat="false" ht="13.8" hidden="false" customHeight="false" outlineLevel="0" collapsed="false">
      <c r="B2248" s="28" t="s">
        <v>19874</v>
      </c>
      <c r="D2248" s="28" t="s">
        <v>19875</v>
      </c>
      <c r="BE2248" s="15" t="s">
        <v>1396</v>
      </c>
    </row>
    <row r="2249" customFormat="false" ht="13.8" hidden="false" customHeight="false" outlineLevel="0" collapsed="false">
      <c r="B2249" s="28" t="s">
        <v>19874</v>
      </c>
      <c r="D2249" s="28" t="s">
        <v>19875</v>
      </c>
      <c r="BE2249" s="15" t="s">
        <v>1396</v>
      </c>
    </row>
    <row r="2250" customFormat="false" ht="13.8" hidden="false" customHeight="false" outlineLevel="0" collapsed="false">
      <c r="B2250" s="28" t="s">
        <v>19876</v>
      </c>
      <c r="D2250" s="28" t="s">
        <v>19877</v>
      </c>
      <c r="BE2250" s="15" t="s">
        <v>1396</v>
      </c>
    </row>
    <row r="2251" customFormat="false" ht="13.8" hidden="false" customHeight="false" outlineLevel="0" collapsed="false">
      <c r="B2251" s="28" t="s">
        <v>19878</v>
      </c>
      <c r="D2251" s="28" t="s">
        <v>19879</v>
      </c>
      <c r="BE2251" s="15" t="s">
        <v>1396</v>
      </c>
    </row>
    <row r="2252" customFormat="false" ht="13.8" hidden="false" customHeight="false" outlineLevel="0" collapsed="false">
      <c r="B2252" s="28" t="s">
        <v>19878</v>
      </c>
      <c r="D2252" s="28" t="s">
        <v>19879</v>
      </c>
      <c r="BE2252" s="15" t="s">
        <v>1396</v>
      </c>
    </row>
    <row r="2253" customFormat="false" ht="13.8" hidden="false" customHeight="false" outlineLevel="0" collapsed="false">
      <c r="B2253" s="28" t="s">
        <v>19880</v>
      </c>
      <c r="D2253" s="28" t="s">
        <v>19881</v>
      </c>
      <c r="BE2253" s="15" t="s">
        <v>1396</v>
      </c>
    </row>
    <row r="2254" customFormat="false" ht="13.8" hidden="false" customHeight="false" outlineLevel="0" collapsed="false">
      <c r="B2254" s="28" t="s">
        <v>19882</v>
      </c>
      <c r="D2254" s="28" t="s">
        <v>19883</v>
      </c>
      <c r="BE2254" s="15" t="s">
        <v>1396</v>
      </c>
    </row>
    <row r="2255" customFormat="false" ht="13.8" hidden="false" customHeight="false" outlineLevel="0" collapsed="false">
      <c r="B2255" s="28" t="s">
        <v>19884</v>
      </c>
      <c r="D2255" s="28" t="s">
        <v>19885</v>
      </c>
      <c r="BE2255" s="15" t="s">
        <v>1396</v>
      </c>
    </row>
    <row r="2256" customFormat="false" ht="13.8" hidden="false" customHeight="false" outlineLevel="0" collapsed="false">
      <c r="B2256" s="28" t="s">
        <v>19886</v>
      </c>
      <c r="D2256" s="28" t="s">
        <v>19887</v>
      </c>
      <c r="BE2256" s="15" t="s">
        <v>1396</v>
      </c>
    </row>
    <row r="2257" customFormat="false" ht="13.8" hidden="false" customHeight="false" outlineLevel="0" collapsed="false">
      <c r="B2257" s="28" t="s">
        <v>19888</v>
      </c>
      <c r="D2257" s="28" t="s">
        <v>19889</v>
      </c>
      <c r="BE2257" s="15" t="s">
        <v>1396</v>
      </c>
    </row>
    <row r="2258" customFormat="false" ht="13.8" hidden="false" customHeight="false" outlineLevel="0" collapsed="false">
      <c r="B2258" s="28" t="s">
        <v>19890</v>
      </c>
      <c r="D2258" s="28" t="s">
        <v>19891</v>
      </c>
      <c r="BE2258" s="15" t="s">
        <v>1396</v>
      </c>
    </row>
    <row r="2259" customFormat="false" ht="13.8" hidden="false" customHeight="false" outlineLevel="0" collapsed="false">
      <c r="B2259" s="28" t="s">
        <v>19892</v>
      </c>
      <c r="D2259" s="28" t="s">
        <v>19893</v>
      </c>
      <c r="BE2259" s="15" t="s">
        <v>1396</v>
      </c>
    </row>
    <row r="2260" customFormat="false" ht="13.8" hidden="false" customHeight="false" outlineLevel="0" collapsed="false">
      <c r="B2260" s="28" t="s">
        <v>19892</v>
      </c>
      <c r="D2260" s="28" t="s">
        <v>19893</v>
      </c>
      <c r="BE2260" s="15" t="s">
        <v>1396</v>
      </c>
    </row>
    <row r="2261" customFormat="false" ht="13.8" hidden="false" customHeight="false" outlineLevel="0" collapsed="false">
      <c r="B2261" s="28" t="s">
        <v>19894</v>
      </c>
      <c r="D2261" s="28" t="s">
        <v>19895</v>
      </c>
      <c r="BE2261" s="15" t="s">
        <v>1396</v>
      </c>
    </row>
    <row r="2262" customFormat="false" ht="13.8" hidden="false" customHeight="false" outlineLevel="0" collapsed="false">
      <c r="B2262" s="28" t="s">
        <v>19894</v>
      </c>
      <c r="D2262" s="28" t="s">
        <v>19895</v>
      </c>
      <c r="BE2262" s="15" t="s">
        <v>1396</v>
      </c>
    </row>
    <row r="2263" customFormat="false" ht="13.8" hidden="false" customHeight="false" outlineLevel="0" collapsed="false">
      <c r="B2263" s="28" t="s">
        <v>19896</v>
      </c>
      <c r="D2263" s="28" t="s">
        <v>19897</v>
      </c>
      <c r="BE2263" s="15" t="s">
        <v>1396</v>
      </c>
    </row>
    <row r="2264" customFormat="false" ht="13.8" hidden="false" customHeight="false" outlineLevel="0" collapsed="false">
      <c r="B2264" s="28" t="s">
        <v>19898</v>
      </c>
      <c r="D2264" s="28" t="s">
        <v>19899</v>
      </c>
      <c r="BE2264" s="15" t="s">
        <v>1396</v>
      </c>
    </row>
    <row r="2265" customFormat="false" ht="13.8" hidden="false" customHeight="false" outlineLevel="0" collapsed="false">
      <c r="B2265" s="28" t="s">
        <v>19900</v>
      </c>
      <c r="D2265" s="28" t="s">
        <v>19901</v>
      </c>
      <c r="BE2265" s="15" t="s">
        <v>1396</v>
      </c>
    </row>
    <row r="2266" customFormat="false" ht="13.8" hidden="false" customHeight="false" outlineLevel="0" collapsed="false">
      <c r="B2266" s="28" t="s">
        <v>19902</v>
      </c>
      <c r="D2266" s="28" t="s">
        <v>19903</v>
      </c>
      <c r="BE2266" s="15" t="s">
        <v>1396</v>
      </c>
    </row>
    <row r="2267" customFormat="false" ht="13.8" hidden="false" customHeight="false" outlineLevel="0" collapsed="false">
      <c r="B2267" s="28" t="s">
        <v>19904</v>
      </c>
      <c r="D2267" s="28" t="s">
        <v>19905</v>
      </c>
      <c r="BE2267" s="15" t="s">
        <v>1396</v>
      </c>
    </row>
    <row r="2268" customFormat="false" ht="13.8" hidden="false" customHeight="false" outlineLevel="0" collapsed="false">
      <c r="B2268" s="28" t="s">
        <v>19906</v>
      </c>
      <c r="D2268" s="28" t="s">
        <v>19907</v>
      </c>
      <c r="BE2268" s="15" t="s">
        <v>1396</v>
      </c>
    </row>
    <row r="2269" customFormat="false" ht="13.8" hidden="false" customHeight="false" outlineLevel="0" collapsed="false">
      <c r="B2269" s="28" t="s">
        <v>19908</v>
      </c>
      <c r="D2269" s="28" t="s">
        <v>19909</v>
      </c>
      <c r="BE2269" s="15" t="s">
        <v>1396</v>
      </c>
    </row>
    <row r="2270" customFormat="false" ht="13.8" hidden="false" customHeight="false" outlineLevel="0" collapsed="false">
      <c r="B2270" s="28" t="s">
        <v>19910</v>
      </c>
      <c r="D2270" s="28" t="s">
        <v>19911</v>
      </c>
      <c r="BE2270" s="15" t="s">
        <v>1396</v>
      </c>
    </row>
    <row r="2271" customFormat="false" ht="13.8" hidden="false" customHeight="false" outlineLevel="0" collapsed="false">
      <c r="B2271" s="28" t="s">
        <v>19912</v>
      </c>
      <c r="D2271" s="28" t="s">
        <v>19913</v>
      </c>
      <c r="BE2271" s="15" t="s">
        <v>1396</v>
      </c>
    </row>
    <row r="2272" customFormat="false" ht="13.8" hidden="false" customHeight="false" outlineLevel="0" collapsed="false">
      <c r="B2272" s="28" t="s">
        <v>19914</v>
      </c>
      <c r="D2272" s="28" t="s">
        <v>19915</v>
      </c>
      <c r="BE2272" s="15" t="s">
        <v>1396</v>
      </c>
    </row>
    <row r="2273" customFormat="false" ht="13.8" hidden="false" customHeight="false" outlineLevel="0" collapsed="false">
      <c r="B2273" s="28" t="s">
        <v>19916</v>
      </c>
      <c r="D2273" s="28" t="s">
        <v>19917</v>
      </c>
      <c r="BE2273" s="15" t="s">
        <v>1396</v>
      </c>
    </row>
    <row r="2274" customFormat="false" ht="13.8" hidden="false" customHeight="false" outlineLevel="0" collapsed="false">
      <c r="B2274" s="28" t="s">
        <v>19916</v>
      </c>
      <c r="D2274" s="28" t="s">
        <v>19917</v>
      </c>
      <c r="BE2274" s="15" t="s">
        <v>1396</v>
      </c>
    </row>
    <row r="2275" customFormat="false" ht="13.8" hidden="false" customHeight="false" outlineLevel="0" collapsed="false">
      <c r="B2275" s="28" t="s">
        <v>19916</v>
      </c>
      <c r="D2275" s="28" t="s">
        <v>19917</v>
      </c>
      <c r="BE2275" s="15" t="s">
        <v>1396</v>
      </c>
    </row>
    <row r="2276" customFormat="false" ht="13.8" hidden="false" customHeight="false" outlineLevel="0" collapsed="false">
      <c r="B2276" s="28" t="s">
        <v>19918</v>
      </c>
      <c r="D2276" s="28" t="s">
        <v>19919</v>
      </c>
      <c r="BE2276" s="15" t="s">
        <v>1396</v>
      </c>
    </row>
    <row r="2277" customFormat="false" ht="13.8" hidden="false" customHeight="false" outlineLevel="0" collapsed="false">
      <c r="B2277" s="28" t="s">
        <v>19920</v>
      </c>
      <c r="D2277" s="28" t="s">
        <v>19921</v>
      </c>
      <c r="BE2277" s="15" t="s">
        <v>1396</v>
      </c>
    </row>
    <row r="2278" customFormat="false" ht="13.8" hidden="false" customHeight="false" outlineLevel="0" collapsed="false">
      <c r="B2278" s="28" t="s">
        <v>19922</v>
      </c>
      <c r="D2278" s="28" t="s">
        <v>19923</v>
      </c>
      <c r="BE2278" s="15" t="s">
        <v>1396</v>
      </c>
    </row>
    <row r="2279" customFormat="false" ht="13.8" hidden="false" customHeight="false" outlineLevel="0" collapsed="false">
      <c r="B2279" s="28" t="s">
        <v>19924</v>
      </c>
      <c r="D2279" s="28" t="s">
        <v>19925</v>
      </c>
      <c r="BE2279" s="15" t="s">
        <v>1396</v>
      </c>
    </row>
    <row r="2280" customFormat="false" ht="13.8" hidden="false" customHeight="false" outlineLevel="0" collapsed="false">
      <c r="B2280" s="28" t="s">
        <v>19926</v>
      </c>
      <c r="D2280" s="28" t="s">
        <v>19927</v>
      </c>
      <c r="BE2280" s="15" t="s">
        <v>1396</v>
      </c>
    </row>
    <row r="2281" customFormat="false" ht="13.8" hidden="false" customHeight="false" outlineLevel="0" collapsed="false">
      <c r="B2281" s="28" t="s">
        <v>19928</v>
      </c>
      <c r="D2281" s="28" t="s">
        <v>19929</v>
      </c>
      <c r="BE2281" s="15" t="s">
        <v>1396</v>
      </c>
    </row>
    <row r="2282" customFormat="false" ht="13.8" hidden="false" customHeight="false" outlineLevel="0" collapsed="false">
      <c r="B2282" s="28" t="s">
        <v>19930</v>
      </c>
      <c r="D2282" s="28" t="s">
        <v>19931</v>
      </c>
      <c r="BE2282" s="15" t="s">
        <v>1396</v>
      </c>
    </row>
    <row r="2283" customFormat="false" ht="13.8" hidden="false" customHeight="false" outlineLevel="0" collapsed="false">
      <c r="B2283" s="28" t="s">
        <v>19932</v>
      </c>
      <c r="D2283" s="28" t="s">
        <v>19933</v>
      </c>
      <c r="BE2283" s="15" t="s">
        <v>1396</v>
      </c>
    </row>
    <row r="2284" customFormat="false" ht="13.8" hidden="false" customHeight="false" outlineLevel="0" collapsed="false">
      <c r="B2284" s="28" t="s">
        <v>19934</v>
      </c>
      <c r="D2284" s="28" t="s">
        <v>19935</v>
      </c>
      <c r="BE2284" s="15" t="s">
        <v>1396</v>
      </c>
    </row>
    <row r="2285" customFormat="false" ht="13.8" hidden="false" customHeight="false" outlineLevel="0" collapsed="false">
      <c r="B2285" s="28" t="s">
        <v>19936</v>
      </c>
      <c r="D2285" s="28" t="s">
        <v>19937</v>
      </c>
      <c r="BE2285" s="15" t="s">
        <v>1396</v>
      </c>
    </row>
    <row r="2286" customFormat="false" ht="13.8" hidden="false" customHeight="false" outlineLevel="0" collapsed="false">
      <c r="B2286" s="28" t="s">
        <v>19938</v>
      </c>
      <c r="D2286" s="28" t="s">
        <v>19939</v>
      </c>
      <c r="BE2286" s="15" t="s">
        <v>1396</v>
      </c>
    </row>
    <row r="2287" customFormat="false" ht="13.8" hidden="false" customHeight="false" outlineLevel="0" collapsed="false">
      <c r="B2287" s="28" t="s">
        <v>19940</v>
      </c>
      <c r="D2287" s="28" t="s">
        <v>19941</v>
      </c>
      <c r="BE2287" s="15" t="s">
        <v>1396</v>
      </c>
    </row>
    <row r="2288" customFormat="false" ht="13.8" hidden="false" customHeight="false" outlineLevel="0" collapsed="false">
      <c r="B2288" s="28" t="s">
        <v>19942</v>
      </c>
      <c r="D2288" s="28" t="s">
        <v>19943</v>
      </c>
      <c r="BE2288" s="15" t="s">
        <v>1396</v>
      </c>
    </row>
    <row r="2289" customFormat="false" ht="13.8" hidden="false" customHeight="false" outlineLevel="0" collapsed="false">
      <c r="B2289" s="28" t="s">
        <v>19944</v>
      </c>
      <c r="D2289" s="28" t="s">
        <v>19945</v>
      </c>
      <c r="BE2289" s="15" t="s">
        <v>1396</v>
      </c>
    </row>
    <row r="2290" customFormat="false" ht="13.8" hidden="false" customHeight="false" outlineLevel="0" collapsed="false">
      <c r="B2290" s="28" t="s">
        <v>19946</v>
      </c>
      <c r="D2290" s="28" t="s">
        <v>19947</v>
      </c>
      <c r="BE2290" s="15" t="s">
        <v>1396</v>
      </c>
    </row>
    <row r="2291" customFormat="false" ht="13.8" hidden="false" customHeight="false" outlineLevel="0" collapsed="false">
      <c r="B2291" s="28" t="s">
        <v>19948</v>
      </c>
      <c r="D2291" s="28" t="s">
        <v>19949</v>
      </c>
      <c r="BE2291" s="15" t="s">
        <v>1396</v>
      </c>
    </row>
    <row r="2292" customFormat="false" ht="13.8" hidden="false" customHeight="false" outlineLevel="0" collapsed="false">
      <c r="B2292" s="28" t="s">
        <v>19950</v>
      </c>
      <c r="D2292" s="28" t="s">
        <v>19951</v>
      </c>
      <c r="BE2292" s="15" t="s">
        <v>1396</v>
      </c>
    </row>
    <row r="2293" customFormat="false" ht="13.8" hidden="false" customHeight="false" outlineLevel="0" collapsed="false">
      <c r="B2293" s="28" t="s">
        <v>19952</v>
      </c>
      <c r="D2293" s="28" t="s">
        <v>19953</v>
      </c>
      <c r="BE2293" s="15" t="s">
        <v>1396</v>
      </c>
    </row>
    <row r="2294" customFormat="false" ht="13.8" hidden="false" customHeight="false" outlineLevel="0" collapsed="false">
      <c r="B2294" s="28" t="s">
        <v>19954</v>
      </c>
      <c r="D2294" s="28" t="s">
        <v>19955</v>
      </c>
      <c r="BE2294" s="15" t="s">
        <v>1396</v>
      </c>
    </row>
    <row r="2295" customFormat="false" ht="13.8" hidden="false" customHeight="false" outlineLevel="0" collapsed="false">
      <c r="B2295" s="28" t="s">
        <v>19954</v>
      </c>
      <c r="D2295" s="28" t="s">
        <v>19955</v>
      </c>
      <c r="BE2295" s="15" t="s">
        <v>1396</v>
      </c>
    </row>
    <row r="2296" customFormat="false" ht="13.8" hidden="false" customHeight="false" outlineLevel="0" collapsed="false">
      <c r="B2296" s="28" t="s">
        <v>19954</v>
      </c>
      <c r="D2296" s="28" t="s">
        <v>19955</v>
      </c>
      <c r="BE2296" s="15" t="s">
        <v>1396</v>
      </c>
    </row>
    <row r="2297" customFormat="false" ht="13.8" hidden="false" customHeight="false" outlineLevel="0" collapsed="false">
      <c r="B2297" s="28" t="s">
        <v>19954</v>
      </c>
      <c r="D2297" s="28" t="s">
        <v>19955</v>
      </c>
      <c r="BE2297" s="15" t="s">
        <v>1396</v>
      </c>
    </row>
    <row r="2298" customFormat="false" ht="13.8" hidden="false" customHeight="false" outlineLevel="0" collapsed="false">
      <c r="B2298" s="28" t="s">
        <v>19954</v>
      </c>
      <c r="D2298" s="28" t="s">
        <v>19955</v>
      </c>
      <c r="BE2298" s="15" t="s">
        <v>1396</v>
      </c>
    </row>
    <row r="2299" customFormat="false" ht="13.8" hidden="false" customHeight="false" outlineLevel="0" collapsed="false">
      <c r="B2299" s="28" t="s">
        <v>19956</v>
      </c>
      <c r="D2299" s="28" t="s">
        <v>19957</v>
      </c>
      <c r="BE2299" s="15" t="s">
        <v>1396</v>
      </c>
    </row>
    <row r="2300" customFormat="false" ht="13.8" hidden="false" customHeight="false" outlineLevel="0" collapsed="false">
      <c r="B2300" s="28" t="s">
        <v>19958</v>
      </c>
      <c r="D2300" s="28" t="s">
        <v>19959</v>
      </c>
      <c r="BE2300" s="15" t="s">
        <v>1396</v>
      </c>
    </row>
    <row r="2301" customFormat="false" ht="13.8" hidden="false" customHeight="false" outlineLevel="0" collapsed="false">
      <c r="B2301" s="28" t="s">
        <v>19958</v>
      </c>
      <c r="D2301" s="28" t="s">
        <v>19959</v>
      </c>
      <c r="BE2301" s="15" t="s">
        <v>1396</v>
      </c>
    </row>
    <row r="2302" customFormat="false" ht="13.8" hidden="false" customHeight="false" outlineLevel="0" collapsed="false">
      <c r="B2302" s="28" t="s">
        <v>19958</v>
      </c>
      <c r="D2302" s="28" t="s">
        <v>19959</v>
      </c>
      <c r="BE2302" s="15" t="s">
        <v>1396</v>
      </c>
    </row>
    <row r="2303" customFormat="false" ht="13.8" hidden="false" customHeight="false" outlineLevel="0" collapsed="false">
      <c r="B2303" s="28" t="s">
        <v>19958</v>
      </c>
      <c r="D2303" s="28" t="s">
        <v>19959</v>
      </c>
      <c r="BE2303" s="15" t="s">
        <v>1396</v>
      </c>
    </row>
    <row r="2304" customFormat="false" ht="13.8" hidden="false" customHeight="false" outlineLevel="0" collapsed="false">
      <c r="B2304" s="28" t="s">
        <v>19960</v>
      </c>
      <c r="D2304" s="28" t="s">
        <v>19961</v>
      </c>
      <c r="BE2304" s="15" t="s">
        <v>1396</v>
      </c>
    </row>
    <row r="2305" customFormat="false" ht="13.8" hidden="false" customHeight="false" outlineLevel="0" collapsed="false">
      <c r="B2305" s="28" t="s">
        <v>19962</v>
      </c>
      <c r="D2305" s="28" t="s">
        <v>19963</v>
      </c>
      <c r="BE2305" s="15" t="s">
        <v>1396</v>
      </c>
    </row>
    <row r="2306" customFormat="false" ht="13.8" hidden="false" customHeight="false" outlineLevel="0" collapsed="false">
      <c r="B2306" s="28" t="s">
        <v>19964</v>
      </c>
      <c r="D2306" s="28" t="s">
        <v>19965</v>
      </c>
      <c r="BE2306" s="15" t="s">
        <v>1396</v>
      </c>
    </row>
    <row r="2307" customFormat="false" ht="13.8" hidden="false" customHeight="false" outlineLevel="0" collapsed="false">
      <c r="B2307" s="28" t="s">
        <v>19966</v>
      </c>
      <c r="D2307" s="28" t="s">
        <v>19967</v>
      </c>
      <c r="BE2307" s="15" t="s">
        <v>1396</v>
      </c>
    </row>
    <row r="2308" customFormat="false" ht="13.8" hidden="false" customHeight="false" outlineLevel="0" collapsed="false">
      <c r="B2308" s="28" t="s">
        <v>19968</v>
      </c>
      <c r="D2308" s="28" t="s">
        <v>19969</v>
      </c>
      <c r="BE2308" s="15" t="s">
        <v>1396</v>
      </c>
    </row>
    <row r="2309" customFormat="false" ht="13.8" hidden="false" customHeight="false" outlineLevel="0" collapsed="false">
      <c r="B2309" s="28" t="s">
        <v>19970</v>
      </c>
      <c r="D2309" s="28" t="s">
        <v>19971</v>
      </c>
      <c r="BE2309" s="15" t="s">
        <v>1396</v>
      </c>
    </row>
    <row r="2310" customFormat="false" ht="13.8" hidden="false" customHeight="false" outlineLevel="0" collapsed="false">
      <c r="B2310" s="28" t="s">
        <v>19970</v>
      </c>
      <c r="D2310" s="28" t="s">
        <v>19971</v>
      </c>
      <c r="BE2310" s="15" t="s">
        <v>1396</v>
      </c>
    </row>
    <row r="2311" customFormat="false" ht="13.8" hidden="false" customHeight="false" outlineLevel="0" collapsed="false">
      <c r="B2311" s="28" t="s">
        <v>19972</v>
      </c>
      <c r="D2311" s="28" t="s">
        <v>19973</v>
      </c>
      <c r="BE2311" s="15" t="s">
        <v>1396</v>
      </c>
    </row>
    <row r="2312" customFormat="false" ht="13.8" hidden="false" customHeight="false" outlineLevel="0" collapsed="false">
      <c r="B2312" s="28" t="s">
        <v>19974</v>
      </c>
      <c r="D2312" s="28" t="s">
        <v>19975</v>
      </c>
      <c r="BE2312" s="15" t="s">
        <v>1396</v>
      </c>
    </row>
    <row r="2313" customFormat="false" ht="13.8" hidden="false" customHeight="false" outlineLevel="0" collapsed="false">
      <c r="B2313" s="28" t="s">
        <v>19976</v>
      </c>
      <c r="D2313" s="28" t="s">
        <v>19977</v>
      </c>
      <c r="BE2313" s="15" t="s">
        <v>1396</v>
      </c>
    </row>
    <row r="2314" customFormat="false" ht="13.8" hidden="false" customHeight="false" outlineLevel="0" collapsed="false">
      <c r="B2314" s="28" t="s">
        <v>19978</v>
      </c>
      <c r="D2314" s="28" t="s">
        <v>19979</v>
      </c>
      <c r="BE2314" s="15" t="s">
        <v>1396</v>
      </c>
    </row>
    <row r="2315" customFormat="false" ht="13.8" hidden="false" customHeight="false" outlineLevel="0" collapsed="false">
      <c r="B2315" s="28" t="s">
        <v>19980</v>
      </c>
      <c r="D2315" s="28" t="s">
        <v>19981</v>
      </c>
      <c r="BE2315" s="15" t="s">
        <v>1396</v>
      </c>
    </row>
    <row r="2316" customFormat="false" ht="13.8" hidden="false" customHeight="false" outlineLevel="0" collapsed="false">
      <c r="B2316" s="28" t="s">
        <v>19982</v>
      </c>
      <c r="D2316" s="28" t="s">
        <v>19983</v>
      </c>
      <c r="BE2316" s="15" t="s">
        <v>1396</v>
      </c>
    </row>
    <row r="2317" customFormat="false" ht="13.8" hidden="false" customHeight="false" outlineLevel="0" collapsed="false">
      <c r="B2317" s="28" t="s">
        <v>19984</v>
      </c>
      <c r="D2317" s="28" t="s">
        <v>19985</v>
      </c>
      <c r="BE2317" s="15" t="s">
        <v>1396</v>
      </c>
    </row>
    <row r="2318" customFormat="false" ht="13.8" hidden="false" customHeight="false" outlineLevel="0" collapsed="false">
      <c r="B2318" s="28" t="s">
        <v>19986</v>
      </c>
      <c r="D2318" s="28" t="s">
        <v>19987</v>
      </c>
      <c r="BE2318" s="15" t="s">
        <v>1396</v>
      </c>
    </row>
    <row r="2319" customFormat="false" ht="13.8" hidden="false" customHeight="false" outlineLevel="0" collapsed="false">
      <c r="B2319" s="28" t="s">
        <v>19988</v>
      </c>
      <c r="D2319" s="28" t="s">
        <v>19989</v>
      </c>
      <c r="BE2319" s="15" t="s">
        <v>1396</v>
      </c>
    </row>
    <row r="2320" customFormat="false" ht="13.8" hidden="false" customHeight="false" outlineLevel="0" collapsed="false">
      <c r="B2320" s="28" t="s">
        <v>19988</v>
      </c>
      <c r="D2320" s="28" t="s">
        <v>19989</v>
      </c>
      <c r="BE2320" s="15" t="s">
        <v>1396</v>
      </c>
    </row>
    <row r="2321" customFormat="false" ht="13.8" hidden="false" customHeight="false" outlineLevel="0" collapsed="false">
      <c r="B2321" s="28" t="s">
        <v>19990</v>
      </c>
      <c r="D2321" s="28" t="s">
        <v>19991</v>
      </c>
      <c r="BE2321" s="15" t="s">
        <v>1396</v>
      </c>
    </row>
    <row r="2322" customFormat="false" ht="13.8" hidden="false" customHeight="false" outlineLevel="0" collapsed="false">
      <c r="B2322" s="28" t="s">
        <v>19992</v>
      </c>
      <c r="D2322" s="28" t="s">
        <v>19993</v>
      </c>
      <c r="BE2322" s="15" t="s">
        <v>1396</v>
      </c>
    </row>
    <row r="2323" customFormat="false" ht="13.8" hidden="false" customHeight="false" outlineLevel="0" collapsed="false">
      <c r="B2323" s="28" t="s">
        <v>19994</v>
      </c>
      <c r="D2323" s="28" t="s">
        <v>19995</v>
      </c>
      <c r="BE2323" s="15" t="s">
        <v>1396</v>
      </c>
    </row>
    <row r="2324" customFormat="false" ht="13.8" hidden="false" customHeight="false" outlineLevel="0" collapsed="false">
      <c r="B2324" s="28" t="s">
        <v>19996</v>
      </c>
      <c r="D2324" s="28" t="s">
        <v>19997</v>
      </c>
      <c r="BE2324" s="15" t="s">
        <v>1396</v>
      </c>
    </row>
    <row r="2325" customFormat="false" ht="13.8" hidden="false" customHeight="false" outlineLevel="0" collapsed="false">
      <c r="B2325" s="28" t="s">
        <v>19998</v>
      </c>
      <c r="D2325" s="28" t="s">
        <v>19999</v>
      </c>
      <c r="BE2325" s="15" t="s">
        <v>1396</v>
      </c>
    </row>
    <row r="2326" customFormat="false" ht="13.8" hidden="false" customHeight="false" outlineLevel="0" collapsed="false">
      <c r="B2326" s="28" t="s">
        <v>20000</v>
      </c>
      <c r="D2326" s="28" t="s">
        <v>20001</v>
      </c>
      <c r="BE2326" s="15" t="s">
        <v>1396</v>
      </c>
    </row>
    <row r="2327" customFormat="false" ht="13.8" hidden="false" customHeight="false" outlineLevel="0" collapsed="false">
      <c r="B2327" s="28" t="s">
        <v>20002</v>
      </c>
      <c r="D2327" s="28" t="s">
        <v>20003</v>
      </c>
      <c r="BE2327" s="15" t="s">
        <v>1396</v>
      </c>
    </row>
    <row r="2328" customFormat="false" ht="13.8" hidden="false" customHeight="false" outlineLevel="0" collapsed="false">
      <c r="B2328" s="28" t="s">
        <v>20004</v>
      </c>
      <c r="D2328" s="28" t="s">
        <v>20005</v>
      </c>
      <c r="BE2328" s="15" t="s">
        <v>1396</v>
      </c>
    </row>
    <row r="2329" customFormat="false" ht="13.8" hidden="false" customHeight="false" outlineLevel="0" collapsed="false">
      <c r="B2329" s="28" t="s">
        <v>20006</v>
      </c>
      <c r="D2329" s="28" t="s">
        <v>20007</v>
      </c>
      <c r="BE2329" s="15" t="s">
        <v>1396</v>
      </c>
    </row>
    <row r="2330" customFormat="false" ht="13.8" hidden="false" customHeight="false" outlineLevel="0" collapsed="false">
      <c r="B2330" s="28" t="s">
        <v>20008</v>
      </c>
      <c r="D2330" s="28" t="s">
        <v>20009</v>
      </c>
      <c r="BE2330" s="15" t="s">
        <v>1396</v>
      </c>
    </row>
    <row r="2331" customFormat="false" ht="13.8" hidden="false" customHeight="false" outlineLevel="0" collapsed="false">
      <c r="B2331" s="28" t="s">
        <v>20010</v>
      </c>
      <c r="D2331" s="28" t="s">
        <v>20011</v>
      </c>
      <c r="BE2331" s="15" t="s">
        <v>1396</v>
      </c>
    </row>
    <row r="2332" customFormat="false" ht="13.8" hidden="false" customHeight="false" outlineLevel="0" collapsed="false">
      <c r="B2332" s="28" t="s">
        <v>20012</v>
      </c>
      <c r="D2332" s="28" t="s">
        <v>20013</v>
      </c>
      <c r="BE2332" s="15" t="s">
        <v>1396</v>
      </c>
    </row>
    <row r="2333" customFormat="false" ht="13.8" hidden="false" customHeight="false" outlineLevel="0" collapsed="false">
      <c r="B2333" s="28" t="s">
        <v>20014</v>
      </c>
      <c r="D2333" s="28" t="s">
        <v>20015</v>
      </c>
      <c r="BE2333" s="15" t="s">
        <v>1396</v>
      </c>
    </row>
    <row r="2334" customFormat="false" ht="13.8" hidden="false" customHeight="false" outlineLevel="0" collapsed="false">
      <c r="B2334" s="28" t="s">
        <v>20016</v>
      </c>
      <c r="D2334" s="28" t="s">
        <v>20017</v>
      </c>
      <c r="BE2334" s="15" t="s">
        <v>1396</v>
      </c>
    </row>
    <row r="2335" customFormat="false" ht="13.8" hidden="false" customHeight="false" outlineLevel="0" collapsed="false">
      <c r="B2335" s="28" t="s">
        <v>20018</v>
      </c>
      <c r="D2335" s="28" t="s">
        <v>20019</v>
      </c>
      <c r="BE2335" s="15" t="s">
        <v>1396</v>
      </c>
    </row>
    <row r="2336" customFormat="false" ht="13.8" hidden="false" customHeight="false" outlineLevel="0" collapsed="false">
      <c r="B2336" s="28" t="s">
        <v>20020</v>
      </c>
      <c r="D2336" s="28" t="s">
        <v>20021</v>
      </c>
      <c r="BE2336" s="15" t="s">
        <v>1396</v>
      </c>
    </row>
    <row r="2337" customFormat="false" ht="13.8" hidden="false" customHeight="false" outlineLevel="0" collapsed="false">
      <c r="B2337" s="28" t="s">
        <v>20022</v>
      </c>
      <c r="D2337" s="28" t="s">
        <v>20023</v>
      </c>
      <c r="BE2337" s="15" t="s">
        <v>1396</v>
      </c>
    </row>
    <row r="2338" customFormat="false" ht="13.8" hidden="false" customHeight="false" outlineLevel="0" collapsed="false">
      <c r="B2338" s="28" t="s">
        <v>20024</v>
      </c>
      <c r="D2338" s="28" t="s">
        <v>20025</v>
      </c>
      <c r="BE2338" s="15" t="s">
        <v>1396</v>
      </c>
    </row>
    <row r="2339" customFormat="false" ht="13.8" hidden="false" customHeight="false" outlineLevel="0" collapsed="false">
      <c r="B2339" s="28" t="s">
        <v>20026</v>
      </c>
      <c r="D2339" s="28" t="s">
        <v>20027</v>
      </c>
      <c r="BE2339" s="15" t="s">
        <v>1396</v>
      </c>
    </row>
    <row r="2340" customFormat="false" ht="13.8" hidden="false" customHeight="false" outlineLevel="0" collapsed="false">
      <c r="B2340" s="28" t="s">
        <v>20028</v>
      </c>
      <c r="D2340" s="28" t="s">
        <v>20029</v>
      </c>
      <c r="BE2340" s="15" t="s">
        <v>1396</v>
      </c>
    </row>
    <row r="2341" customFormat="false" ht="13.8" hidden="false" customHeight="false" outlineLevel="0" collapsed="false">
      <c r="B2341" s="28" t="s">
        <v>20030</v>
      </c>
      <c r="D2341" s="28" t="s">
        <v>20031</v>
      </c>
      <c r="BE2341" s="15" t="s">
        <v>1396</v>
      </c>
    </row>
    <row r="2342" customFormat="false" ht="13.8" hidden="false" customHeight="false" outlineLevel="0" collapsed="false">
      <c r="B2342" s="28" t="s">
        <v>20032</v>
      </c>
      <c r="D2342" s="28" t="s">
        <v>20033</v>
      </c>
      <c r="BE2342" s="15" t="s">
        <v>1396</v>
      </c>
    </row>
    <row r="2343" customFormat="false" ht="13.8" hidden="false" customHeight="false" outlineLevel="0" collapsed="false">
      <c r="B2343" s="28" t="s">
        <v>20034</v>
      </c>
      <c r="D2343" s="28" t="s">
        <v>20035</v>
      </c>
      <c r="BE2343" s="15" t="s">
        <v>1396</v>
      </c>
    </row>
    <row r="2344" customFormat="false" ht="13.8" hidden="false" customHeight="false" outlineLevel="0" collapsed="false">
      <c r="B2344" s="28" t="s">
        <v>20036</v>
      </c>
      <c r="D2344" s="28" t="s">
        <v>20037</v>
      </c>
      <c r="BE2344" s="15" t="s">
        <v>1396</v>
      </c>
    </row>
    <row r="2345" customFormat="false" ht="13.8" hidden="false" customHeight="false" outlineLevel="0" collapsed="false">
      <c r="B2345" s="28" t="s">
        <v>20038</v>
      </c>
      <c r="D2345" s="28" t="s">
        <v>20039</v>
      </c>
      <c r="BE2345" s="15" t="s">
        <v>1396</v>
      </c>
    </row>
    <row r="2346" customFormat="false" ht="13.8" hidden="false" customHeight="false" outlineLevel="0" collapsed="false">
      <c r="B2346" s="28" t="s">
        <v>20040</v>
      </c>
      <c r="D2346" s="28" t="s">
        <v>20041</v>
      </c>
      <c r="BE2346" s="15" t="s">
        <v>1396</v>
      </c>
    </row>
    <row r="2347" customFormat="false" ht="13.8" hidden="false" customHeight="false" outlineLevel="0" collapsed="false">
      <c r="B2347" s="28" t="s">
        <v>20042</v>
      </c>
      <c r="D2347" s="28" t="s">
        <v>20043</v>
      </c>
      <c r="BE2347" s="15" t="s">
        <v>1396</v>
      </c>
    </row>
    <row r="2348" customFormat="false" ht="13.8" hidden="false" customHeight="false" outlineLevel="0" collapsed="false">
      <c r="B2348" s="28" t="s">
        <v>20044</v>
      </c>
      <c r="D2348" s="28" t="s">
        <v>20045</v>
      </c>
      <c r="BE2348" s="15" t="s">
        <v>1396</v>
      </c>
    </row>
    <row r="2349" customFormat="false" ht="13.8" hidden="false" customHeight="false" outlineLevel="0" collapsed="false">
      <c r="B2349" s="28" t="s">
        <v>20046</v>
      </c>
      <c r="D2349" s="28" t="s">
        <v>20047</v>
      </c>
      <c r="BE2349" s="15" t="s">
        <v>1396</v>
      </c>
    </row>
    <row r="2350" customFormat="false" ht="13.8" hidden="false" customHeight="false" outlineLevel="0" collapsed="false">
      <c r="B2350" s="28" t="s">
        <v>20048</v>
      </c>
      <c r="D2350" s="28" t="s">
        <v>20049</v>
      </c>
      <c r="BE2350" s="15" t="s">
        <v>1396</v>
      </c>
    </row>
    <row r="2351" customFormat="false" ht="13.8" hidden="false" customHeight="false" outlineLevel="0" collapsed="false">
      <c r="B2351" s="28" t="s">
        <v>20050</v>
      </c>
      <c r="D2351" s="28" t="s">
        <v>20051</v>
      </c>
      <c r="BE2351" s="15" t="s">
        <v>1396</v>
      </c>
    </row>
    <row r="2352" customFormat="false" ht="13.8" hidden="false" customHeight="false" outlineLevel="0" collapsed="false">
      <c r="B2352" s="28" t="s">
        <v>20052</v>
      </c>
      <c r="D2352" s="28" t="s">
        <v>20053</v>
      </c>
      <c r="BE2352" s="15" t="s">
        <v>1396</v>
      </c>
    </row>
    <row r="2353" customFormat="false" ht="13.8" hidden="false" customHeight="false" outlineLevel="0" collapsed="false">
      <c r="B2353" s="28" t="s">
        <v>20054</v>
      </c>
      <c r="D2353" s="28" t="s">
        <v>20055</v>
      </c>
      <c r="BE2353" s="15" t="s">
        <v>1396</v>
      </c>
    </row>
    <row r="2354" customFormat="false" ht="13.8" hidden="false" customHeight="false" outlineLevel="0" collapsed="false">
      <c r="B2354" s="28" t="s">
        <v>20056</v>
      </c>
      <c r="D2354" s="28" t="s">
        <v>20057</v>
      </c>
      <c r="BE2354" s="15" t="s">
        <v>1396</v>
      </c>
    </row>
    <row r="2355" customFormat="false" ht="13.8" hidden="false" customHeight="false" outlineLevel="0" collapsed="false">
      <c r="B2355" s="28" t="s">
        <v>20058</v>
      </c>
      <c r="D2355" s="28" t="s">
        <v>20059</v>
      </c>
      <c r="BE2355" s="15" t="s">
        <v>1396</v>
      </c>
    </row>
    <row r="2356" customFormat="false" ht="13.8" hidden="false" customHeight="false" outlineLevel="0" collapsed="false">
      <c r="B2356" s="28" t="s">
        <v>20060</v>
      </c>
      <c r="D2356" s="28" t="s">
        <v>20061</v>
      </c>
      <c r="BE2356" s="15" t="s">
        <v>1396</v>
      </c>
    </row>
    <row r="2357" customFormat="false" ht="13.8" hidden="false" customHeight="false" outlineLevel="0" collapsed="false">
      <c r="B2357" s="28" t="s">
        <v>20062</v>
      </c>
      <c r="D2357" s="28" t="s">
        <v>20063</v>
      </c>
      <c r="BE2357" s="15" t="s">
        <v>1396</v>
      </c>
    </row>
    <row r="2358" customFormat="false" ht="13.8" hidden="false" customHeight="false" outlineLevel="0" collapsed="false">
      <c r="B2358" s="28" t="s">
        <v>20064</v>
      </c>
      <c r="D2358" s="28" t="s">
        <v>20065</v>
      </c>
      <c r="BE2358" s="15" t="s">
        <v>1396</v>
      </c>
    </row>
    <row r="2359" customFormat="false" ht="13.8" hidden="false" customHeight="false" outlineLevel="0" collapsed="false">
      <c r="B2359" s="28" t="s">
        <v>20066</v>
      </c>
      <c r="D2359" s="28" t="s">
        <v>20067</v>
      </c>
      <c r="BE2359" s="15" t="s">
        <v>1396</v>
      </c>
    </row>
    <row r="2360" customFormat="false" ht="13.8" hidden="false" customHeight="false" outlineLevel="0" collapsed="false">
      <c r="B2360" s="28" t="s">
        <v>20068</v>
      </c>
      <c r="D2360" s="28" t="s">
        <v>20069</v>
      </c>
      <c r="BE2360" s="15" t="s">
        <v>1396</v>
      </c>
    </row>
    <row r="2361" customFormat="false" ht="13.8" hidden="false" customHeight="false" outlineLevel="0" collapsed="false">
      <c r="B2361" s="28" t="s">
        <v>20070</v>
      </c>
      <c r="D2361" s="28" t="s">
        <v>20071</v>
      </c>
      <c r="BE2361" s="15" t="s">
        <v>1396</v>
      </c>
    </row>
    <row r="2362" customFormat="false" ht="13.8" hidden="false" customHeight="false" outlineLevel="0" collapsed="false">
      <c r="B2362" s="28" t="s">
        <v>20072</v>
      </c>
      <c r="D2362" s="28" t="s">
        <v>20073</v>
      </c>
      <c r="BE2362" s="15" t="s">
        <v>1396</v>
      </c>
    </row>
    <row r="2363" customFormat="false" ht="13.8" hidden="false" customHeight="false" outlineLevel="0" collapsed="false">
      <c r="B2363" s="28" t="s">
        <v>20074</v>
      </c>
      <c r="D2363" s="28" t="s">
        <v>20075</v>
      </c>
      <c r="BE2363" s="15" t="s">
        <v>1396</v>
      </c>
    </row>
    <row r="2364" customFormat="false" ht="13.8" hidden="false" customHeight="false" outlineLevel="0" collapsed="false">
      <c r="B2364" s="28" t="s">
        <v>20076</v>
      </c>
      <c r="D2364" s="28" t="s">
        <v>20077</v>
      </c>
      <c r="BE2364" s="15" t="s">
        <v>1396</v>
      </c>
    </row>
    <row r="2365" customFormat="false" ht="13.8" hidden="false" customHeight="false" outlineLevel="0" collapsed="false">
      <c r="B2365" s="28" t="s">
        <v>20078</v>
      </c>
      <c r="D2365" s="28" t="s">
        <v>20079</v>
      </c>
      <c r="BE2365" s="15" t="s">
        <v>1396</v>
      </c>
    </row>
    <row r="2366" customFormat="false" ht="13.8" hidden="false" customHeight="false" outlineLevel="0" collapsed="false">
      <c r="B2366" s="28" t="s">
        <v>20080</v>
      </c>
      <c r="D2366" s="28" t="s">
        <v>20081</v>
      </c>
      <c r="BE2366" s="15" t="s">
        <v>1396</v>
      </c>
    </row>
    <row r="2367" customFormat="false" ht="13.8" hidden="false" customHeight="false" outlineLevel="0" collapsed="false">
      <c r="B2367" s="28" t="s">
        <v>20082</v>
      </c>
      <c r="D2367" s="28" t="s">
        <v>20083</v>
      </c>
      <c r="BE2367" s="15" t="s">
        <v>1396</v>
      </c>
    </row>
    <row r="2368" customFormat="false" ht="13.8" hidden="false" customHeight="false" outlineLevel="0" collapsed="false">
      <c r="B2368" s="28" t="s">
        <v>20084</v>
      </c>
      <c r="D2368" s="28" t="s">
        <v>20085</v>
      </c>
      <c r="BE2368" s="15" t="s">
        <v>1396</v>
      </c>
    </row>
    <row r="2369" customFormat="false" ht="13.8" hidden="false" customHeight="false" outlineLevel="0" collapsed="false">
      <c r="B2369" s="28" t="s">
        <v>20086</v>
      </c>
      <c r="D2369" s="28" t="s">
        <v>20087</v>
      </c>
      <c r="BE2369" s="15" t="s">
        <v>1396</v>
      </c>
    </row>
    <row r="2370" customFormat="false" ht="13.8" hidden="false" customHeight="false" outlineLevel="0" collapsed="false">
      <c r="B2370" s="28" t="s">
        <v>20088</v>
      </c>
      <c r="D2370" s="28" t="s">
        <v>20089</v>
      </c>
      <c r="BE2370" s="15" t="s">
        <v>1396</v>
      </c>
    </row>
    <row r="2371" customFormat="false" ht="13.8" hidden="false" customHeight="false" outlineLevel="0" collapsed="false">
      <c r="B2371" s="28" t="s">
        <v>20090</v>
      </c>
      <c r="D2371" s="28" t="s">
        <v>20091</v>
      </c>
      <c r="BE2371" s="15" t="s">
        <v>1396</v>
      </c>
    </row>
    <row r="2372" customFormat="false" ht="13.8" hidden="false" customHeight="false" outlineLevel="0" collapsed="false">
      <c r="B2372" s="28" t="s">
        <v>20092</v>
      </c>
      <c r="D2372" s="28" t="s">
        <v>20093</v>
      </c>
      <c r="BE2372" s="15" t="s">
        <v>1396</v>
      </c>
    </row>
    <row r="2373" customFormat="false" ht="13.8" hidden="false" customHeight="false" outlineLevel="0" collapsed="false">
      <c r="B2373" s="28" t="s">
        <v>20094</v>
      </c>
      <c r="D2373" s="28" t="s">
        <v>20095</v>
      </c>
      <c r="BE2373" s="15" t="s">
        <v>1396</v>
      </c>
    </row>
    <row r="2374" customFormat="false" ht="13.8" hidden="false" customHeight="false" outlineLevel="0" collapsed="false">
      <c r="B2374" s="28" t="s">
        <v>20096</v>
      </c>
      <c r="D2374" s="28" t="s">
        <v>20097</v>
      </c>
      <c r="BE2374" s="15" t="s">
        <v>1396</v>
      </c>
    </row>
    <row r="2375" customFormat="false" ht="13.8" hidden="false" customHeight="false" outlineLevel="0" collapsed="false">
      <c r="B2375" s="28" t="s">
        <v>20098</v>
      </c>
      <c r="D2375" s="28" t="s">
        <v>20099</v>
      </c>
      <c r="BE2375" s="15" t="s">
        <v>1396</v>
      </c>
    </row>
    <row r="2376" customFormat="false" ht="13.8" hidden="false" customHeight="false" outlineLevel="0" collapsed="false">
      <c r="B2376" s="28" t="s">
        <v>20100</v>
      </c>
      <c r="D2376" s="28" t="s">
        <v>20101</v>
      </c>
      <c r="BE2376" s="15" t="s">
        <v>1396</v>
      </c>
    </row>
    <row r="2377" customFormat="false" ht="13.8" hidden="false" customHeight="false" outlineLevel="0" collapsed="false">
      <c r="B2377" s="28" t="s">
        <v>20102</v>
      </c>
      <c r="D2377" s="28" t="s">
        <v>20103</v>
      </c>
      <c r="BE2377" s="15" t="s">
        <v>1396</v>
      </c>
    </row>
    <row r="2378" customFormat="false" ht="13.8" hidden="false" customHeight="false" outlineLevel="0" collapsed="false">
      <c r="B2378" s="28" t="s">
        <v>20104</v>
      </c>
      <c r="D2378" s="28" t="s">
        <v>20105</v>
      </c>
      <c r="BE2378" s="15" t="s">
        <v>1396</v>
      </c>
    </row>
    <row r="2379" customFormat="false" ht="13.8" hidden="false" customHeight="false" outlineLevel="0" collapsed="false">
      <c r="B2379" s="28" t="s">
        <v>20106</v>
      </c>
      <c r="D2379" s="28" t="s">
        <v>20107</v>
      </c>
      <c r="BE2379" s="15" t="s">
        <v>1396</v>
      </c>
    </row>
    <row r="2380" customFormat="false" ht="13.8" hidden="false" customHeight="false" outlineLevel="0" collapsed="false">
      <c r="B2380" s="28" t="s">
        <v>20108</v>
      </c>
      <c r="D2380" s="28" t="s">
        <v>20109</v>
      </c>
      <c r="BE2380" s="15" t="s">
        <v>1396</v>
      </c>
    </row>
    <row r="2381" customFormat="false" ht="13.8" hidden="false" customHeight="false" outlineLevel="0" collapsed="false">
      <c r="B2381" s="28" t="s">
        <v>20110</v>
      </c>
      <c r="D2381" s="28" t="s">
        <v>20111</v>
      </c>
      <c r="BE2381" s="15" t="s">
        <v>1396</v>
      </c>
    </row>
    <row r="2382" customFormat="false" ht="13.8" hidden="false" customHeight="false" outlineLevel="0" collapsed="false">
      <c r="B2382" s="28" t="s">
        <v>20112</v>
      </c>
      <c r="D2382" s="28" t="s">
        <v>20113</v>
      </c>
      <c r="BE2382" s="15" t="s">
        <v>1396</v>
      </c>
    </row>
    <row r="2383" customFormat="false" ht="13.8" hidden="false" customHeight="false" outlineLevel="0" collapsed="false">
      <c r="B2383" s="28" t="s">
        <v>20114</v>
      </c>
      <c r="D2383" s="28" t="s">
        <v>20115</v>
      </c>
      <c r="BE2383" s="15" t="s">
        <v>1396</v>
      </c>
    </row>
    <row r="2384" customFormat="false" ht="13.8" hidden="false" customHeight="false" outlineLevel="0" collapsed="false">
      <c r="B2384" s="28" t="s">
        <v>20116</v>
      </c>
      <c r="D2384" s="28" t="s">
        <v>20117</v>
      </c>
      <c r="BE2384" s="15" t="s">
        <v>1396</v>
      </c>
    </row>
    <row r="2385" customFormat="false" ht="13.8" hidden="false" customHeight="false" outlineLevel="0" collapsed="false">
      <c r="B2385" s="28" t="s">
        <v>20118</v>
      </c>
      <c r="D2385" s="28" t="s">
        <v>20119</v>
      </c>
      <c r="BE2385" s="15" t="s">
        <v>1396</v>
      </c>
    </row>
    <row r="2386" customFormat="false" ht="13.8" hidden="false" customHeight="false" outlineLevel="0" collapsed="false">
      <c r="B2386" s="28" t="s">
        <v>20120</v>
      </c>
      <c r="D2386" s="28" t="s">
        <v>20121</v>
      </c>
      <c r="BE2386" s="15" t="s">
        <v>1396</v>
      </c>
    </row>
    <row r="2387" customFormat="false" ht="13.8" hidden="false" customHeight="false" outlineLevel="0" collapsed="false">
      <c r="B2387" s="28" t="s">
        <v>20122</v>
      </c>
      <c r="D2387" s="28" t="s">
        <v>20123</v>
      </c>
      <c r="BE2387" s="15" t="s">
        <v>1396</v>
      </c>
    </row>
    <row r="2388" customFormat="false" ht="13.8" hidden="false" customHeight="false" outlineLevel="0" collapsed="false">
      <c r="B2388" s="28" t="s">
        <v>20124</v>
      </c>
      <c r="D2388" s="28" t="s">
        <v>20125</v>
      </c>
      <c r="BE2388" s="15" t="s">
        <v>1396</v>
      </c>
    </row>
    <row r="2389" customFormat="false" ht="13.8" hidden="false" customHeight="false" outlineLevel="0" collapsed="false">
      <c r="B2389" s="28" t="s">
        <v>20126</v>
      </c>
      <c r="D2389" s="28" t="s">
        <v>20127</v>
      </c>
      <c r="BE2389" s="15" t="s">
        <v>1396</v>
      </c>
    </row>
    <row r="2390" customFormat="false" ht="13.8" hidden="false" customHeight="false" outlineLevel="0" collapsed="false">
      <c r="B2390" s="28" t="s">
        <v>20128</v>
      </c>
      <c r="D2390" s="28" t="s">
        <v>20129</v>
      </c>
      <c r="BE2390" s="15" t="s">
        <v>1396</v>
      </c>
    </row>
    <row r="2391" customFormat="false" ht="13.8" hidden="false" customHeight="false" outlineLevel="0" collapsed="false">
      <c r="B2391" s="28" t="s">
        <v>20130</v>
      </c>
      <c r="D2391" s="28" t="s">
        <v>20131</v>
      </c>
      <c r="BE2391" s="15" t="s">
        <v>1396</v>
      </c>
    </row>
    <row r="2392" customFormat="false" ht="13.8" hidden="false" customHeight="false" outlineLevel="0" collapsed="false">
      <c r="B2392" s="28" t="s">
        <v>20132</v>
      </c>
      <c r="D2392" s="28" t="s">
        <v>20133</v>
      </c>
      <c r="BE2392" s="15" t="s">
        <v>1396</v>
      </c>
    </row>
    <row r="2393" customFormat="false" ht="13.8" hidden="false" customHeight="false" outlineLevel="0" collapsed="false">
      <c r="B2393" s="28" t="s">
        <v>20134</v>
      </c>
      <c r="D2393" s="28" t="s">
        <v>20135</v>
      </c>
      <c r="BE2393" s="15" t="s">
        <v>1396</v>
      </c>
    </row>
    <row r="2394" customFormat="false" ht="13.8" hidden="false" customHeight="false" outlineLevel="0" collapsed="false">
      <c r="B2394" s="28" t="s">
        <v>20136</v>
      </c>
      <c r="D2394" s="28" t="s">
        <v>20137</v>
      </c>
      <c r="BE2394" s="15" t="s">
        <v>1396</v>
      </c>
    </row>
    <row r="2395" customFormat="false" ht="13.8" hidden="false" customHeight="false" outlineLevel="0" collapsed="false">
      <c r="B2395" s="28" t="s">
        <v>20138</v>
      </c>
      <c r="D2395" s="28" t="s">
        <v>20139</v>
      </c>
      <c r="BE2395" s="15" t="s">
        <v>1396</v>
      </c>
    </row>
    <row r="2396" customFormat="false" ht="13.8" hidden="false" customHeight="false" outlineLevel="0" collapsed="false">
      <c r="B2396" s="28" t="s">
        <v>20138</v>
      </c>
      <c r="D2396" s="28" t="s">
        <v>20139</v>
      </c>
      <c r="BE2396" s="15" t="s">
        <v>1396</v>
      </c>
    </row>
    <row r="2397" customFormat="false" ht="13.8" hidden="false" customHeight="false" outlineLevel="0" collapsed="false">
      <c r="B2397" s="28" t="s">
        <v>20138</v>
      </c>
      <c r="D2397" s="28" t="s">
        <v>20139</v>
      </c>
      <c r="BE2397" s="15" t="s">
        <v>1396</v>
      </c>
    </row>
    <row r="2398" customFormat="false" ht="13.8" hidden="false" customHeight="false" outlineLevel="0" collapsed="false">
      <c r="B2398" s="28" t="s">
        <v>20138</v>
      </c>
      <c r="D2398" s="28" t="s">
        <v>20139</v>
      </c>
      <c r="BE2398" s="15" t="s">
        <v>1396</v>
      </c>
    </row>
    <row r="2399" customFormat="false" ht="13.8" hidden="false" customHeight="false" outlineLevel="0" collapsed="false">
      <c r="B2399" s="28" t="s">
        <v>20138</v>
      </c>
      <c r="D2399" s="28" t="s">
        <v>20139</v>
      </c>
      <c r="BE2399" s="15" t="s">
        <v>1396</v>
      </c>
    </row>
    <row r="2400" customFormat="false" ht="13.8" hidden="false" customHeight="false" outlineLevel="0" collapsed="false">
      <c r="B2400" s="28" t="s">
        <v>20140</v>
      </c>
      <c r="D2400" s="28" t="s">
        <v>20141</v>
      </c>
      <c r="BE2400" s="15" t="s">
        <v>1396</v>
      </c>
    </row>
    <row r="2401" customFormat="false" ht="13.8" hidden="false" customHeight="false" outlineLevel="0" collapsed="false">
      <c r="B2401" s="28" t="s">
        <v>20142</v>
      </c>
      <c r="D2401" s="28" t="s">
        <v>20143</v>
      </c>
      <c r="BE2401" s="15" t="s">
        <v>1396</v>
      </c>
    </row>
    <row r="2402" customFormat="false" ht="13.8" hidden="false" customHeight="false" outlineLevel="0" collapsed="false">
      <c r="B2402" s="28" t="s">
        <v>20144</v>
      </c>
      <c r="D2402" s="28" t="s">
        <v>20145</v>
      </c>
      <c r="BE2402" s="15" t="s">
        <v>1396</v>
      </c>
    </row>
    <row r="2403" customFormat="false" ht="13.8" hidden="false" customHeight="false" outlineLevel="0" collapsed="false">
      <c r="B2403" s="28" t="s">
        <v>20146</v>
      </c>
      <c r="D2403" s="28" t="s">
        <v>20147</v>
      </c>
      <c r="BE2403" s="15" t="s">
        <v>1396</v>
      </c>
    </row>
    <row r="2404" customFormat="false" ht="13.8" hidden="false" customHeight="false" outlineLevel="0" collapsed="false">
      <c r="B2404" s="28" t="s">
        <v>20148</v>
      </c>
      <c r="D2404" s="28" t="s">
        <v>20149</v>
      </c>
      <c r="BE2404" s="15" t="s">
        <v>1396</v>
      </c>
    </row>
    <row r="2405" customFormat="false" ht="13.8" hidden="false" customHeight="false" outlineLevel="0" collapsed="false">
      <c r="B2405" s="28" t="s">
        <v>20150</v>
      </c>
      <c r="D2405" s="28" t="s">
        <v>20151</v>
      </c>
      <c r="BE2405" s="15" t="s">
        <v>1396</v>
      </c>
    </row>
    <row r="2406" customFormat="false" ht="13.8" hidden="false" customHeight="false" outlineLevel="0" collapsed="false">
      <c r="B2406" s="28" t="s">
        <v>20152</v>
      </c>
      <c r="D2406" s="28" t="s">
        <v>20153</v>
      </c>
      <c r="BE2406" s="15" t="s">
        <v>1396</v>
      </c>
    </row>
    <row r="2407" customFormat="false" ht="13.8" hidden="false" customHeight="false" outlineLevel="0" collapsed="false">
      <c r="B2407" s="28" t="s">
        <v>20154</v>
      </c>
      <c r="D2407" s="28" t="s">
        <v>20155</v>
      </c>
      <c r="BE2407" s="15" t="s">
        <v>1396</v>
      </c>
    </row>
    <row r="2408" customFormat="false" ht="13.8" hidden="false" customHeight="false" outlineLevel="0" collapsed="false">
      <c r="B2408" s="28" t="s">
        <v>20154</v>
      </c>
      <c r="D2408" s="28" t="s">
        <v>20155</v>
      </c>
      <c r="BE2408" s="15" t="s">
        <v>1396</v>
      </c>
    </row>
    <row r="2409" customFormat="false" ht="13.8" hidden="false" customHeight="false" outlineLevel="0" collapsed="false">
      <c r="B2409" s="28" t="s">
        <v>20154</v>
      </c>
      <c r="D2409" s="28" t="s">
        <v>20155</v>
      </c>
      <c r="BE2409" s="15" t="s">
        <v>1396</v>
      </c>
    </row>
    <row r="2410" customFormat="false" ht="13.8" hidden="false" customHeight="false" outlineLevel="0" collapsed="false">
      <c r="B2410" s="28" t="s">
        <v>20154</v>
      </c>
      <c r="D2410" s="28" t="s">
        <v>20155</v>
      </c>
      <c r="BE2410" s="15" t="s">
        <v>1396</v>
      </c>
    </row>
    <row r="2411" customFormat="false" ht="13.8" hidden="false" customHeight="false" outlineLevel="0" collapsed="false">
      <c r="B2411" s="28" t="s">
        <v>20154</v>
      </c>
      <c r="D2411" s="28" t="s">
        <v>20155</v>
      </c>
      <c r="BE2411" s="15" t="s">
        <v>1396</v>
      </c>
    </row>
    <row r="2412" customFormat="false" ht="13.8" hidden="false" customHeight="false" outlineLevel="0" collapsed="false">
      <c r="B2412" s="28" t="s">
        <v>20154</v>
      </c>
      <c r="D2412" s="28" t="s">
        <v>20155</v>
      </c>
      <c r="BE2412" s="15" t="s">
        <v>1396</v>
      </c>
    </row>
    <row r="2413" customFormat="false" ht="13.8" hidden="false" customHeight="false" outlineLevel="0" collapsed="false">
      <c r="B2413" s="28" t="s">
        <v>20154</v>
      </c>
      <c r="D2413" s="28" t="s">
        <v>20155</v>
      </c>
      <c r="BE2413" s="15" t="s">
        <v>1396</v>
      </c>
    </row>
    <row r="2414" customFormat="false" ht="13.8" hidden="false" customHeight="false" outlineLevel="0" collapsed="false">
      <c r="B2414" s="28" t="s">
        <v>20156</v>
      </c>
      <c r="D2414" s="28" t="s">
        <v>20157</v>
      </c>
      <c r="BE2414" s="15" t="s">
        <v>1396</v>
      </c>
    </row>
    <row r="2415" customFormat="false" ht="13.8" hidden="false" customHeight="false" outlineLevel="0" collapsed="false">
      <c r="B2415" s="28" t="s">
        <v>20156</v>
      </c>
      <c r="D2415" s="28" t="s">
        <v>20157</v>
      </c>
      <c r="BE2415" s="15" t="s">
        <v>1396</v>
      </c>
    </row>
    <row r="2416" customFormat="false" ht="13.8" hidden="false" customHeight="false" outlineLevel="0" collapsed="false">
      <c r="B2416" s="28" t="s">
        <v>20158</v>
      </c>
      <c r="D2416" s="28" t="s">
        <v>20159</v>
      </c>
      <c r="BE2416" s="15" t="s">
        <v>1396</v>
      </c>
    </row>
    <row r="2417" customFormat="false" ht="13.8" hidden="false" customHeight="false" outlineLevel="0" collapsed="false">
      <c r="B2417" s="28" t="s">
        <v>20160</v>
      </c>
      <c r="D2417" s="28" t="s">
        <v>20161</v>
      </c>
      <c r="BE2417" s="15" t="s">
        <v>1396</v>
      </c>
    </row>
    <row r="2418" customFormat="false" ht="13.8" hidden="false" customHeight="false" outlineLevel="0" collapsed="false">
      <c r="B2418" s="28" t="s">
        <v>20162</v>
      </c>
      <c r="D2418" s="28" t="s">
        <v>20163</v>
      </c>
      <c r="BE2418" s="15" t="s">
        <v>1396</v>
      </c>
    </row>
    <row r="2419" customFormat="false" ht="13.8" hidden="false" customHeight="false" outlineLevel="0" collapsed="false">
      <c r="B2419" s="28" t="s">
        <v>20164</v>
      </c>
      <c r="D2419" s="28" t="s">
        <v>20165</v>
      </c>
      <c r="BE2419" s="15" t="s">
        <v>1396</v>
      </c>
    </row>
    <row r="2420" customFormat="false" ht="13.8" hidden="false" customHeight="false" outlineLevel="0" collapsed="false">
      <c r="B2420" s="28" t="s">
        <v>20166</v>
      </c>
      <c r="D2420" s="28" t="s">
        <v>20167</v>
      </c>
      <c r="BE2420" s="15" t="s">
        <v>1396</v>
      </c>
    </row>
    <row r="2421" customFormat="false" ht="13.8" hidden="false" customHeight="false" outlineLevel="0" collapsed="false">
      <c r="B2421" s="28" t="s">
        <v>20168</v>
      </c>
      <c r="D2421" s="28" t="s">
        <v>20169</v>
      </c>
      <c r="BE2421" s="15" t="s">
        <v>1396</v>
      </c>
    </row>
    <row r="2422" customFormat="false" ht="13.8" hidden="false" customHeight="false" outlineLevel="0" collapsed="false">
      <c r="B2422" s="28" t="s">
        <v>20170</v>
      </c>
      <c r="D2422" s="28" t="s">
        <v>20171</v>
      </c>
      <c r="BE2422" s="15" t="s">
        <v>1396</v>
      </c>
    </row>
    <row r="2423" customFormat="false" ht="13.8" hidden="false" customHeight="false" outlineLevel="0" collapsed="false">
      <c r="B2423" s="28" t="s">
        <v>20172</v>
      </c>
      <c r="D2423" s="28" t="s">
        <v>20173</v>
      </c>
      <c r="BE2423" s="15" t="s">
        <v>1396</v>
      </c>
    </row>
    <row r="2424" customFormat="false" ht="13.8" hidden="false" customHeight="false" outlineLevel="0" collapsed="false">
      <c r="B2424" s="28" t="s">
        <v>20174</v>
      </c>
      <c r="D2424" s="28" t="s">
        <v>20175</v>
      </c>
      <c r="BE2424" s="15" t="s">
        <v>1396</v>
      </c>
    </row>
    <row r="2425" customFormat="false" ht="13.8" hidden="false" customHeight="false" outlineLevel="0" collapsed="false">
      <c r="B2425" s="28" t="s">
        <v>20176</v>
      </c>
      <c r="D2425" s="28" t="s">
        <v>20177</v>
      </c>
      <c r="BE2425" s="15" t="s">
        <v>1396</v>
      </c>
    </row>
    <row r="2426" customFormat="false" ht="13.8" hidden="false" customHeight="false" outlineLevel="0" collapsed="false">
      <c r="B2426" s="28" t="s">
        <v>20178</v>
      </c>
      <c r="D2426" s="28" t="s">
        <v>20179</v>
      </c>
      <c r="BE2426" s="15" t="s">
        <v>1396</v>
      </c>
    </row>
    <row r="2427" customFormat="false" ht="13.8" hidden="false" customHeight="false" outlineLevel="0" collapsed="false">
      <c r="B2427" s="28" t="s">
        <v>20180</v>
      </c>
      <c r="D2427" s="28" t="s">
        <v>20181</v>
      </c>
      <c r="BE2427" s="15" t="s">
        <v>1396</v>
      </c>
    </row>
    <row r="2428" customFormat="false" ht="13.8" hidden="false" customHeight="false" outlineLevel="0" collapsed="false">
      <c r="B2428" s="28" t="s">
        <v>20182</v>
      </c>
      <c r="D2428" s="28" t="s">
        <v>20183</v>
      </c>
      <c r="BE2428" s="15" t="s">
        <v>1396</v>
      </c>
    </row>
    <row r="2429" customFormat="false" ht="13.8" hidden="false" customHeight="false" outlineLevel="0" collapsed="false">
      <c r="B2429" s="28" t="s">
        <v>20184</v>
      </c>
      <c r="D2429" s="28" t="s">
        <v>20185</v>
      </c>
      <c r="BE2429" s="15" t="s">
        <v>1396</v>
      </c>
    </row>
    <row r="2430" customFormat="false" ht="13.8" hidden="false" customHeight="false" outlineLevel="0" collapsed="false">
      <c r="B2430" s="28" t="s">
        <v>20186</v>
      </c>
      <c r="D2430" s="28" t="s">
        <v>20187</v>
      </c>
      <c r="BE2430" s="15" t="s">
        <v>1396</v>
      </c>
    </row>
    <row r="2431" customFormat="false" ht="13.8" hidden="false" customHeight="false" outlineLevel="0" collapsed="false">
      <c r="B2431" s="28" t="s">
        <v>20188</v>
      </c>
      <c r="D2431" s="28" t="s">
        <v>20189</v>
      </c>
      <c r="BE2431" s="15" t="s">
        <v>1396</v>
      </c>
    </row>
    <row r="2432" customFormat="false" ht="13.8" hidden="false" customHeight="false" outlineLevel="0" collapsed="false">
      <c r="B2432" s="28" t="s">
        <v>20190</v>
      </c>
      <c r="D2432" s="28" t="s">
        <v>20191</v>
      </c>
      <c r="BE2432" s="15" t="s">
        <v>1396</v>
      </c>
    </row>
    <row r="2433" customFormat="false" ht="13.8" hidden="false" customHeight="false" outlineLevel="0" collapsed="false">
      <c r="B2433" s="28" t="s">
        <v>20192</v>
      </c>
      <c r="D2433" s="28" t="s">
        <v>20193</v>
      </c>
      <c r="BE2433" s="15" t="s">
        <v>1396</v>
      </c>
    </row>
    <row r="2434" customFormat="false" ht="13.8" hidden="false" customHeight="false" outlineLevel="0" collapsed="false">
      <c r="B2434" s="28" t="s">
        <v>20194</v>
      </c>
      <c r="D2434" s="28" t="s">
        <v>20195</v>
      </c>
      <c r="BE2434" s="15" t="s">
        <v>1396</v>
      </c>
    </row>
    <row r="2435" customFormat="false" ht="13.8" hidden="false" customHeight="false" outlineLevel="0" collapsed="false">
      <c r="B2435" s="28" t="s">
        <v>20196</v>
      </c>
      <c r="D2435" s="28" t="s">
        <v>20197</v>
      </c>
      <c r="BE2435" s="15" t="s">
        <v>1396</v>
      </c>
    </row>
    <row r="2436" customFormat="false" ht="13.8" hidden="false" customHeight="false" outlineLevel="0" collapsed="false">
      <c r="B2436" s="28" t="s">
        <v>20198</v>
      </c>
      <c r="D2436" s="28" t="s">
        <v>20199</v>
      </c>
      <c r="BE2436" s="15" t="s">
        <v>1396</v>
      </c>
    </row>
    <row r="2437" customFormat="false" ht="13.8" hidden="false" customHeight="false" outlineLevel="0" collapsed="false">
      <c r="B2437" s="28" t="s">
        <v>20200</v>
      </c>
      <c r="D2437" s="28" t="s">
        <v>20201</v>
      </c>
      <c r="BE2437" s="15" t="s">
        <v>1396</v>
      </c>
    </row>
    <row r="2438" customFormat="false" ht="13.8" hidden="false" customHeight="false" outlineLevel="0" collapsed="false">
      <c r="B2438" s="28" t="s">
        <v>20202</v>
      </c>
      <c r="D2438" s="28" t="s">
        <v>20203</v>
      </c>
      <c r="BE2438" s="15" t="s">
        <v>1396</v>
      </c>
    </row>
    <row r="2439" customFormat="false" ht="13.8" hidden="false" customHeight="false" outlineLevel="0" collapsed="false">
      <c r="B2439" s="28" t="s">
        <v>20204</v>
      </c>
      <c r="D2439" s="28" t="s">
        <v>20205</v>
      </c>
      <c r="BE2439" s="15" t="s">
        <v>1396</v>
      </c>
    </row>
    <row r="2440" customFormat="false" ht="13.8" hidden="false" customHeight="false" outlineLevel="0" collapsed="false">
      <c r="B2440" s="28" t="s">
        <v>20206</v>
      </c>
      <c r="D2440" s="28" t="s">
        <v>20207</v>
      </c>
      <c r="BE2440" s="15" t="s">
        <v>1396</v>
      </c>
    </row>
    <row r="2441" customFormat="false" ht="13.8" hidden="false" customHeight="false" outlineLevel="0" collapsed="false">
      <c r="B2441" s="28" t="s">
        <v>20208</v>
      </c>
      <c r="D2441" s="28" t="s">
        <v>20209</v>
      </c>
      <c r="BE2441" s="15" t="s">
        <v>1396</v>
      </c>
    </row>
    <row r="2442" customFormat="false" ht="13.8" hidden="false" customHeight="false" outlineLevel="0" collapsed="false">
      <c r="B2442" s="28" t="s">
        <v>20210</v>
      </c>
      <c r="D2442" s="28" t="s">
        <v>20211</v>
      </c>
      <c r="BE2442" s="15" t="s">
        <v>1396</v>
      </c>
    </row>
    <row r="2443" customFormat="false" ht="13.8" hidden="false" customHeight="false" outlineLevel="0" collapsed="false">
      <c r="B2443" s="28" t="s">
        <v>20212</v>
      </c>
      <c r="D2443" s="28" t="s">
        <v>20213</v>
      </c>
      <c r="BE2443" s="15" t="s">
        <v>1396</v>
      </c>
    </row>
    <row r="2444" customFormat="false" ht="13.8" hidden="false" customHeight="false" outlineLevel="0" collapsed="false">
      <c r="B2444" s="28" t="s">
        <v>20214</v>
      </c>
      <c r="D2444" s="28" t="s">
        <v>20215</v>
      </c>
      <c r="BE2444" s="15" t="s">
        <v>1396</v>
      </c>
    </row>
    <row r="2445" customFormat="false" ht="13.8" hidden="false" customHeight="false" outlineLevel="0" collapsed="false">
      <c r="B2445" s="28" t="s">
        <v>20216</v>
      </c>
      <c r="D2445" s="28" t="s">
        <v>20217</v>
      </c>
      <c r="BE2445" s="15" t="s">
        <v>1396</v>
      </c>
    </row>
    <row r="2446" customFormat="false" ht="13.8" hidden="false" customHeight="false" outlineLevel="0" collapsed="false">
      <c r="B2446" s="28" t="s">
        <v>20218</v>
      </c>
      <c r="D2446" s="28" t="s">
        <v>20219</v>
      </c>
      <c r="BE2446" s="15" t="s">
        <v>1396</v>
      </c>
    </row>
    <row r="2447" customFormat="false" ht="13.8" hidden="false" customHeight="false" outlineLevel="0" collapsed="false">
      <c r="B2447" s="28" t="s">
        <v>20220</v>
      </c>
      <c r="D2447" s="28" t="s">
        <v>20221</v>
      </c>
      <c r="BE2447" s="15" t="s">
        <v>1396</v>
      </c>
    </row>
    <row r="2448" customFormat="false" ht="13.8" hidden="false" customHeight="false" outlineLevel="0" collapsed="false">
      <c r="B2448" s="28" t="s">
        <v>20222</v>
      </c>
      <c r="D2448" s="28" t="s">
        <v>20223</v>
      </c>
      <c r="BE2448" s="15" t="s">
        <v>1396</v>
      </c>
    </row>
    <row r="2449" customFormat="false" ht="13.8" hidden="false" customHeight="false" outlineLevel="0" collapsed="false">
      <c r="B2449" s="28" t="s">
        <v>20224</v>
      </c>
      <c r="D2449" s="28" t="s">
        <v>20225</v>
      </c>
      <c r="BE2449" s="15" t="s">
        <v>1396</v>
      </c>
    </row>
    <row r="2450" customFormat="false" ht="13.8" hidden="false" customHeight="false" outlineLevel="0" collapsed="false">
      <c r="B2450" s="28" t="s">
        <v>20226</v>
      </c>
      <c r="D2450" s="28" t="s">
        <v>20227</v>
      </c>
      <c r="BE2450" s="15" t="s">
        <v>1396</v>
      </c>
    </row>
    <row r="2451" customFormat="false" ht="13.8" hidden="false" customHeight="false" outlineLevel="0" collapsed="false">
      <c r="B2451" s="28" t="s">
        <v>20228</v>
      </c>
      <c r="D2451" s="28" t="s">
        <v>20229</v>
      </c>
      <c r="BE2451" s="15" t="s">
        <v>1396</v>
      </c>
    </row>
    <row r="2452" customFormat="false" ht="13.8" hidden="false" customHeight="false" outlineLevel="0" collapsed="false">
      <c r="B2452" s="28" t="s">
        <v>20230</v>
      </c>
      <c r="D2452" s="28" t="s">
        <v>20231</v>
      </c>
      <c r="BE2452" s="15" t="s">
        <v>1396</v>
      </c>
    </row>
    <row r="2453" customFormat="false" ht="13.8" hidden="false" customHeight="false" outlineLevel="0" collapsed="false">
      <c r="B2453" s="28" t="s">
        <v>20232</v>
      </c>
      <c r="D2453" s="28" t="s">
        <v>20233</v>
      </c>
      <c r="BE2453" s="15" t="s">
        <v>1396</v>
      </c>
    </row>
    <row r="2454" customFormat="false" ht="13.8" hidden="false" customHeight="false" outlineLevel="0" collapsed="false">
      <c r="B2454" s="28" t="s">
        <v>20234</v>
      </c>
      <c r="D2454" s="28" t="s">
        <v>20235</v>
      </c>
      <c r="BE2454" s="15" t="s">
        <v>1396</v>
      </c>
    </row>
    <row r="2455" customFormat="false" ht="13.8" hidden="false" customHeight="false" outlineLevel="0" collapsed="false">
      <c r="B2455" s="28" t="s">
        <v>20236</v>
      </c>
      <c r="D2455" s="28" t="s">
        <v>20237</v>
      </c>
      <c r="BE2455" s="15" t="s">
        <v>1396</v>
      </c>
    </row>
    <row r="2456" customFormat="false" ht="13.8" hidden="false" customHeight="false" outlineLevel="0" collapsed="false">
      <c r="B2456" s="28" t="s">
        <v>20238</v>
      </c>
      <c r="D2456" s="28" t="s">
        <v>20239</v>
      </c>
      <c r="BE2456" s="15" t="s">
        <v>1396</v>
      </c>
    </row>
    <row r="2457" customFormat="false" ht="13.8" hidden="false" customHeight="false" outlineLevel="0" collapsed="false">
      <c r="B2457" s="28" t="s">
        <v>20240</v>
      </c>
      <c r="D2457" s="28" t="s">
        <v>20241</v>
      </c>
      <c r="BE2457" s="15" t="s">
        <v>1396</v>
      </c>
    </row>
    <row r="2458" customFormat="false" ht="13.8" hidden="false" customHeight="false" outlineLevel="0" collapsed="false">
      <c r="B2458" s="28" t="s">
        <v>20242</v>
      </c>
      <c r="D2458" s="28" t="s">
        <v>20243</v>
      </c>
      <c r="BE2458" s="15" t="s">
        <v>1396</v>
      </c>
    </row>
    <row r="2459" customFormat="false" ht="13.8" hidden="false" customHeight="false" outlineLevel="0" collapsed="false">
      <c r="B2459" s="28" t="s">
        <v>20244</v>
      </c>
      <c r="D2459" s="28" t="s">
        <v>20245</v>
      </c>
      <c r="BE2459" s="15" t="s">
        <v>1396</v>
      </c>
    </row>
    <row r="2460" customFormat="false" ht="13.8" hidden="false" customHeight="false" outlineLevel="0" collapsed="false">
      <c r="B2460" s="28" t="s">
        <v>20246</v>
      </c>
      <c r="D2460" s="28" t="s">
        <v>20247</v>
      </c>
      <c r="BE2460" s="15" t="s">
        <v>1396</v>
      </c>
    </row>
    <row r="2461" customFormat="false" ht="13.8" hidden="false" customHeight="false" outlineLevel="0" collapsed="false">
      <c r="B2461" s="28" t="s">
        <v>20248</v>
      </c>
      <c r="D2461" s="28" t="s">
        <v>20249</v>
      </c>
      <c r="BE2461" s="15" t="s">
        <v>1396</v>
      </c>
    </row>
    <row r="2462" customFormat="false" ht="13.8" hidden="false" customHeight="false" outlineLevel="0" collapsed="false">
      <c r="B2462" s="28" t="s">
        <v>20250</v>
      </c>
      <c r="D2462" s="28" t="s">
        <v>20251</v>
      </c>
      <c r="BE2462" s="15" t="s">
        <v>1396</v>
      </c>
    </row>
    <row r="2463" customFormat="false" ht="13.8" hidden="false" customHeight="false" outlineLevel="0" collapsed="false">
      <c r="B2463" s="28" t="s">
        <v>20252</v>
      </c>
      <c r="D2463" s="28" t="s">
        <v>20253</v>
      </c>
      <c r="BE2463" s="15" t="s">
        <v>1396</v>
      </c>
    </row>
    <row r="2464" customFormat="false" ht="13.8" hidden="false" customHeight="false" outlineLevel="0" collapsed="false">
      <c r="B2464" s="28" t="s">
        <v>20254</v>
      </c>
      <c r="D2464" s="28" t="s">
        <v>20255</v>
      </c>
      <c r="BE2464" s="15" t="s">
        <v>1396</v>
      </c>
    </row>
    <row r="2465" customFormat="false" ht="13.8" hidden="false" customHeight="false" outlineLevel="0" collapsed="false">
      <c r="B2465" s="28" t="s">
        <v>20256</v>
      </c>
      <c r="D2465" s="28" t="s">
        <v>20257</v>
      </c>
      <c r="BE2465" s="15" t="s">
        <v>1396</v>
      </c>
    </row>
    <row r="2466" customFormat="false" ht="13.8" hidden="false" customHeight="false" outlineLevel="0" collapsed="false">
      <c r="B2466" s="28" t="s">
        <v>20256</v>
      </c>
      <c r="D2466" s="28" t="s">
        <v>20257</v>
      </c>
      <c r="BE2466" s="15" t="s">
        <v>1396</v>
      </c>
    </row>
    <row r="2467" customFormat="false" ht="13.8" hidden="false" customHeight="false" outlineLevel="0" collapsed="false">
      <c r="B2467" s="28" t="s">
        <v>20258</v>
      </c>
      <c r="D2467" s="28" t="s">
        <v>20259</v>
      </c>
      <c r="BE2467" s="15" t="s">
        <v>1396</v>
      </c>
    </row>
    <row r="2468" customFormat="false" ht="13.8" hidden="false" customHeight="false" outlineLevel="0" collapsed="false">
      <c r="B2468" s="28" t="s">
        <v>20260</v>
      </c>
      <c r="D2468" s="28" t="s">
        <v>20261</v>
      </c>
      <c r="BE2468" s="15" t="s">
        <v>1396</v>
      </c>
    </row>
    <row r="2469" customFormat="false" ht="13.8" hidden="false" customHeight="false" outlineLevel="0" collapsed="false">
      <c r="B2469" s="28" t="s">
        <v>20262</v>
      </c>
      <c r="D2469" s="28" t="s">
        <v>20263</v>
      </c>
      <c r="BE2469" s="15" t="s">
        <v>1396</v>
      </c>
    </row>
    <row r="2470" customFormat="false" ht="13.8" hidden="false" customHeight="false" outlineLevel="0" collapsed="false">
      <c r="B2470" s="28" t="s">
        <v>20264</v>
      </c>
      <c r="D2470" s="28" t="s">
        <v>20265</v>
      </c>
      <c r="BE2470" s="15" t="s">
        <v>1396</v>
      </c>
    </row>
    <row r="2471" customFormat="false" ht="13.8" hidden="false" customHeight="false" outlineLevel="0" collapsed="false">
      <c r="B2471" s="28" t="s">
        <v>20266</v>
      </c>
      <c r="D2471" s="28" t="s">
        <v>20267</v>
      </c>
      <c r="BE2471" s="15" t="s">
        <v>1396</v>
      </c>
    </row>
    <row r="2472" customFormat="false" ht="13.8" hidden="false" customHeight="false" outlineLevel="0" collapsed="false">
      <c r="B2472" s="28" t="s">
        <v>20268</v>
      </c>
      <c r="D2472" s="28" t="s">
        <v>20269</v>
      </c>
      <c r="BE2472" s="15" t="s">
        <v>1396</v>
      </c>
    </row>
    <row r="2473" customFormat="false" ht="13.8" hidden="false" customHeight="false" outlineLevel="0" collapsed="false">
      <c r="B2473" s="28" t="s">
        <v>20270</v>
      </c>
      <c r="D2473" s="28" t="s">
        <v>20271</v>
      </c>
      <c r="BE2473" s="15" t="s">
        <v>1396</v>
      </c>
    </row>
    <row r="2474" customFormat="false" ht="13.8" hidden="false" customHeight="false" outlineLevel="0" collapsed="false">
      <c r="B2474" s="28" t="s">
        <v>20272</v>
      </c>
      <c r="D2474" s="28" t="s">
        <v>20273</v>
      </c>
      <c r="BE2474" s="15" t="s">
        <v>1396</v>
      </c>
    </row>
    <row r="2475" customFormat="false" ht="13.8" hidden="false" customHeight="false" outlineLevel="0" collapsed="false">
      <c r="B2475" s="28" t="s">
        <v>20274</v>
      </c>
      <c r="D2475" s="28" t="s">
        <v>20275</v>
      </c>
      <c r="BE2475" s="15" t="s">
        <v>1396</v>
      </c>
    </row>
    <row r="2476" customFormat="false" ht="13.8" hidden="false" customHeight="false" outlineLevel="0" collapsed="false">
      <c r="B2476" s="28" t="s">
        <v>20276</v>
      </c>
      <c r="D2476" s="28" t="s">
        <v>20277</v>
      </c>
      <c r="BE2476" s="15" t="s">
        <v>1396</v>
      </c>
    </row>
    <row r="2477" customFormat="false" ht="13.8" hidden="false" customHeight="false" outlineLevel="0" collapsed="false">
      <c r="B2477" s="28" t="s">
        <v>20278</v>
      </c>
      <c r="D2477" s="28" t="s">
        <v>20279</v>
      </c>
      <c r="BE2477" s="15" t="s">
        <v>1396</v>
      </c>
    </row>
    <row r="2478" customFormat="false" ht="13.8" hidden="false" customHeight="false" outlineLevel="0" collapsed="false">
      <c r="B2478" s="28" t="s">
        <v>20280</v>
      </c>
      <c r="D2478" s="28" t="s">
        <v>20281</v>
      </c>
      <c r="BE2478" s="15" t="s">
        <v>1396</v>
      </c>
    </row>
    <row r="2479" customFormat="false" ht="13.8" hidden="false" customHeight="false" outlineLevel="0" collapsed="false">
      <c r="B2479" s="28" t="s">
        <v>20282</v>
      </c>
      <c r="D2479" s="28" t="s">
        <v>20283</v>
      </c>
      <c r="BE2479" s="15" t="s">
        <v>1396</v>
      </c>
    </row>
    <row r="2480" customFormat="false" ht="13.8" hidden="false" customHeight="false" outlineLevel="0" collapsed="false">
      <c r="B2480" s="28" t="s">
        <v>20282</v>
      </c>
      <c r="D2480" s="28" t="s">
        <v>20283</v>
      </c>
      <c r="BE2480" s="15" t="s">
        <v>1396</v>
      </c>
    </row>
    <row r="2481" customFormat="false" ht="13.8" hidden="false" customHeight="false" outlineLevel="0" collapsed="false">
      <c r="B2481" s="28" t="s">
        <v>20282</v>
      </c>
      <c r="D2481" s="28" t="s">
        <v>20283</v>
      </c>
      <c r="BE2481" s="15" t="s">
        <v>1396</v>
      </c>
    </row>
    <row r="2482" customFormat="false" ht="13.8" hidden="false" customHeight="false" outlineLevel="0" collapsed="false">
      <c r="B2482" s="28" t="s">
        <v>20284</v>
      </c>
      <c r="D2482" s="28" t="s">
        <v>20285</v>
      </c>
      <c r="BE2482" s="15" t="s">
        <v>1396</v>
      </c>
    </row>
    <row r="2483" customFormat="false" ht="13.8" hidden="false" customHeight="false" outlineLevel="0" collapsed="false">
      <c r="B2483" s="28" t="s">
        <v>20286</v>
      </c>
      <c r="D2483" s="28" t="s">
        <v>20287</v>
      </c>
      <c r="BE2483" s="15" t="s">
        <v>1396</v>
      </c>
    </row>
    <row r="2484" customFormat="false" ht="13.8" hidden="false" customHeight="false" outlineLevel="0" collapsed="false">
      <c r="B2484" s="28" t="s">
        <v>20288</v>
      </c>
      <c r="D2484" s="28" t="s">
        <v>20289</v>
      </c>
      <c r="BE2484" s="15" t="s">
        <v>1396</v>
      </c>
    </row>
    <row r="2485" customFormat="false" ht="13.8" hidden="false" customHeight="false" outlineLevel="0" collapsed="false">
      <c r="B2485" s="28" t="s">
        <v>20290</v>
      </c>
      <c r="D2485" s="28" t="s">
        <v>20291</v>
      </c>
      <c r="BE2485" s="15" t="s">
        <v>1396</v>
      </c>
    </row>
    <row r="2486" customFormat="false" ht="13.8" hidden="false" customHeight="false" outlineLevel="0" collapsed="false">
      <c r="B2486" s="28" t="s">
        <v>20292</v>
      </c>
      <c r="D2486" s="28" t="s">
        <v>20293</v>
      </c>
      <c r="BE2486" s="15" t="s">
        <v>1396</v>
      </c>
    </row>
    <row r="2487" customFormat="false" ht="13.8" hidden="false" customHeight="false" outlineLevel="0" collapsed="false">
      <c r="B2487" s="28" t="s">
        <v>20292</v>
      </c>
      <c r="D2487" s="28" t="s">
        <v>20293</v>
      </c>
      <c r="BE2487" s="15" t="s">
        <v>1396</v>
      </c>
    </row>
    <row r="2488" customFormat="false" ht="13.8" hidden="false" customHeight="false" outlineLevel="0" collapsed="false">
      <c r="B2488" s="28" t="s">
        <v>20292</v>
      </c>
      <c r="D2488" s="28" t="s">
        <v>20293</v>
      </c>
      <c r="BE2488" s="15" t="s">
        <v>1396</v>
      </c>
    </row>
    <row r="2489" customFormat="false" ht="13.8" hidden="false" customHeight="false" outlineLevel="0" collapsed="false">
      <c r="B2489" s="28" t="s">
        <v>20292</v>
      </c>
      <c r="D2489" s="28" t="s">
        <v>20293</v>
      </c>
      <c r="BE2489" s="15" t="s">
        <v>1396</v>
      </c>
    </row>
    <row r="2490" customFormat="false" ht="13.8" hidden="false" customHeight="false" outlineLevel="0" collapsed="false">
      <c r="B2490" s="28" t="s">
        <v>20294</v>
      </c>
      <c r="D2490" s="28" t="s">
        <v>20295</v>
      </c>
      <c r="BE2490" s="15" t="s">
        <v>1396</v>
      </c>
    </row>
    <row r="2491" customFormat="false" ht="13.8" hidden="false" customHeight="false" outlineLevel="0" collapsed="false">
      <c r="B2491" s="28" t="s">
        <v>20294</v>
      </c>
      <c r="D2491" s="28" t="s">
        <v>20295</v>
      </c>
      <c r="BE2491" s="15" t="s">
        <v>1396</v>
      </c>
    </row>
    <row r="2492" customFormat="false" ht="13.8" hidden="false" customHeight="false" outlineLevel="0" collapsed="false">
      <c r="B2492" s="28" t="s">
        <v>20294</v>
      </c>
      <c r="D2492" s="28" t="s">
        <v>20295</v>
      </c>
      <c r="BE2492" s="15" t="s">
        <v>1396</v>
      </c>
    </row>
    <row r="2493" customFormat="false" ht="13.8" hidden="false" customHeight="false" outlineLevel="0" collapsed="false">
      <c r="B2493" s="28" t="s">
        <v>20296</v>
      </c>
      <c r="D2493" s="28" t="s">
        <v>20297</v>
      </c>
      <c r="BE2493" s="15" t="s">
        <v>1396</v>
      </c>
    </row>
    <row r="2494" customFormat="false" ht="13.8" hidden="false" customHeight="false" outlineLevel="0" collapsed="false">
      <c r="B2494" s="28" t="s">
        <v>20298</v>
      </c>
      <c r="D2494" s="28" t="s">
        <v>20299</v>
      </c>
      <c r="BE2494" s="15" t="s">
        <v>1396</v>
      </c>
    </row>
    <row r="2495" customFormat="false" ht="13.8" hidden="false" customHeight="false" outlineLevel="0" collapsed="false">
      <c r="B2495" s="28" t="s">
        <v>20300</v>
      </c>
      <c r="D2495" s="28" t="s">
        <v>20301</v>
      </c>
      <c r="BE2495" s="15" t="s">
        <v>1396</v>
      </c>
    </row>
    <row r="2496" customFormat="false" ht="13.8" hidden="false" customHeight="false" outlineLevel="0" collapsed="false">
      <c r="B2496" s="28" t="s">
        <v>20302</v>
      </c>
      <c r="D2496" s="28" t="s">
        <v>20303</v>
      </c>
      <c r="BE2496" s="15" t="s">
        <v>1396</v>
      </c>
    </row>
    <row r="2497" customFormat="false" ht="13.8" hidden="false" customHeight="false" outlineLevel="0" collapsed="false">
      <c r="B2497" s="28" t="s">
        <v>20304</v>
      </c>
      <c r="D2497" s="28" t="s">
        <v>20305</v>
      </c>
      <c r="BE2497" s="15" t="s">
        <v>1396</v>
      </c>
    </row>
    <row r="2498" customFormat="false" ht="13.8" hidden="false" customHeight="false" outlineLevel="0" collapsed="false">
      <c r="B2498" s="28" t="s">
        <v>20306</v>
      </c>
      <c r="D2498" s="28" t="s">
        <v>20307</v>
      </c>
      <c r="BE2498" s="15" t="s">
        <v>1396</v>
      </c>
    </row>
    <row r="2499" customFormat="false" ht="13.8" hidden="false" customHeight="false" outlineLevel="0" collapsed="false">
      <c r="B2499" s="28" t="s">
        <v>20308</v>
      </c>
      <c r="D2499" s="28" t="s">
        <v>20309</v>
      </c>
      <c r="BE2499" s="15" t="s">
        <v>1396</v>
      </c>
    </row>
    <row r="2500" customFormat="false" ht="13.8" hidden="false" customHeight="false" outlineLevel="0" collapsed="false">
      <c r="B2500" s="28" t="s">
        <v>20310</v>
      </c>
      <c r="D2500" s="28" t="s">
        <v>20311</v>
      </c>
      <c r="BE2500" s="15" t="s">
        <v>1396</v>
      </c>
    </row>
    <row r="2501" customFormat="false" ht="13.8" hidden="false" customHeight="false" outlineLevel="0" collapsed="false">
      <c r="B2501" s="28" t="s">
        <v>20312</v>
      </c>
      <c r="D2501" s="28" t="s">
        <v>20313</v>
      </c>
      <c r="BE2501" s="15" t="s">
        <v>1396</v>
      </c>
    </row>
    <row r="2502" customFormat="false" ht="13.8" hidden="false" customHeight="false" outlineLevel="0" collapsed="false">
      <c r="B2502" s="28" t="s">
        <v>20314</v>
      </c>
      <c r="D2502" s="28" t="s">
        <v>20315</v>
      </c>
      <c r="BE2502" s="15" t="s">
        <v>1396</v>
      </c>
    </row>
    <row r="2503" customFormat="false" ht="13.8" hidden="false" customHeight="false" outlineLevel="0" collapsed="false">
      <c r="B2503" s="28" t="s">
        <v>20316</v>
      </c>
      <c r="D2503" s="28" t="s">
        <v>20317</v>
      </c>
      <c r="BE2503" s="15" t="s">
        <v>1396</v>
      </c>
    </row>
    <row r="2504" customFormat="false" ht="13.8" hidden="false" customHeight="false" outlineLevel="0" collapsed="false">
      <c r="B2504" s="28" t="s">
        <v>20318</v>
      </c>
      <c r="D2504" s="28" t="s">
        <v>20319</v>
      </c>
      <c r="BE2504" s="15" t="s">
        <v>1396</v>
      </c>
    </row>
    <row r="2505" customFormat="false" ht="13.8" hidden="false" customHeight="false" outlineLevel="0" collapsed="false">
      <c r="B2505" s="28" t="s">
        <v>20320</v>
      </c>
      <c r="D2505" s="28" t="s">
        <v>20321</v>
      </c>
      <c r="BE2505" s="15" t="s">
        <v>1396</v>
      </c>
    </row>
    <row r="2506" customFormat="false" ht="13.8" hidden="false" customHeight="false" outlineLevel="0" collapsed="false">
      <c r="B2506" s="28" t="s">
        <v>20322</v>
      </c>
      <c r="D2506" s="28" t="s">
        <v>20323</v>
      </c>
      <c r="BE2506" s="15" t="s">
        <v>1396</v>
      </c>
    </row>
    <row r="2507" customFormat="false" ht="13.8" hidden="false" customHeight="false" outlineLevel="0" collapsed="false">
      <c r="B2507" s="28" t="s">
        <v>20324</v>
      </c>
      <c r="D2507" s="28" t="s">
        <v>20325</v>
      </c>
      <c r="BE2507" s="15" t="s">
        <v>1396</v>
      </c>
    </row>
    <row r="2508" customFormat="false" ht="13.8" hidden="false" customHeight="false" outlineLevel="0" collapsed="false">
      <c r="B2508" s="28" t="s">
        <v>20326</v>
      </c>
      <c r="D2508" s="28" t="s">
        <v>20327</v>
      </c>
      <c r="BE2508" s="15" t="s">
        <v>1396</v>
      </c>
    </row>
    <row r="2509" customFormat="false" ht="13.8" hidden="false" customHeight="false" outlineLevel="0" collapsed="false">
      <c r="B2509" s="28" t="s">
        <v>20328</v>
      </c>
      <c r="D2509" s="28" t="s">
        <v>20329</v>
      </c>
      <c r="BE2509" s="15" t="s">
        <v>1396</v>
      </c>
    </row>
    <row r="2510" customFormat="false" ht="13.8" hidden="false" customHeight="false" outlineLevel="0" collapsed="false">
      <c r="B2510" s="28" t="s">
        <v>20330</v>
      </c>
      <c r="D2510" s="28" t="s">
        <v>20331</v>
      </c>
      <c r="BE2510" s="15" t="s">
        <v>1396</v>
      </c>
    </row>
    <row r="2511" customFormat="false" ht="13.8" hidden="false" customHeight="false" outlineLevel="0" collapsed="false">
      <c r="B2511" s="28" t="s">
        <v>20332</v>
      </c>
      <c r="D2511" s="28" t="s">
        <v>20333</v>
      </c>
      <c r="BE2511" s="15" t="s">
        <v>1396</v>
      </c>
    </row>
    <row r="2512" customFormat="false" ht="13.8" hidden="false" customHeight="false" outlineLevel="0" collapsed="false">
      <c r="B2512" s="28" t="s">
        <v>20334</v>
      </c>
      <c r="D2512" s="28" t="s">
        <v>20335</v>
      </c>
      <c r="BE2512" s="15" t="s">
        <v>1396</v>
      </c>
    </row>
    <row r="2513" customFormat="false" ht="13.8" hidden="false" customHeight="false" outlineLevel="0" collapsed="false">
      <c r="B2513" s="28" t="s">
        <v>20334</v>
      </c>
      <c r="D2513" s="28" t="s">
        <v>20335</v>
      </c>
      <c r="BE2513" s="15" t="s">
        <v>1396</v>
      </c>
    </row>
    <row r="2514" customFormat="false" ht="13.8" hidden="false" customHeight="false" outlineLevel="0" collapsed="false">
      <c r="B2514" s="28" t="s">
        <v>20334</v>
      </c>
      <c r="D2514" s="28" t="s">
        <v>20335</v>
      </c>
      <c r="BE2514" s="15" t="s">
        <v>1396</v>
      </c>
    </row>
    <row r="2515" customFormat="false" ht="13.8" hidden="false" customHeight="false" outlineLevel="0" collapsed="false">
      <c r="B2515" s="28" t="s">
        <v>20336</v>
      </c>
      <c r="D2515" s="28" t="s">
        <v>20337</v>
      </c>
      <c r="BE2515" s="15" t="s">
        <v>1396</v>
      </c>
    </row>
    <row r="2516" customFormat="false" ht="13.8" hidden="false" customHeight="false" outlineLevel="0" collapsed="false">
      <c r="B2516" s="28" t="s">
        <v>20338</v>
      </c>
      <c r="D2516" s="28" t="s">
        <v>20339</v>
      </c>
      <c r="BE2516" s="15" t="s">
        <v>1396</v>
      </c>
    </row>
    <row r="2517" customFormat="false" ht="13.8" hidden="false" customHeight="false" outlineLevel="0" collapsed="false">
      <c r="B2517" s="28" t="s">
        <v>20338</v>
      </c>
      <c r="D2517" s="28" t="s">
        <v>20339</v>
      </c>
      <c r="BE2517" s="15" t="s">
        <v>1396</v>
      </c>
    </row>
    <row r="2518" customFormat="false" ht="13.8" hidden="false" customHeight="false" outlineLevel="0" collapsed="false">
      <c r="B2518" s="28" t="s">
        <v>20340</v>
      </c>
      <c r="D2518" s="28" t="s">
        <v>20341</v>
      </c>
      <c r="BE2518" s="15" t="s">
        <v>1396</v>
      </c>
    </row>
    <row r="2519" customFormat="false" ht="13.8" hidden="false" customHeight="false" outlineLevel="0" collapsed="false">
      <c r="B2519" s="28" t="s">
        <v>20342</v>
      </c>
      <c r="D2519" s="28" t="s">
        <v>20343</v>
      </c>
      <c r="BE2519" s="15" t="s">
        <v>1396</v>
      </c>
    </row>
    <row r="2520" customFormat="false" ht="13.8" hidden="false" customHeight="false" outlineLevel="0" collapsed="false">
      <c r="B2520" s="28" t="s">
        <v>20344</v>
      </c>
      <c r="D2520" s="28" t="s">
        <v>20345</v>
      </c>
      <c r="BE2520" s="15" t="s">
        <v>1396</v>
      </c>
    </row>
    <row r="2521" customFormat="false" ht="13.8" hidden="false" customHeight="false" outlineLevel="0" collapsed="false">
      <c r="B2521" s="28" t="s">
        <v>20346</v>
      </c>
      <c r="D2521" s="28" t="s">
        <v>20347</v>
      </c>
      <c r="BE2521" s="15" t="s">
        <v>1396</v>
      </c>
    </row>
    <row r="2522" customFormat="false" ht="13.8" hidden="false" customHeight="false" outlineLevel="0" collapsed="false">
      <c r="B2522" s="28" t="s">
        <v>20348</v>
      </c>
      <c r="D2522" s="28" t="s">
        <v>20349</v>
      </c>
      <c r="BE2522" s="15" t="s">
        <v>1396</v>
      </c>
    </row>
    <row r="2523" customFormat="false" ht="13.8" hidden="false" customHeight="false" outlineLevel="0" collapsed="false">
      <c r="B2523" s="28" t="s">
        <v>20350</v>
      </c>
      <c r="D2523" s="28" t="s">
        <v>20351</v>
      </c>
      <c r="BE2523" s="15" t="s">
        <v>1396</v>
      </c>
    </row>
    <row r="2524" customFormat="false" ht="13.8" hidden="false" customHeight="false" outlineLevel="0" collapsed="false">
      <c r="B2524" s="28" t="s">
        <v>20352</v>
      </c>
      <c r="D2524" s="28" t="s">
        <v>20353</v>
      </c>
      <c r="BE2524" s="15" t="s">
        <v>1396</v>
      </c>
    </row>
    <row r="2525" customFormat="false" ht="13.8" hidden="false" customHeight="false" outlineLevel="0" collapsed="false">
      <c r="B2525" s="28" t="s">
        <v>20354</v>
      </c>
      <c r="D2525" s="28" t="s">
        <v>20355</v>
      </c>
      <c r="BE2525" s="15" t="s">
        <v>1396</v>
      </c>
    </row>
    <row r="2526" customFormat="false" ht="13.8" hidden="false" customHeight="false" outlineLevel="0" collapsed="false">
      <c r="B2526" s="28" t="s">
        <v>20356</v>
      </c>
      <c r="D2526" s="28" t="s">
        <v>20357</v>
      </c>
      <c r="BE2526" s="15" t="s">
        <v>1396</v>
      </c>
    </row>
    <row r="2527" customFormat="false" ht="13.8" hidden="false" customHeight="false" outlineLevel="0" collapsed="false">
      <c r="B2527" s="28" t="s">
        <v>20358</v>
      </c>
      <c r="D2527" s="28" t="s">
        <v>20359</v>
      </c>
      <c r="BE2527" s="15" t="s">
        <v>1396</v>
      </c>
    </row>
    <row r="2528" customFormat="false" ht="13.8" hidden="false" customHeight="false" outlineLevel="0" collapsed="false">
      <c r="B2528" s="28" t="s">
        <v>20360</v>
      </c>
      <c r="D2528" s="28" t="s">
        <v>20361</v>
      </c>
      <c r="BE2528" s="15" t="s">
        <v>1396</v>
      </c>
    </row>
    <row r="2529" customFormat="false" ht="13.8" hidden="false" customHeight="false" outlineLevel="0" collapsed="false">
      <c r="B2529" s="28" t="s">
        <v>20362</v>
      </c>
      <c r="D2529" s="28" t="s">
        <v>20363</v>
      </c>
      <c r="BE2529" s="15" t="s">
        <v>1396</v>
      </c>
    </row>
    <row r="2530" customFormat="false" ht="13.8" hidden="false" customHeight="false" outlineLevel="0" collapsed="false">
      <c r="B2530" s="28" t="s">
        <v>20364</v>
      </c>
      <c r="D2530" s="28" t="s">
        <v>20365</v>
      </c>
      <c r="BE2530" s="15" t="s">
        <v>1396</v>
      </c>
    </row>
    <row r="2531" customFormat="false" ht="13.8" hidden="false" customHeight="false" outlineLevel="0" collapsed="false">
      <c r="B2531" s="28" t="s">
        <v>20366</v>
      </c>
      <c r="D2531" s="28" t="s">
        <v>20367</v>
      </c>
      <c r="BE2531" s="15" t="s">
        <v>1396</v>
      </c>
    </row>
    <row r="2532" customFormat="false" ht="13.8" hidden="false" customHeight="false" outlineLevel="0" collapsed="false">
      <c r="B2532" s="28" t="s">
        <v>20368</v>
      </c>
      <c r="D2532" s="28" t="s">
        <v>20369</v>
      </c>
      <c r="BE2532" s="15" t="s">
        <v>1396</v>
      </c>
    </row>
    <row r="2533" customFormat="false" ht="13.8" hidden="false" customHeight="false" outlineLevel="0" collapsed="false">
      <c r="B2533" s="28" t="s">
        <v>20370</v>
      </c>
      <c r="D2533" s="28" t="s">
        <v>20371</v>
      </c>
      <c r="BE2533" s="15" t="s">
        <v>1396</v>
      </c>
    </row>
    <row r="2534" customFormat="false" ht="13.8" hidden="false" customHeight="false" outlineLevel="0" collapsed="false">
      <c r="B2534" s="28" t="s">
        <v>20372</v>
      </c>
      <c r="D2534" s="28" t="s">
        <v>20371</v>
      </c>
      <c r="BE2534" s="15" t="s">
        <v>1396</v>
      </c>
    </row>
    <row r="2535" customFormat="false" ht="13.8" hidden="false" customHeight="false" outlineLevel="0" collapsed="false">
      <c r="B2535" s="28" t="s">
        <v>20373</v>
      </c>
      <c r="D2535" s="28" t="s">
        <v>20371</v>
      </c>
      <c r="BE2535" s="15" t="s">
        <v>1396</v>
      </c>
    </row>
    <row r="2536" customFormat="false" ht="13.8" hidden="false" customHeight="false" outlineLevel="0" collapsed="false">
      <c r="B2536" s="28" t="s">
        <v>20374</v>
      </c>
      <c r="D2536" s="28" t="s">
        <v>20371</v>
      </c>
      <c r="BE2536" s="15" t="s">
        <v>1396</v>
      </c>
    </row>
    <row r="2537" customFormat="false" ht="13.8" hidden="false" customHeight="false" outlineLevel="0" collapsed="false">
      <c r="B2537" s="28" t="s">
        <v>20375</v>
      </c>
      <c r="D2537" s="28" t="s">
        <v>20371</v>
      </c>
      <c r="BE2537" s="15" t="s">
        <v>1396</v>
      </c>
    </row>
    <row r="2538" customFormat="false" ht="13.8" hidden="false" customHeight="false" outlineLevel="0" collapsed="false">
      <c r="B2538" s="28" t="s">
        <v>20376</v>
      </c>
      <c r="D2538" s="28" t="s">
        <v>20371</v>
      </c>
      <c r="BE2538" s="15" t="s">
        <v>1396</v>
      </c>
    </row>
    <row r="2539" customFormat="false" ht="13.8" hidden="false" customHeight="false" outlineLevel="0" collapsed="false">
      <c r="B2539" s="28" t="s">
        <v>20377</v>
      </c>
      <c r="D2539" s="28" t="s">
        <v>20371</v>
      </c>
      <c r="BE2539" s="15" t="s">
        <v>1396</v>
      </c>
    </row>
    <row r="2540" customFormat="false" ht="13.8" hidden="false" customHeight="false" outlineLevel="0" collapsed="false">
      <c r="B2540" s="28" t="s">
        <v>20378</v>
      </c>
      <c r="D2540" s="28" t="s">
        <v>20371</v>
      </c>
      <c r="BE2540" s="15" t="s">
        <v>1396</v>
      </c>
    </row>
    <row r="2541" customFormat="false" ht="13.8" hidden="false" customHeight="false" outlineLevel="0" collapsed="false">
      <c r="B2541" s="28" t="s">
        <v>20379</v>
      </c>
      <c r="D2541" s="28" t="s">
        <v>20371</v>
      </c>
      <c r="BE2541" s="15" t="s">
        <v>1396</v>
      </c>
    </row>
    <row r="2542" customFormat="false" ht="13.8" hidden="false" customHeight="false" outlineLevel="0" collapsed="false">
      <c r="B2542" s="28" t="s">
        <v>20380</v>
      </c>
      <c r="D2542" s="28" t="s">
        <v>20381</v>
      </c>
      <c r="BE2542" s="15" t="s">
        <v>1396</v>
      </c>
    </row>
    <row r="2543" customFormat="false" ht="13.8" hidden="false" customHeight="false" outlineLevel="0" collapsed="false">
      <c r="B2543" s="28" t="s">
        <v>20382</v>
      </c>
      <c r="D2543" s="28" t="s">
        <v>20383</v>
      </c>
      <c r="BE2543" s="15" t="s">
        <v>1396</v>
      </c>
    </row>
    <row r="2544" customFormat="false" ht="13.8" hidden="false" customHeight="false" outlineLevel="0" collapsed="false">
      <c r="B2544" s="28" t="s">
        <v>20382</v>
      </c>
      <c r="D2544" s="28" t="s">
        <v>20383</v>
      </c>
      <c r="BE2544" s="15" t="s">
        <v>1396</v>
      </c>
    </row>
    <row r="2545" customFormat="false" ht="13.8" hidden="false" customHeight="false" outlineLevel="0" collapsed="false">
      <c r="B2545" s="28" t="s">
        <v>20382</v>
      </c>
      <c r="D2545" s="28" t="s">
        <v>20383</v>
      </c>
      <c r="BE2545" s="15" t="s">
        <v>1396</v>
      </c>
    </row>
    <row r="2546" customFormat="false" ht="13.8" hidden="false" customHeight="false" outlineLevel="0" collapsed="false">
      <c r="B2546" s="28" t="s">
        <v>20382</v>
      </c>
      <c r="D2546" s="28" t="s">
        <v>20383</v>
      </c>
      <c r="BE2546" s="15" t="s">
        <v>1396</v>
      </c>
    </row>
    <row r="2547" customFormat="false" ht="13.8" hidden="false" customHeight="false" outlineLevel="0" collapsed="false">
      <c r="B2547" s="28" t="s">
        <v>20382</v>
      </c>
      <c r="D2547" s="28" t="s">
        <v>20383</v>
      </c>
      <c r="BE2547" s="15" t="s">
        <v>1396</v>
      </c>
    </row>
    <row r="2548" customFormat="false" ht="13.8" hidden="false" customHeight="false" outlineLevel="0" collapsed="false">
      <c r="B2548" s="28" t="s">
        <v>20382</v>
      </c>
      <c r="D2548" s="28" t="s">
        <v>20383</v>
      </c>
      <c r="BE2548" s="15" t="s">
        <v>1396</v>
      </c>
    </row>
    <row r="2549" customFormat="false" ht="13.8" hidden="false" customHeight="false" outlineLevel="0" collapsed="false">
      <c r="B2549" s="28" t="s">
        <v>20382</v>
      </c>
      <c r="D2549" s="28" t="s">
        <v>20383</v>
      </c>
      <c r="BE2549" s="15" t="s">
        <v>1396</v>
      </c>
    </row>
    <row r="2550" customFormat="false" ht="13.8" hidden="false" customHeight="false" outlineLevel="0" collapsed="false">
      <c r="B2550" s="28" t="s">
        <v>20382</v>
      </c>
      <c r="D2550" s="28" t="s">
        <v>20383</v>
      </c>
      <c r="BE2550" s="15" t="s">
        <v>1396</v>
      </c>
    </row>
    <row r="2551" customFormat="false" ht="13.8" hidden="false" customHeight="false" outlineLevel="0" collapsed="false">
      <c r="B2551" s="28" t="s">
        <v>20382</v>
      </c>
      <c r="D2551" s="28" t="s">
        <v>20383</v>
      </c>
      <c r="BE2551" s="15" t="s">
        <v>1396</v>
      </c>
    </row>
    <row r="2552" customFormat="false" ht="13.8" hidden="false" customHeight="false" outlineLevel="0" collapsed="false">
      <c r="B2552" s="28" t="s">
        <v>20382</v>
      </c>
      <c r="D2552" s="28" t="s">
        <v>20383</v>
      </c>
      <c r="BE2552" s="15" t="s">
        <v>1396</v>
      </c>
    </row>
    <row r="2553" customFormat="false" ht="13.8" hidden="false" customHeight="false" outlineLevel="0" collapsed="false">
      <c r="B2553" s="28" t="s">
        <v>20382</v>
      </c>
      <c r="D2553" s="28" t="s">
        <v>20383</v>
      </c>
      <c r="BE2553" s="15" t="s">
        <v>1396</v>
      </c>
    </row>
    <row r="2554" customFormat="false" ht="13.8" hidden="false" customHeight="false" outlineLevel="0" collapsed="false">
      <c r="B2554" s="28" t="s">
        <v>20382</v>
      </c>
      <c r="D2554" s="28" t="s">
        <v>20383</v>
      </c>
      <c r="BE2554" s="15" t="s">
        <v>1396</v>
      </c>
    </row>
    <row r="2555" customFormat="false" ht="13.8" hidden="false" customHeight="false" outlineLevel="0" collapsed="false">
      <c r="B2555" s="28" t="s">
        <v>20382</v>
      </c>
      <c r="D2555" s="28" t="s">
        <v>20383</v>
      </c>
      <c r="BE2555" s="15" t="s">
        <v>1396</v>
      </c>
    </row>
    <row r="2556" customFormat="false" ht="13.8" hidden="false" customHeight="false" outlineLevel="0" collapsed="false">
      <c r="B2556" s="28" t="s">
        <v>20382</v>
      </c>
      <c r="D2556" s="28" t="s">
        <v>20383</v>
      </c>
      <c r="BE2556" s="15" t="s">
        <v>1396</v>
      </c>
    </row>
    <row r="2557" customFormat="false" ht="13.8" hidden="false" customHeight="false" outlineLevel="0" collapsed="false">
      <c r="B2557" s="28" t="s">
        <v>20382</v>
      </c>
      <c r="D2557" s="28" t="s">
        <v>20383</v>
      </c>
      <c r="BE2557" s="15" t="s">
        <v>1396</v>
      </c>
    </row>
    <row r="2558" customFormat="false" ht="13.8" hidden="false" customHeight="false" outlineLevel="0" collapsed="false">
      <c r="B2558" s="28" t="s">
        <v>20382</v>
      </c>
      <c r="D2558" s="28" t="s">
        <v>20383</v>
      </c>
      <c r="BE2558" s="15" t="s">
        <v>1396</v>
      </c>
    </row>
    <row r="2559" customFormat="false" ht="13.8" hidden="false" customHeight="false" outlineLevel="0" collapsed="false">
      <c r="B2559" s="28" t="s">
        <v>20382</v>
      </c>
      <c r="D2559" s="28" t="s">
        <v>20383</v>
      </c>
      <c r="BE2559" s="15" t="s">
        <v>1396</v>
      </c>
    </row>
    <row r="2560" customFormat="false" ht="13.8" hidden="false" customHeight="false" outlineLevel="0" collapsed="false">
      <c r="B2560" s="28" t="s">
        <v>20382</v>
      </c>
      <c r="D2560" s="28" t="s">
        <v>20383</v>
      </c>
      <c r="BE2560" s="15" t="s">
        <v>1396</v>
      </c>
    </row>
    <row r="2561" customFormat="false" ht="13.8" hidden="false" customHeight="false" outlineLevel="0" collapsed="false">
      <c r="B2561" s="28" t="s">
        <v>20382</v>
      </c>
      <c r="D2561" s="28" t="s">
        <v>20383</v>
      </c>
      <c r="BE2561" s="15" t="s">
        <v>1396</v>
      </c>
    </row>
    <row r="2562" customFormat="false" ht="13.8" hidden="false" customHeight="false" outlineLevel="0" collapsed="false">
      <c r="B2562" s="28" t="s">
        <v>20382</v>
      </c>
      <c r="D2562" s="28" t="s">
        <v>20383</v>
      </c>
      <c r="BE2562" s="15" t="s">
        <v>1396</v>
      </c>
    </row>
    <row r="2563" customFormat="false" ht="13.8" hidden="false" customHeight="false" outlineLevel="0" collapsed="false">
      <c r="B2563" s="28" t="s">
        <v>20384</v>
      </c>
      <c r="D2563" s="28" t="s">
        <v>20385</v>
      </c>
      <c r="BE2563" s="15" t="s">
        <v>1396</v>
      </c>
    </row>
    <row r="2564" customFormat="false" ht="13.8" hidden="false" customHeight="false" outlineLevel="0" collapsed="false">
      <c r="B2564" s="28" t="s">
        <v>20386</v>
      </c>
      <c r="D2564" s="28" t="s">
        <v>20387</v>
      </c>
      <c r="BE2564" s="15" t="s">
        <v>1396</v>
      </c>
    </row>
    <row r="2565" customFormat="false" ht="13.8" hidden="false" customHeight="false" outlineLevel="0" collapsed="false">
      <c r="B2565" s="28" t="s">
        <v>20388</v>
      </c>
      <c r="D2565" s="28" t="s">
        <v>20389</v>
      </c>
      <c r="BE2565" s="15" t="s">
        <v>1396</v>
      </c>
    </row>
    <row r="2566" customFormat="false" ht="13.8" hidden="false" customHeight="false" outlineLevel="0" collapsed="false">
      <c r="B2566" s="28" t="s">
        <v>20390</v>
      </c>
      <c r="D2566" s="28" t="s">
        <v>20391</v>
      </c>
      <c r="BE2566" s="15" t="s">
        <v>1396</v>
      </c>
    </row>
    <row r="2567" customFormat="false" ht="13.8" hidden="false" customHeight="false" outlineLevel="0" collapsed="false">
      <c r="B2567" s="28" t="s">
        <v>20392</v>
      </c>
      <c r="D2567" s="28" t="s">
        <v>20393</v>
      </c>
      <c r="BE2567" s="15" t="s">
        <v>1396</v>
      </c>
    </row>
    <row r="2568" customFormat="false" ht="13.8" hidden="false" customHeight="false" outlineLevel="0" collapsed="false">
      <c r="B2568" s="28" t="s">
        <v>20394</v>
      </c>
      <c r="D2568" s="28" t="s">
        <v>20395</v>
      </c>
      <c r="BE2568" s="15" t="s">
        <v>1396</v>
      </c>
    </row>
    <row r="2569" customFormat="false" ht="13.8" hidden="false" customHeight="false" outlineLevel="0" collapsed="false">
      <c r="B2569" s="28" t="s">
        <v>20396</v>
      </c>
      <c r="D2569" s="28" t="s">
        <v>20397</v>
      </c>
      <c r="BE2569" s="15" t="s">
        <v>1396</v>
      </c>
    </row>
    <row r="2570" customFormat="false" ht="13.8" hidden="false" customHeight="false" outlineLevel="0" collapsed="false">
      <c r="B2570" s="28" t="s">
        <v>20396</v>
      </c>
      <c r="D2570" s="28" t="s">
        <v>20397</v>
      </c>
      <c r="BE2570" s="15" t="s">
        <v>1396</v>
      </c>
    </row>
    <row r="2571" customFormat="false" ht="13.8" hidden="false" customHeight="false" outlineLevel="0" collapsed="false">
      <c r="B2571" s="28" t="s">
        <v>20398</v>
      </c>
      <c r="D2571" s="28" t="s">
        <v>20399</v>
      </c>
      <c r="BE2571" s="15" t="s">
        <v>1396</v>
      </c>
    </row>
    <row r="2572" customFormat="false" ht="13.8" hidden="false" customHeight="false" outlineLevel="0" collapsed="false">
      <c r="B2572" s="28" t="s">
        <v>20398</v>
      </c>
      <c r="D2572" s="28" t="s">
        <v>20399</v>
      </c>
      <c r="BE2572" s="15" t="s">
        <v>1396</v>
      </c>
    </row>
    <row r="2573" customFormat="false" ht="13.8" hidden="false" customHeight="false" outlineLevel="0" collapsed="false">
      <c r="B2573" s="28" t="s">
        <v>20400</v>
      </c>
      <c r="D2573" s="28" t="s">
        <v>20401</v>
      </c>
      <c r="BE2573" s="15" t="s">
        <v>1396</v>
      </c>
    </row>
    <row r="2574" customFormat="false" ht="13.8" hidden="false" customHeight="false" outlineLevel="0" collapsed="false">
      <c r="B2574" s="28" t="s">
        <v>20402</v>
      </c>
      <c r="D2574" s="28" t="s">
        <v>20403</v>
      </c>
      <c r="BE2574" s="15" t="s">
        <v>1396</v>
      </c>
    </row>
    <row r="2575" customFormat="false" ht="13.8" hidden="false" customHeight="false" outlineLevel="0" collapsed="false">
      <c r="B2575" s="28" t="s">
        <v>20398</v>
      </c>
      <c r="D2575" s="28" t="s">
        <v>20399</v>
      </c>
      <c r="BE2575" s="15" t="s">
        <v>1396</v>
      </c>
    </row>
    <row r="2576" customFormat="false" ht="13.8" hidden="false" customHeight="false" outlineLevel="0" collapsed="false">
      <c r="B2576" s="28" t="s">
        <v>20404</v>
      </c>
      <c r="D2576" s="28" t="s">
        <v>20405</v>
      </c>
      <c r="BE2576" s="15" t="s">
        <v>1396</v>
      </c>
    </row>
    <row r="2577" customFormat="false" ht="13.8" hidden="false" customHeight="false" outlineLevel="0" collapsed="false">
      <c r="B2577" s="28" t="s">
        <v>20406</v>
      </c>
      <c r="D2577" s="28" t="s">
        <v>20407</v>
      </c>
      <c r="BE2577" s="15" t="s">
        <v>1396</v>
      </c>
    </row>
    <row r="2578" customFormat="false" ht="13.8" hidden="false" customHeight="false" outlineLevel="0" collapsed="false">
      <c r="B2578" s="28" t="s">
        <v>20408</v>
      </c>
      <c r="D2578" s="28" t="s">
        <v>20409</v>
      </c>
      <c r="BE2578" s="15" t="s">
        <v>1396</v>
      </c>
    </row>
    <row r="2579" customFormat="false" ht="13.8" hidden="false" customHeight="false" outlineLevel="0" collapsed="false">
      <c r="B2579" s="28" t="s">
        <v>20410</v>
      </c>
      <c r="D2579" s="28" t="s">
        <v>20411</v>
      </c>
      <c r="BE2579" s="15" t="s">
        <v>1396</v>
      </c>
    </row>
    <row r="2580" customFormat="false" ht="13.8" hidden="false" customHeight="false" outlineLevel="0" collapsed="false">
      <c r="B2580" s="28" t="s">
        <v>20412</v>
      </c>
      <c r="D2580" s="28" t="s">
        <v>20413</v>
      </c>
      <c r="BE2580" s="15" t="s">
        <v>1396</v>
      </c>
    </row>
    <row r="2581" customFormat="false" ht="13.8" hidden="false" customHeight="false" outlineLevel="0" collapsed="false">
      <c r="B2581" s="28" t="s">
        <v>20414</v>
      </c>
      <c r="D2581" s="28" t="s">
        <v>20415</v>
      </c>
      <c r="BE2581" s="15" t="s">
        <v>1396</v>
      </c>
    </row>
    <row r="2582" customFormat="false" ht="13.8" hidden="false" customHeight="false" outlineLevel="0" collapsed="false">
      <c r="B2582" s="28" t="s">
        <v>20416</v>
      </c>
      <c r="D2582" s="28" t="s">
        <v>20417</v>
      </c>
      <c r="BE2582" s="15" t="s">
        <v>1396</v>
      </c>
    </row>
    <row r="2583" customFormat="false" ht="13.8" hidden="false" customHeight="false" outlineLevel="0" collapsed="false">
      <c r="B2583" s="28" t="s">
        <v>20418</v>
      </c>
      <c r="D2583" s="28" t="s">
        <v>20419</v>
      </c>
      <c r="BE2583" s="15" t="s">
        <v>1396</v>
      </c>
    </row>
    <row r="2584" customFormat="false" ht="13.8" hidden="false" customHeight="false" outlineLevel="0" collapsed="false">
      <c r="B2584" s="28" t="s">
        <v>20420</v>
      </c>
      <c r="D2584" s="28" t="s">
        <v>20421</v>
      </c>
      <c r="BE2584" s="15" t="s">
        <v>1396</v>
      </c>
    </row>
    <row r="2585" customFormat="false" ht="13.8" hidden="false" customHeight="false" outlineLevel="0" collapsed="false">
      <c r="B2585" s="28" t="s">
        <v>20422</v>
      </c>
      <c r="D2585" s="28" t="s">
        <v>20423</v>
      </c>
      <c r="BE2585" s="15" t="s">
        <v>1396</v>
      </c>
    </row>
    <row r="2586" customFormat="false" ht="13.8" hidden="false" customHeight="false" outlineLevel="0" collapsed="false">
      <c r="B2586" s="28" t="s">
        <v>20424</v>
      </c>
      <c r="D2586" s="28" t="s">
        <v>20425</v>
      </c>
      <c r="BE2586" s="15" t="s">
        <v>1396</v>
      </c>
    </row>
    <row r="2587" customFormat="false" ht="13.8" hidden="false" customHeight="false" outlineLevel="0" collapsed="false">
      <c r="B2587" s="28" t="s">
        <v>20426</v>
      </c>
      <c r="D2587" s="28" t="s">
        <v>20427</v>
      </c>
      <c r="BE2587" s="15" t="s">
        <v>1396</v>
      </c>
    </row>
    <row r="2588" customFormat="false" ht="13.8" hidden="false" customHeight="false" outlineLevel="0" collapsed="false">
      <c r="B2588" s="28" t="s">
        <v>20428</v>
      </c>
      <c r="D2588" s="28" t="s">
        <v>20429</v>
      </c>
      <c r="BE2588" s="15" t="s">
        <v>1396</v>
      </c>
    </row>
    <row r="2589" customFormat="false" ht="13.8" hidden="false" customHeight="false" outlineLevel="0" collapsed="false">
      <c r="B2589" s="28" t="s">
        <v>20430</v>
      </c>
      <c r="D2589" s="28" t="s">
        <v>20431</v>
      </c>
      <c r="BE2589" s="15" t="s">
        <v>1396</v>
      </c>
    </row>
    <row r="2590" customFormat="false" ht="13.8" hidden="false" customHeight="false" outlineLevel="0" collapsed="false">
      <c r="B2590" s="28" t="s">
        <v>20432</v>
      </c>
      <c r="D2590" s="28" t="s">
        <v>20433</v>
      </c>
      <c r="BE2590" s="15" t="s">
        <v>1396</v>
      </c>
    </row>
    <row r="2591" customFormat="false" ht="13.8" hidden="false" customHeight="false" outlineLevel="0" collapsed="false">
      <c r="B2591" s="28" t="s">
        <v>20434</v>
      </c>
      <c r="D2591" s="28" t="s">
        <v>20435</v>
      </c>
      <c r="BE2591" s="15" t="s">
        <v>1396</v>
      </c>
    </row>
    <row r="2592" customFormat="false" ht="13.8" hidden="false" customHeight="false" outlineLevel="0" collapsed="false">
      <c r="B2592" s="28" t="s">
        <v>20436</v>
      </c>
      <c r="D2592" s="28" t="s">
        <v>20437</v>
      </c>
      <c r="BE2592" s="15" t="s">
        <v>1396</v>
      </c>
    </row>
    <row r="2593" customFormat="false" ht="13.8" hidden="false" customHeight="false" outlineLevel="0" collapsed="false">
      <c r="B2593" s="28" t="s">
        <v>20438</v>
      </c>
      <c r="D2593" s="28" t="s">
        <v>20439</v>
      </c>
      <c r="BE2593" s="15" t="s">
        <v>1396</v>
      </c>
    </row>
    <row r="2594" customFormat="false" ht="13.8" hidden="false" customHeight="false" outlineLevel="0" collapsed="false">
      <c r="B2594" s="28" t="s">
        <v>20440</v>
      </c>
      <c r="D2594" s="28" t="s">
        <v>20441</v>
      </c>
      <c r="BE2594" s="15" t="s">
        <v>1396</v>
      </c>
    </row>
    <row r="2595" customFormat="false" ht="13.8" hidden="false" customHeight="false" outlineLevel="0" collapsed="false">
      <c r="B2595" s="28" t="s">
        <v>20442</v>
      </c>
      <c r="D2595" s="28" t="s">
        <v>20443</v>
      </c>
      <c r="BE2595" s="15" t="s">
        <v>1396</v>
      </c>
    </row>
    <row r="2596" customFormat="false" ht="13.8" hidden="false" customHeight="false" outlineLevel="0" collapsed="false">
      <c r="B2596" s="28" t="s">
        <v>20444</v>
      </c>
      <c r="D2596" s="28" t="s">
        <v>20445</v>
      </c>
      <c r="BE2596" s="15" t="s">
        <v>1396</v>
      </c>
    </row>
    <row r="2597" customFormat="false" ht="13.8" hidden="false" customHeight="false" outlineLevel="0" collapsed="false">
      <c r="B2597" s="28" t="s">
        <v>20446</v>
      </c>
      <c r="D2597" s="28" t="s">
        <v>20447</v>
      </c>
      <c r="BE2597" s="15" t="s">
        <v>1396</v>
      </c>
    </row>
    <row r="2598" customFormat="false" ht="13.8" hidden="false" customHeight="false" outlineLevel="0" collapsed="false">
      <c r="B2598" s="28" t="s">
        <v>20448</v>
      </c>
      <c r="D2598" s="28" t="s">
        <v>20449</v>
      </c>
      <c r="BE2598" s="15" t="s">
        <v>1396</v>
      </c>
    </row>
    <row r="2599" customFormat="false" ht="13.8" hidden="false" customHeight="false" outlineLevel="0" collapsed="false">
      <c r="B2599" s="28" t="s">
        <v>20450</v>
      </c>
      <c r="D2599" s="28" t="s">
        <v>20451</v>
      </c>
      <c r="BE2599" s="15" t="s">
        <v>1396</v>
      </c>
    </row>
    <row r="2600" customFormat="false" ht="13.8" hidden="false" customHeight="false" outlineLevel="0" collapsed="false">
      <c r="B2600" s="28" t="s">
        <v>20450</v>
      </c>
      <c r="D2600" s="28" t="s">
        <v>20451</v>
      </c>
      <c r="BE2600" s="15" t="s">
        <v>1396</v>
      </c>
    </row>
    <row r="2601" customFormat="false" ht="13.8" hidden="false" customHeight="false" outlineLevel="0" collapsed="false">
      <c r="B2601" s="28" t="s">
        <v>20452</v>
      </c>
      <c r="D2601" s="28" t="s">
        <v>20453</v>
      </c>
      <c r="BE2601" s="15" t="s">
        <v>1396</v>
      </c>
    </row>
    <row r="2602" customFormat="false" ht="13.8" hidden="false" customHeight="false" outlineLevel="0" collapsed="false">
      <c r="B2602" s="28" t="s">
        <v>20452</v>
      </c>
      <c r="D2602" s="28" t="s">
        <v>20453</v>
      </c>
      <c r="BE2602" s="15" t="s">
        <v>1396</v>
      </c>
    </row>
    <row r="2603" customFormat="false" ht="13.8" hidden="false" customHeight="false" outlineLevel="0" collapsed="false">
      <c r="B2603" s="28" t="s">
        <v>20454</v>
      </c>
      <c r="D2603" s="28" t="s">
        <v>20455</v>
      </c>
      <c r="BE2603" s="15" t="s">
        <v>1396</v>
      </c>
    </row>
    <row r="2604" customFormat="false" ht="13.8" hidden="false" customHeight="false" outlineLevel="0" collapsed="false">
      <c r="B2604" s="28" t="s">
        <v>20454</v>
      </c>
      <c r="D2604" s="28" t="s">
        <v>20455</v>
      </c>
      <c r="BE2604" s="15" t="s">
        <v>1396</v>
      </c>
    </row>
    <row r="2605" customFormat="false" ht="13.8" hidden="false" customHeight="false" outlineLevel="0" collapsed="false">
      <c r="B2605" s="28" t="s">
        <v>20456</v>
      </c>
      <c r="D2605" s="28" t="s">
        <v>20457</v>
      </c>
      <c r="BE2605" s="15" t="s">
        <v>1396</v>
      </c>
    </row>
    <row r="2606" customFormat="false" ht="13.8" hidden="false" customHeight="false" outlineLevel="0" collapsed="false">
      <c r="B2606" s="28" t="s">
        <v>20458</v>
      </c>
      <c r="D2606" s="28" t="s">
        <v>20459</v>
      </c>
      <c r="BE2606" s="15" t="s">
        <v>1396</v>
      </c>
    </row>
    <row r="2607" customFormat="false" ht="13.8" hidden="false" customHeight="false" outlineLevel="0" collapsed="false">
      <c r="B2607" s="28" t="s">
        <v>20460</v>
      </c>
      <c r="D2607" s="28" t="s">
        <v>20461</v>
      </c>
      <c r="BE2607" s="15" t="s">
        <v>1396</v>
      </c>
    </row>
    <row r="2608" customFormat="false" ht="13.8" hidden="false" customHeight="false" outlineLevel="0" collapsed="false">
      <c r="B2608" s="28" t="s">
        <v>20462</v>
      </c>
      <c r="D2608" s="28" t="s">
        <v>20463</v>
      </c>
      <c r="BE2608" s="15" t="s">
        <v>1396</v>
      </c>
    </row>
    <row r="2609" customFormat="false" ht="13.8" hidden="false" customHeight="false" outlineLevel="0" collapsed="false">
      <c r="B2609" s="28" t="s">
        <v>20464</v>
      </c>
      <c r="D2609" s="28" t="s">
        <v>20465</v>
      </c>
      <c r="BE2609" s="15" t="s">
        <v>1396</v>
      </c>
    </row>
    <row r="2610" customFormat="false" ht="13.8" hidden="false" customHeight="false" outlineLevel="0" collapsed="false">
      <c r="B2610" s="28" t="s">
        <v>20466</v>
      </c>
      <c r="D2610" s="28" t="s">
        <v>20467</v>
      </c>
      <c r="BE2610" s="15" t="s">
        <v>1396</v>
      </c>
    </row>
    <row r="2611" customFormat="false" ht="13.8" hidden="false" customHeight="false" outlineLevel="0" collapsed="false">
      <c r="B2611" s="28" t="s">
        <v>20468</v>
      </c>
      <c r="D2611" s="28" t="s">
        <v>20469</v>
      </c>
      <c r="BE2611" s="15" t="s">
        <v>1396</v>
      </c>
    </row>
    <row r="2612" customFormat="false" ht="13.8" hidden="false" customHeight="false" outlineLevel="0" collapsed="false">
      <c r="B2612" s="28" t="s">
        <v>20470</v>
      </c>
      <c r="D2612" s="28" t="s">
        <v>20471</v>
      </c>
      <c r="BE2612" s="15" t="s">
        <v>1396</v>
      </c>
    </row>
    <row r="2613" customFormat="false" ht="13.8" hidden="false" customHeight="false" outlineLevel="0" collapsed="false">
      <c r="B2613" s="28" t="s">
        <v>20472</v>
      </c>
      <c r="D2613" s="28" t="s">
        <v>20473</v>
      </c>
      <c r="BE2613" s="15" t="s">
        <v>1396</v>
      </c>
    </row>
    <row r="2614" customFormat="false" ht="13.8" hidden="false" customHeight="false" outlineLevel="0" collapsed="false">
      <c r="B2614" s="28" t="s">
        <v>20474</v>
      </c>
      <c r="D2614" s="28" t="s">
        <v>20475</v>
      </c>
      <c r="BE2614" s="15" t="s">
        <v>1396</v>
      </c>
    </row>
    <row r="2615" customFormat="false" ht="13.8" hidden="false" customHeight="false" outlineLevel="0" collapsed="false">
      <c r="B2615" s="28" t="s">
        <v>20476</v>
      </c>
      <c r="D2615" s="28" t="s">
        <v>20477</v>
      </c>
      <c r="BE2615" s="15" t="s">
        <v>1396</v>
      </c>
    </row>
    <row r="2616" customFormat="false" ht="13.8" hidden="false" customHeight="false" outlineLevel="0" collapsed="false">
      <c r="B2616" s="28" t="s">
        <v>20478</v>
      </c>
      <c r="D2616" s="28" t="s">
        <v>20479</v>
      </c>
      <c r="BE2616" s="15" t="s">
        <v>1396</v>
      </c>
    </row>
    <row r="2617" customFormat="false" ht="13.8" hidden="false" customHeight="false" outlineLevel="0" collapsed="false">
      <c r="B2617" s="28" t="s">
        <v>20478</v>
      </c>
      <c r="D2617" s="28" t="s">
        <v>20479</v>
      </c>
      <c r="BE2617" s="15" t="s">
        <v>1396</v>
      </c>
    </row>
    <row r="2618" customFormat="false" ht="13.8" hidden="false" customHeight="false" outlineLevel="0" collapsed="false">
      <c r="B2618" s="28" t="s">
        <v>20480</v>
      </c>
      <c r="D2618" s="28" t="s">
        <v>20481</v>
      </c>
      <c r="BE2618" s="15" t="s">
        <v>1396</v>
      </c>
    </row>
    <row r="2619" customFormat="false" ht="13.8" hidden="false" customHeight="false" outlineLevel="0" collapsed="false">
      <c r="B2619" s="28" t="s">
        <v>20482</v>
      </c>
      <c r="D2619" s="28" t="s">
        <v>20481</v>
      </c>
      <c r="BE2619" s="15" t="s">
        <v>1396</v>
      </c>
    </row>
    <row r="2620" customFormat="false" ht="13.8" hidden="false" customHeight="false" outlineLevel="0" collapsed="false">
      <c r="B2620" s="28" t="s">
        <v>20483</v>
      </c>
      <c r="D2620" s="28" t="s">
        <v>20484</v>
      </c>
      <c r="BE2620" s="15" t="s">
        <v>1396</v>
      </c>
    </row>
    <row r="2621" customFormat="false" ht="13.8" hidden="false" customHeight="false" outlineLevel="0" collapsed="false">
      <c r="B2621" s="28" t="s">
        <v>20485</v>
      </c>
      <c r="D2621" s="28" t="s">
        <v>20486</v>
      </c>
      <c r="BE2621" s="15" t="s">
        <v>1396</v>
      </c>
    </row>
    <row r="2622" customFormat="false" ht="13.8" hidden="false" customHeight="false" outlineLevel="0" collapsed="false">
      <c r="B2622" s="28" t="s">
        <v>20487</v>
      </c>
      <c r="D2622" s="28" t="s">
        <v>20488</v>
      </c>
      <c r="BE2622" s="15" t="s">
        <v>1396</v>
      </c>
    </row>
    <row r="2623" customFormat="false" ht="13.8" hidden="false" customHeight="false" outlineLevel="0" collapsed="false">
      <c r="B2623" s="28" t="s">
        <v>20489</v>
      </c>
      <c r="D2623" s="28" t="s">
        <v>20490</v>
      </c>
      <c r="BE2623" s="15" t="s">
        <v>1396</v>
      </c>
    </row>
    <row r="2624" customFormat="false" ht="13.8" hidden="false" customHeight="false" outlineLevel="0" collapsed="false">
      <c r="B2624" s="28" t="s">
        <v>20491</v>
      </c>
      <c r="D2624" s="28" t="s">
        <v>20492</v>
      </c>
      <c r="BE2624" s="15" t="s">
        <v>1396</v>
      </c>
    </row>
    <row r="2625" customFormat="false" ht="13.8" hidden="false" customHeight="false" outlineLevel="0" collapsed="false">
      <c r="B2625" s="28" t="s">
        <v>20491</v>
      </c>
      <c r="D2625" s="28" t="s">
        <v>20492</v>
      </c>
      <c r="BE2625" s="15" t="s">
        <v>1396</v>
      </c>
    </row>
    <row r="2626" customFormat="false" ht="13.8" hidden="false" customHeight="false" outlineLevel="0" collapsed="false">
      <c r="B2626" s="28" t="s">
        <v>20493</v>
      </c>
      <c r="D2626" s="28" t="s">
        <v>20494</v>
      </c>
      <c r="BE2626" s="15" t="s">
        <v>1396</v>
      </c>
    </row>
    <row r="2627" customFormat="false" ht="13.8" hidden="false" customHeight="false" outlineLevel="0" collapsed="false">
      <c r="B2627" s="28" t="s">
        <v>20495</v>
      </c>
      <c r="D2627" s="28" t="s">
        <v>20496</v>
      </c>
      <c r="BE2627" s="15" t="s">
        <v>1396</v>
      </c>
    </row>
    <row r="2628" customFormat="false" ht="13.8" hidden="false" customHeight="false" outlineLevel="0" collapsed="false">
      <c r="B2628" s="28" t="s">
        <v>20497</v>
      </c>
      <c r="D2628" s="28" t="s">
        <v>20498</v>
      </c>
      <c r="BE2628" s="15" t="s">
        <v>1396</v>
      </c>
    </row>
    <row r="2629" customFormat="false" ht="13.8" hidden="false" customHeight="false" outlineLevel="0" collapsed="false">
      <c r="B2629" s="28" t="s">
        <v>20499</v>
      </c>
      <c r="D2629" s="28" t="s">
        <v>20500</v>
      </c>
      <c r="BE2629" s="15" t="s">
        <v>1396</v>
      </c>
    </row>
    <row r="2630" customFormat="false" ht="13.8" hidden="false" customHeight="false" outlineLevel="0" collapsed="false">
      <c r="B2630" s="28" t="s">
        <v>20501</v>
      </c>
      <c r="D2630" s="28" t="s">
        <v>20502</v>
      </c>
      <c r="BE2630" s="15" t="s">
        <v>1396</v>
      </c>
    </row>
    <row r="2631" customFormat="false" ht="13.8" hidden="false" customHeight="false" outlineLevel="0" collapsed="false">
      <c r="B2631" s="28" t="s">
        <v>20503</v>
      </c>
      <c r="D2631" s="28" t="s">
        <v>20504</v>
      </c>
      <c r="BE2631" s="15" t="s">
        <v>1396</v>
      </c>
    </row>
    <row r="2632" customFormat="false" ht="13.8" hidden="false" customHeight="false" outlineLevel="0" collapsed="false">
      <c r="B2632" s="28" t="s">
        <v>20505</v>
      </c>
      <c r="D2632" s="28" t="s">
        <v>20506</v>
      </c>
      <c r="BE2632" s="15" t="s">
        <v>1396</v>
      </c>
    </row>
    <row r="2633" customFormat="false" ht="13.8" hidden="false" customHeight="false" outlineLevel="0" collapsed="false">
      <c r="B2633" s="28" t="s">
        <v>20507</v>
      </c>
      <c r="D2633" s="28" t="s">
        <v>20508</v>
      </c>
      <c r="BE2633" s="15" t="s">
        <v>1396</v>
      </c>
    </row>
    <row r="2634" customFormat="false" ht="13.8" hidden="false" customHeight="false" outlineLevel="0" collapsed="false">
      <c r="B2634" s="28" t="s">
        <v>20507</v>
      </c>
      <c r="D2634" s="28" t="s">
        <v>20508</v>
      </c>
      <c r="BE2634" s="15" t="s">
        <v>1396</v>
      </c>
    </row>
    <row r="2635" customFormat="false" ht="13.8" hidden="false" customHeight="false" outlineLevel="0" collapsed="false">
      <c r="B2635" s="28" t="s">
        <v>20509</v>
      </c>
      <c r="D2635" s="28" t="s">
        <v>20510</v>
      </c>
      <c r="BE2635" s="15" t="s">
        <v>1396</v>
      </c>
    </row>
    <row r="2636" customFormat="false" ht="13.8" hidden="false" customHeight="false" outlineLevel="0" collapsed="false">
      <c r="B2636" s="28" t="s">
        <v>20511</v>
      </c>
      <c r="D2636" s="28" t="s">
        <v>20512</v>
      </c>
      <c r="BE2636" s="15" t="s">
        <v>1396</v>
      </c>
    </row>
    <row r="2637" customFormat="false" ht="13.8" hidden="false" customHeight="false" outlineLevel="0" collapsed="false">
      <c r="B2637" s="28" t="s">
        <v>20513</v>
      </c>
      <c r="D2637" s="28" t="s">
        <v>20514</v>
      </c>
      <c r="BE2637" s="15" t="s">
        <v>1396</v>
      </c>
    </row>
    <row r="2638" customFormat="false" ht="13.8" hidden="false" customHeight="false" outlineLevel="0" collapsed="false">
      <c r="B2638" s="28" t="s">
        <v>20515</v>
      </c>
      <c r="D2638" s="28" t="s">
        <v>20514</v>
      </c>
      <c r="BE2638" s="15" t="s">
        <v>1396</v>
      </c>
    </row>
    <row r="2639" customFormat="false" ht="13.8" hidden="false" customHeight="false" outlineLevel="0" collapsed="false">
      <c r="B2639" s="28" t="s">
        <v>20516</v>
      </c>
      <c r="D2639" s="28" t="s">
        <v>20517</v>
      </c>
      <c r="BE2639" s="15" t="s">
        <v>1396</v>
      </c>
    </row>
    <row r="2640" customFormat="false" ht="13.8" hidden="false" customHeight="false" outlineLevel="0" collapsed="false">
      <c r="B2640" s="28" t="s">
        <v>20518</v>
      </c>
      <c r="D2640" s="28" t="s">
        <v>20519</v>
      </c>
      <c r="BE2640" s="15" t="s">
        <v>1396</v>
      </c>
    </row>
    <row r="2641" customFormat="false" ht="13.8" hidden="false" customHeight="false" outlineLevel="0" collapsed="false">
      <c r="B2641" s="28" t="s">
        <v>20518</v>
      </c>
      <c r="D2641" s="28" t="s">
        <v>20519</v>
      </c>
      <c r="BE2641" s="15" t="s">
        <v>1396</v>
      </c>
    </row>
    <row r="2642" customFormat="false" ht="13.8" hidden="false" customHeight="false" outlineLevel="0" collapsed="false">
      <c r="B2642" s="28" t="s">
        <v>20520</v>
      </c>
      <c r="D2642" s="28" t="s">
        <v>20521</v>
      </c>
      <c r="BE2642" s="15" t="s">
        <v>1396</v>
      </c>
    </row>
    <row r="2643" customFormat="false" ht="13.8" hidden="false" customHeight="false" outlineLevel="0" collapsed="false">
      <c r="B2643" s="28" t="s">
        <v>20522</v>
      </c>
      <c r="D2643" s="28" t="s">
        <v>20523</v>
      </c>
      <c r="BE2643" s="15" t="s">
        <v>1396</v>
      </c>
    </row>
    <row r="2644" customFormat="false" ht="13.8" hidden="false" customHeight="false" outlineLevel="0" collapsed="false">
      <c r="B2644" s="28" t="s">
        <v>20524</v>
      </c>
      <c r="D2644" s="28" t="s">
        <v>20525</v>
      </c>
      <c r="BE2644" s="15" t="s">
        <v>1396</v>
      </c>
    </row>
    <row r="2645" customFormat="false" ht="13.8" hidden="false" customHeight="false" outlineLevel="0" collapsed="false">
      <c r="B2645" s="28" t="s">
        <v>20526</v>
      </c>
      <c r="D2645" s="28" t="s">
        <v>20527</v>
      </c>
      <c r="BE2645" s="15" t="s">
        <v>1396</v>
      </c>
    </row>
    <row r="2646" customFormat="false" ht="13.8" hidden="false" customHeight="false" outlineLevel="0" collapsed="false">
      <c r="B2646" s="28" t="s">
        <v>20528</v>
      </c>
      <c r="D2646" s="28" t="s">
        <v>20529</v>
      </c>
      <c r="BE2646" s="15" t="s">
        <v>1396</v>
      </c>
    </row>
    <row r="2647" customFormat="false" ht="13.8" hidden="false" customHeight="false" outlineLevel="0" collapsed="false">
      <c r="B2647" s="28" t="s">
        <v>20530</v>
      </c>
      <c r="D2647" s="28" t="s">
        <v>20531</v>
      </c>
      <c r="BE2647" s="15" t="s">
        <v>1396</v>
      </c>
    </row>
    <row r="2648" customFormat="false" ht="13.8" hidden="false" customHeight="false" outlineLevel="0" collapsed="false">
      <c r="B2648" s="28" t="s">
        <v>20532</v>
      </c>
      <c r="D2648" s="28" t="s">
        <v>20533</v>
      </c>
      <c r="BE2648" s="15" t="s">
        <v>1396</v>
      </c>
    </row>
    <row r="2649" customFormat="false" ht="13.8" hidden="false" customHeight="false" outlineLevel="0" collapsed="false">
      <c r="B2649" s="28" t="s">
        <v>20534</v>
      </c>
      <c r="D2649" s="28" t="s">
        <v>20535</v>
      </c>
      <c r="BE2649" s="15" t="s">
        <v>1396</v>
      </c>
    </row>
    <row r="2650" customFormat="false" ht="13.8" hidden="false" customHeight="false" outlineLevel="0" collapsed="false">
      <c r="B2650" s="28" t="s">
        <v>20536</v>
      </c>
      <c r="D2650" s="28" t="s">
        <v>20537</v>
      </c>
      <c r="BE2650" s="15" t="s">
        <v>1396</v>
      </c>
    </row>
    <row r="2651" customFormat="false" ht="13.8" hidden="false" customHeight="false" outlineLevel="0" collapsed="false">
      <c r="B2651" s="28" t="s">
        <v>20538</v>
      </c>
      <c r="D2651" s="28" t="s">
        <v>20539</v>
      </c>
      <c r="BE2651" s="15" t="s">
        <v>1396</v>
      </c>
    </row>
    <row r="2652" customFormat="false" ht="13.8" hidden="false" customHeight="false" outlineLevel="0" collapsed="false">
      <c r="B2652" s="28" t="s">
        <v>20540</v>
      </c>
      <c r="D2652" s="28" t="s">
        <v>20541</v>
      </c>
      <c r="BE2652" s="15" t="s">
        <v>1396</v>
      </c>
    </row>
    <row r="2653" customFormat="false" ht="13.8" hidden="false" customHeight="false" outlineLevel="0" collapsed="false">
      <c r="B2653" s="28" t="s">
        <v>20540</v>
      </c>
      <c r="D2653" s="28" t="s">
        <v>20541</v>
      </c>
      <c r="BE2653" s="15" t="s">
        <v>1396</v>
      </c>
    </row>
    <row r="2654" customFormat="false" ht="13.8" hidden="false" customHeight="false" outlineLevel="0" collapsed="false">
      <c r="B2654" s="28" t="s">
        <v>20542</v>
      </c>
      <c r="D2654" s="28" t="s">
        <v>20543</v>
      </c>
      <c r="BE2654" s="15" t="s">
        <v>1396</v>
      </c>
    </row>
    <row r="2655" customFormat="false" ht="13.8" hidden="false" customHeight="false" outlineLevel="0" collapsed="false">
      <c r="B2655" s="28" t="s">
        <v>20544</v>
      </c>
      <c r="D2655" s="28" t="s">
        <v>20545</v>
      </c>
      <c r="BE2655" s="15" t="s">
        <v>1396</v>
      </c>
    </row>
    <row r="2656" customFormat="false" ht="13.8" hidden="false" customHeight="false" outlineLevel="0" collapsed="false">
      <c r="B2656" s="28" t="s">
        <v>20544</v>
      </c>
      <c r="D2656" s="28" t="s">
        <v>20545</v>
      </c>
      <c r="BE2656" s="15" t="s">
        <v>1396</v>
      </c>
    </row>
    <row r="2657" customFormat="false" ht="13.8" hidden="false" customHeight="false" outlineLevel="0" collapsed="false">
      <c r="B2657" s="28" t="s">
        <v>20544</v>
      </c>
      <c r="D2657" s="28" t="s">
        <v>20545</v>
      </c>
      <c r="BE2657" s="15" t="s">
        <v>1396</v>
      </c>
    </row>
    <row r="2658" customFormat="false" ht="13.8" hidden="false" customHeight="false" outlineLevel="0" collapsed="false">
      <c r="B2658" s="28" t="s">
        <v>20544</v>
      </c>
      <c r="D2658" s="28" t="s">
        <v>20545</v>
      </c>
      <c r="BE2658" s="15" t="s">
        <v>1396</v>
      </c>
    </row>
    <row r="2659" customFormat="false" ht="13.8" hidden="false" customHeight="false" outlineLevel="0" collapsed="false">
      <c r="B2659" s="28" t="s">
        <v>20544</v>
      </c>
      <c r="D2659" s="28" t="s">
        <v>20545</v>
      </c>
      <c r="BE2659" s="15" t="s">
        <v>1396</v>
      </c>
    </row>
    <row r="2660" customFormat="false" ht="13.8" hidden="false" customHeight="false" outlineLevel="0" collapsed="false">
      <c r="B2660" s="28" t="s">
        <v>20544</v>
      </c>
      <c r="D2660" s="28" t="s">
        <v>20545</v>
      </c>
      <c r="BE2660" s="15" t="s">
        <v>1396</v>
      </c>
    </row>
    <row r="2661" customFormat="false" ht="13.8" hidden="false" customHeight="false" outlineLevel="0" collapsed="false">
      <c r="B2661" s="28" t="s">
        <v>20546</v>
      </c>
      <c r="D2661" s="28" t="s">
        <v>20547</v>
      </c>
      <c r="BE2661" s="15" t="s">
        <v>1396</v>
      </c>
    </row>
    <row r="2662" customFormat="false" ht="13.8" hidden="false" customHeight="false" outlineLevel="0" collapsed="false">
      <c r="B2662" s="28" t="s">
        <v>20548</v>
      </c>
      <c r="D2662" s="28" t="s">
        <v>20549</v>
      </c>
      <c r="BE2662" s="15" t="s">
        <v>1396</v>
      </c>
    </row>
    <row r="2663" customFormat="false" ht="13.8" hidden="false" customHeight="false" outlineLevel="0" collapsed="false">
      <c r="B2663" s="28" t="s">
        <v>20550</v>
      </c>
      <c r="D2663" s="28" t="s">
        <v>20551</v>
      </c>
      <c r="BE2663" s="15" t="s">
        <v>1396</v>
      </c>
    </row>
    <row r="2664" customFormat="false" ht="13.8" hidden="false" customHeight="false" outlineLevel="0" collapsed="false">
      <c r="B2664" s="28" t="s">
        <v>20552</v>
      </c>
      <c r="D2664" s="28" t="s">
        <v>20553</v>
      </c>
      <c r="BE2664" s="15" t="s">
        <v>1396</v>
      </c>
    </row>
    <row r="2665" customFormat="false" ht="13.8" hidden="false" customHeight="false" outlineLevel="0" collapsed="false">
      <c r="B2665" s="28" t="s">
        <v>20552</v>
      </c>
      <c r="D2665" s="28" t="s">
        <v>20553</v>
      </c>
      <c r="BE2665" s="15" t="s">
        <v>1396</v>
      </c>
    </row>
    <row r="2666" customFormat="false" ht="13.8" hidden="false" customHeight="false" outlineLevel="0" collapsed="false">
      <c r="B2666" s="28" t="s">
        <v>20554</v>
      </c>
      <c r="D2666" s="28" t="s">
        <v>20555</v>
      </c>
      <c r="BE2666" s="15" t="s">
        <v>1396</v>
      </c>
    </row>
    <row r="2667" customFormat="false" ht="13.8" hidden="false" customHeight="false" outlineLevel="0" collapsed="false">
      <c r="B2667" s="28" t="s">
        <v>20556</v>
      </c>
      <c r="D2667" s="28" t="s">
        <v>20557</v>
      </c>
      <c r="BE2667" s="15" t="s">
        <v>1396</v>
      </c>
    </row>
    <row r="2668" customFormat="false" ht="13.8" hidden="false" customHeight="false" outlineLevel="0" collapsed="false">
      <c r="B2668" s="28" t="s">
        <v>20558</v>
      </c>
      <c r="D2668" s="28" t="s">
        <v>20559</v>
      </c>
      <c r="BE2668" s="15" t="s">
        <v>1396</v>
      </c>
    </row>
    <row r="2669" customFormat="false" ht="13.8" hidden="false" customHeight="false" outlineLevel="0" collapsed="false">
      <c r="B2669" s="28" t="s">
        <v>20560</v>
      </c>
      <c r="D2669" s="28" t="s">
        <v>20561</v>
      </c>
      <c r="BE2669" s="15" t="s">
        <v>1396</v>
      </c>
    </row>
    <row r="2670" customFormat="false" ht="13.8" hidden="false" customHeight="false" outlineLevel="0" collapsed="false">
      <c r="B2670" s="28" t="s">
        <v>20562</v>
      </c>
      <c r="D2670" s="28" t="s">
        <v>20563</v>
      </c>
      <c r="BE2670" s="15" t="s">
        <v>1396</v>
      </c>
    </row>
    <row r="2671" customFormat="false" ht="13.8" hidden="false" customHeight="false" outlineLevel="0" collapsed="false">
      <c r="B2671" s="28" t="s">
        <v>20564</v>
      </c>
      <c r="D2671" s="28" t="s">
        <v>20565</v>
      </c>
      <c r="BE2671" s="15" t="s">
        <v>1396</v>
      </c>
    </row>
    <row r="2672" customFormat="false" ht="13.8" hidden="false" customHeight="false" outlineLevel="0" collapsed="false">
      <c r="B2672" s="28" t="s">
        <v>20566</v>
      </c>
      <c r="D2672" s="28" t="s">
        <v>20567</v>
      </c>
      <c r="BE2672" s="15" t="s">
        <v>1396</v>
      </c>
    </row>
    <row r="2673" customFormat="false" ht="13.8" hidden="false" customHeight="false" outlineLevel="0" collapsed="false">
      <c r="B2673" s="28" t="s">
        <v>20568</v>
      </c>
      <c r="D2673" s="28" t="s">
        <v>20569</v>
      </c>
      <c r="BE2673" s="15" t="s">
        <v>1396</v>
      </c>
    </row>
    <row r="2674" customFormat="false" ht="13.8" hidden="false" customHeight="false" outlineLevel="0" collapsed="false">
      <c r="B2674" s="28" t="s">
        <v>20570</v>
      </c>
      <c r="D2674" s="28" t="s">
        <v>20571</v>
      </c>
      <c r="BE2674" s="15" t="s">
        <v>1396</v>
      </c>
    </row>
    <row r="2675" customFormat="false" ht="13.8" hidden="false" customHeight="false" outlineLevel="0" collapsed="false">
      <c r="B2675" s="28" t="s">
        <v>20572</v>
      </c>
      <c r="D2675" s="28" t="s">
        <v>20573</v>
      </c>
      <c r="BE2675" s="15" t="s">
        <v>1396</v>
      </c>
    </row>
    <row r="2676" customFormat="false" ht="13.8" hidden="false" customHeight="false" outlineLevel="0" collapsed="false">
      <c r="B2676" s="28" t="s">
        <v>20574</v>
      </c>
      <c r="D2676" s="28" t="s">
        <v>20575</v>
      </c>
      <c r="BE2676" s="15" t="s">
        <v>1396</v>
      </c>
    </row>
    <row r="2677" customFormat="false" ht="13.8" hidden="false" customHeight="false" outlineLevel="0" collapsed="false">
      <c r="B2677" s="28" t="s">
        <v>20576</v>
      </c>
      <c r="D2677" s="28" t="s">
        <v>20577</v>
      </c>
      <c r="BE2677" s="15" t="s">
        <v>1396</v>
      </c>
    </row>
    <row r="2678" customFormat="false" ht="13.8" hidden="false" customHeight="false" outlineLevel="0" collapsed="false">
      <c r="B2678" s="28" t="s">
        <v>20578</v>
      </c>
      <c r="D2678" s="28" t="s">
        <v>20579</v>
      </c>
      <c r="BE2678" s="15" t="s">
        <v>1396</v>
      </c>
    </row>
    <row r="2679" customFormat="false" ht="13.8" hidden="false" customHeight="false" outlineLevel="0" collapsed="false">
      <c r="B2679" s="28" t="s">
        <v>20578</v>
      </c>
      <c r="D2679" s="28" t="s">
        <v>20579</v>
      </c>
      <c r="BE2679" s="15" t="s">
        <v>1396</v>
      </c>
    </row>
    <row r="2680" customFormat="false" ht="13.8" hidden="false" customHeight="false" outlineLevel="0" collapsed="false">
      <c r="B2680" s="28" t="s">
        <v>20580</v>
      </c>
      <c r="D2680" s="28" t="s">
        <v>20581</v>
      </c>
      <c r="BE2680" s="15" t="s">
        <v>1396</v>
      </c>
    </row>
    <row r="2681" customFormat="false" ht="13.8" hidden="false" customHeight="false" outlineLevel="0" collapsed="false">
      <c r="B2681" s="28" t="s">
        <v>20582</v>
      </c>
      <c r="D2681" s="28" t="s">
        <v>20583</v>
      </c>
      <c r="BE2681" s="15" t="s">
        <v>1396</v>
      </c>
    </row>
    <row r="2682" customFormat="false" ht="13.8" hidden="false" customHeight="false" outlineLevel="0" collapsed="false">
      <c r="B2682" s="28" t="s">
        <v>20584</v>
      </c>
      <c r="D2682" s="28" t="s">
        <v>20585</v>
      </c>
      <c r="BE2682" s="15" t="s">
        <v>1396</v>
      </c>
    </row>
    <row r="2683" customFormat="false" ht="13.8" hidden="false" customHeight="false" outlineLevel="0" collapsed="false">
      <c r="B2683" s="28" t="s">
        <v>20586</v>
      </c>
      <c r="D2683" s="28" t="s">
        <v>20587</v>
      </c>
      <c r="BE2683" s="15" t="s">
        <v>1396</v>
      </c>
    </row>
    <row r="2684" customFormat="false" ht="13.8" hidden="false" customHeight="false" outlineLevel="0" collapsed="false">
      <c r="B2684" s="28" t="s">
        <v>20588</v>
      </c>
      <c r="D2684" s="28" t="s">
        <v>20589</v>
      </c>
      <c r="BE2684" s="15" t="s">
        <v>1396</v>
      </c>
    </row>
    <row r="2685" customFormat="false" ht="13.8" hidden="false" customHeight="false" outlineLevel="0" collapsed="false">
      <c r="B2685" s="28" t="s">
        <v>20590</v>
      </c>
      <c r="D2685" s="28" t="s">
        <v>20591</v>
      </c>
      <c r="BE2685" s="15" t="s">
        <v>1396</v>
      </c>
    </row>
    <row r="2686" customFormat="false" ht="13.8" hidden="false" customHeight="false" outlineLevel="0" collapsed="false">
      <c r="B2686" s="28" t="s">
        <v>20592</v>
      </c>
      <c r="D2686" s="28" t="s">
        <v>20593</v>
      </c>
      <c r="BE2686" s="15" t="s">
        <v>1396</v>
      </c>
    </row>
    <row r="2687" customFormat="false" ht="13.8" hidden="false" customHeight="false" outlineLevel="0" collapsed="false">
      <c r="B2687" s="28" t="s">
        <v>20594</v>
      </c>
      <c r="D2687" s="28" t="s">
        <v>20595</v>
      </c>
      <c r="BE2687" s="15" t="s">
        <v>1396</v>
      </c>
    </row>
    <row r="2688" customFormat="false" ht="13.8" hidden="false" customHeight="false" outlineLevel="0" collapsed="false">
      <c r="B2688" s="28" t="s">
        <v>20596</v>
      </c>
      <c r="D2688" s="28" t="s">
        <v>20597</v>
      </c>
      <c r="BE2688" s="15" t="s">
        <v>1396</v>
      </c>
    </row>
    <row r="2689" customFormat="false" ht="13.8" hidden="false" customHeight="false" outlineLevel="0" collapsed="false">
      <c r="B2689" s="28" t="s">
        <v>20598</v>
      </c>
      <c r="D2689" s="28" t="s">
        <v>20599</v>
      </c>
      <c r="BE2689" s="15" t="s">
        <v>1396</v>
      </c>
    </row>
    <row r="2690" customFormat="false" ht="13.8" hidden="false" customHeight="false" outlineLevel="0" collapsed="false">
      <c r="B2690" s="28" t="s">
        <v>20600</v>
      </c>
      <c r="D2690" s="28" t="s">
        <v>20601</v>
      </c>
      <c r="BE2690" s="15" t="s">
        <v>1396</v>
      </c>
    </row>
  </sheetData>
  <autoFilter ref="BE1:BE262"/>
  <dataValidations count="3">
    <dataValidation allowBlank="true" errorStyle="stop" operator="equal" showDropDown="false" showErrorMessage="true" showInputMessage="true" sqref="A2:A508" type="list">
      <formula1>"Yes,No"</formula1>
      <formula2>0</formula2>
    </dataValidation>
    <dataValidation allowBlank="true" errorStyle="stop" operator="between" showDropDown="false" showErrorMessage="true" showInputMessage="true" sqref="A678:A834" type="list">
      <formula1>"Yes,No"</formula1>
      <formula2>0</formula2>
    </dataValidation>
    <dataValidation allowBlank="true" errorStyle="stop" operator="equal" showDropDown="false" showErrorMessage="true" showInputMessage="true" sqref="A835:A2168"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66</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2022-03-15T17:38:22Z</dcterms:created>
  <dc:creator>Brad Parsons</dc:creator>
  <dc:description/>
  <dc:language>en-US</dc:language>
  <cp:lastModifiedBy/>
  <dcterms:modified xsi:type="dcterms:W3CDTF">2022-06-12T13:20:40Z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ProgId">
    <vt:lpwstr>Excel.Sheet</vt:lpwstr>
  </property>
</Properties>
</file>